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90" windowWidth="18195" windowHeight="10050" activeTab="1"/>
  </bookViews>
  <sheets>
    <sheet name="прил 12разд.подр. 2015." sheetId="4" r:id="rId1"/>
    <sheet name="прил 16 вед2015" sheetId="2" r:id="rId2"/>
    <sheet name="Лист1" sheetId="6" r:id="rId3"/>
  </sheets>
  <definedNames>
    <definedName name="_xlnm._FilterDatabase" localSheetId="1" hidden="1">'прил 16 вед2015'!$A$1:$K$668</definedName>
    <definedName name="В11" localSheetId="1">#REF!</definedName>
    <definedName name="В11">#REF!</definedName>
    <definedName name="_xlnm.Print_Titles" localSheetId="0">'прил 12разд.подр. 2015.'!$8:$8</definedName>
    <definedName name="_xlnm.Print_Titles" localSheetId="1">'прил 16 вед2015'!$9:$9</definedName>
    <definedName name="_xlnm.Print_Area" localSheetId="0">'прил 12разд.подр. 2015.'!$A$1:$F$66</definedName>
    <definedName name="_xlnm.Print_Area" localSheetId="1">'прил 16 вед2015'!$A$1:$I$607</definedName>
    <definedName name="_xlnm.Print_Area">#REF!</definedName>
    <definedName name="п">#REF!</definedName>
    <definedName name="Прил16дляраб">#REF!</definedName>
  </definedNames>
  <calcPr calcId="145621"/>
</workbook>
</file>

<file path=xl/calcChain.xml><?xml version="1.0" encoding="utf-8"?>
<calcChain xmlns="http://schemas.openxmlformats.org/spreadsheetml/2006/main">
  <c r="H140" i="2" l="1"/>
  <c r="I140" i="2" l="1"/>
  <c r="G140" i="2"/>
  <c r="H367" i="2"/>
  <c r="H141" i="2"/>
  <c r="G141" i="2"/>
  <c r="I142" i="2"/>
  <c r="I141" i="2" s="1"/>
  <c r="H50" i="2"/>
  <c r="H44" i="2"/>
  <c r="H43" i="2"/>
  <c r="H35" i="2"/>
  <c r="H36" i="2"/>
  <c r="H311" i="2" l="1"/>
  <c r="H164" i="2" l="1"/>
  <c r="I164" i="2"/>
  <c r="G164" i="2"/>
  <c r="H170" i="2"/>
  <c r="H169" i="2" s="1"/>
  <c r="G169" i="2"/>
  <c r="G170" i="2"/>
  <c r="I171" i="2"/>
  <c r="I170" i="2" s="1"/>
  <c r="I169" i="2" s="1"/>
  <c r="H436" i="2"/>
  <c r="H38" i="2"/>
  <c r="H40" i="2"/>
  <c r="H129" i="2"/>
  <c r="H325" i="2"/>
  <c r="H266" i="2"/>
  <c r="H265" i="2"/>
  <c r="H263" i="2"/>
  <c r="H262" i="2"/>
  <c r="H275" i="2"/>
  <c r="H431" i="2"/>
  <c r="H373" i="2"/>
  <c r="H412" i="2"/>
  <c r="H455" i="2"/>
  <c r="H54" i="2"/>
  <c r="H29" i="2"/>
  <c r="H178" i="2" l="1"/>
  <c r="H362" i="2"/>
  <c r="H572" i="2" l="1"/>
  <c r="H552" i="2"/>
  <c r="H94" i="2"/>
  <c r="H239" i="2"/>
  <c r="H23" i="2"/>
  <c r="G23" i="2"/>
  <c r="I24" i="2"/>
  <c r="I23" i="2" s="1"/>
  <c r="H19" i="2"/>
  <c r="H93" i="2"/>
  <c r="H68" i="2"/>
  <c r="H118" i="2"/>
  <c r="I608" i="2" l="1"/>
  <c r="H542" i="2"/>
  <c r="I565" i="2"/>
  <c r="I564" i="2" s="1"/>
  <c r="H564" i="2"/>
  <c r="G564" i="2"/>
  <c r="H117" i="2"/>
  <c r="H377" i="2"/>
  <c r="H529" i="2"/>
  <c r="H250" i="2"/>
  <c r="H307" i="2" l="1"/>
  <c r="H115" i="2"/>
  <c r="H109" i="2"/>
  <c r="H124" i="2"/>
  <c r="H125" i="2"/>
  <c r="G528" i="2"/>
  <c r="H530" i="2"/>
  <c r="I530" i="2" s="1"/>
  <c r="K530" i="2" s="1"/>
  <c r="H555" i="2"/>
  <c r="H571" i="2"/>
  <c r="H553" i="2"/>
  <c r="H575" i="2"/>
  <c r="H574" i="2"/>
  <c r="H568" i="2"/>
  <c r="H606" i="2"/>
  <c r="H319" i="2"/>
  <c r="H320" i="2"/>
  <c r="H406" i="2"/>
  <c r="G346" i="2"/>
  <c r="I347" i="2"/>
  <c r="K347" i="2" s="1"/>
  <c r="H348" i="2"/>
  <c r="H346" i="2" s="1"/>
  <c r="H119" i="2"/>
  <c r="H116" i="2"/>
  <c r="H143" i="2"/>
  <c r="H139" i="2" s="1"/>
  <c r="H138" i="2" s="1"/>
  <c r="H137" i="2" s="1"/>
  <c r="G143" i="2"/>
  <c r="G139" i="2" s="1"/>
  <c r="G138" i="2" s="1"/>
  <c r="G137" i="2" s="1"/>
  <c r="I144" i="2"/>
  <c r="K144" i="2" s="1"/>
  <c r="H25" i="2"/>
  <c r="G25" i="2"/>
  <c r="I27" i="2"/>
  <c r="K27" i="2" s="1"/>
  <c r="H21" i="2"/>
  <c r="H81" i="2"/>
  <c r="H90" i="2"/>
  <c r="I143" i="2" l="1"/>
  <c r="H528" i="2"/>
  <c r="G318" i="2"/>
  <c r="H318" i="2"/>
  <c r="H190" i="2"/>
  <c r="G190" i="2"/>
  <c r="G189" i="2" s="1"/>
  <c r="K143" i="2" l="1"/>
  <c r="I319" i="2"/>
  <c r="K319" i="2" s="1"/>
  <c r="I139" i="2" l="1"/>
  <c r="K140" i="2"/>
  <c r="H149" i="2"/>
  <c r="G149" i="2"/>
  <c r="G372" i="2"/>
  <c r="I375" i="2"/>
  <c r="K375" i="2" s="1"/>
  <c r="H372" i="2"/>
  <c r="H240" i="2"/>
  <c r="G240" i="2"/>
  <c r="I241" i="2"/>
  <c r="I240" i="2" l="1"/>
  <c r="K240" i="2" s="1"/>
  <c r="K241" i="2"/>
  <c r="I138" i="2"/>
  <c r="K139" i="2"/>
  <c r="H237" i="2"/>
  <c r="H236" i="2" s="1"/>
  <c r="G237" i="2"/>
  <c r="G236" i="2" s="1"/>
  <c r="I239" i="2"/>
  <c r="K239" i="2" s="1"/>
  <c r="H199" i="2"/>
  <c r="H198" i="2" s="1"/>
  <c r="H197" i="2" s="1"/>
  <c r="H196" i="2" s="1"/>
  <c r="G199" i="2"/>
  <c r="G198" i="2" s="1"/>
  <c r="G197" i="2" s="1"/>
  <c r="G196" i="2" s="1"/>
  <c r="I200" i="2"/>
  <c r="H213" i="2"/>
  <c r="G213" i="2"/>
  <c r="H211" i="2"/>
  <c r="H210" i="2" s="1"/>
  <c r="H209" i="2" s="1"/>
  <c r="G211" i="2"/>
  <c r="G210" i="2" s="1"/>
  <c r="G209" i="2" s="1"/>
  <c r="I214" i="2"/>
  <c r="I212" i="2"/>
  <c r="H217" i="2"/>
  <c r="H216" i="2" s="1"/>
  <c r="H215" i="2" s="1"/>
  <c r="G217" i="2"/>
  <c r="G216" i="2" s="1"/>
  <c r="G215" i="2" s="1"/>
  <c r="I218" i="2"/>
  <c r="G544" i="2"/>
  <c r="G549" i="2"/>
  <c r="H549" i="2"/>
  <c r="I550" i="2"/>
  <c r="H526" i="2"/>
  <c r="G526" i="2"/>
  <c r="I527" i="2"/>
  <c r="H524" i="2"/>
  <c r="G524" i="2"/>
  <c r="I525" i="2"/>
  <c r="H401" i="2"/>
  <c r="G401" i="2"/>
  <c r="I524" i="2" l="1"/>
  <c r="K525" i="2"/>
  <c r="I549" i="2"/>
  <c r="K550" i="2"/>
  <c r="I526" i="2"/>
  <c r="K527" i="2"/>
  <c r="I211" i="2"/>
  <c r="K211" i="2" s="1"/>
  <c r="K212" i="2"/>
  <c r="I199" i="2"/>
  <c r="K199" i="2" s="1"/>
  <c r="K200" i="2"/>
  <c r="I217" i="2"/>
  <c r="I216" i="2" s="1"/>
  <c r="K218" i="2"/>
  <c r="I213" i="2"/>
  <c r="K213" i="2" s="1"/>
  <c r="K214" i="2"/>
  <c r="I137" i="2"/>
  <c r="K137" i="2" s="1"/>
  <c r="K138" i="2"/>
  <c r="I198" i="2"/>
  <c r="K217" i="2"/>
  <c r="I210" i="2"/>
  <c r="I403" i="2"/>
  <c r="K403" i="2" s="1"/>
  <c r="I209" i="2" l="1"/>
  <c r="K209" i="2" s="1"/>
  <c r="K210" i="2"/>
  <c r="I215" i="2"/>
  <c r="K215" i="2" s="1"/>
  <c r="K216" i="2"/>
  <c r="I197" i="2"/>
  <c r="K198" i="2"/>
  <c r="H454" i="2"/>
  <c r="H453" i="2" s="1"/>
  <c r="H452" i="2" s="1"/>
  <c r="H451" i="2" s="1"/>
  <c r="H450" i="2" s="1"/>
  <c r="H646" i="2" s="1"/>
  <c r="G454" i="2"/>
  <c r="G453" i="2" s="1"/>
  <c r="G452" i="2" s="1"/>
  <c r="G451" i="2" s="1"/>
  <c r="G450" i="2" s="1"/>
  <c r="G646" i="2" s="1"/>
  <c r="I455" i="2"/>
  <c r="I321" i="2"/>
  <c r="K321" i="2" s="1"/>
  <c r="G404" i="2"/>
  <c r="I407" i="2"/>
  <c r="K407" i="2" s="1"/>
  <c r="I476" i="2"/>
  <c r="H475" i="2"/>
  <c r="G475" i="2"/>
  <c r="I475" i="2" l="1"/>
  <c r="K476" i="2"/>
  <c r="I454" i="2"/>
  <c r="I453" i="2" s="1"/>
  <c r="I452" i="2" s="1"/>
  <c r="I451" i="2" s="1"/>
  <c r="I450" i="2" s="1"/>
  <c r="I646" i="2" s="1"/>
  <c r="K455" i="2"/>
  <c r="I196" i="2"/>
  <c r="K196" i="2" s="1"/>
  <c r="K197" i="2"/>
  <c r="H404" i="2"/>
  <c r="I484" i="2" l="1"/>
  <c r="H483" i="2"/>
  <c r="G483" i="2"/>
  <c r="H485" i="2"/>
  <c r="G485" i="2"/>
  <c r="I486" i="2"/>
  <c r="G337" i="2"/>
  <c r="H337" i="2"/>
  <c r="I338" i="2"/>
  <c r="I483" i="2" l="1"/>
  <c r="K484" i="2"/>
  <c r="I485" i="2"/>
  <c r="K486" i="2"/>
  <c r="H291" i="2"/>
  <c r="H290" i="2" s="1"/>
  <c r="H289" i="2" s="1"/>
  <c r="H616" i="2" s="1"/>
  <c r="G291" i="2"/>
  <c r="G290" i="2" s="1"/>
  <c r="G289" i="2" s="1"/>
  <c r="G616" i="2" s="1"/>
  <c r="I292" i="2"/>
  <c r="I325" i="2"/>
  <c r="G324" i="2"/>
  <c r="I324" i="2" l="1"/>
  <c r="K325" i="2"/>
  <c r="I291" i="2"/>
  <c r="I290" i="2" s="1"/>
  <c r="I289" i="2" s="1"/>
  <c r="I616" i="2" s="1"/>
  <c r="K292" i="2"/>
  <c r="H324" i="2"/>
  <c r="I494" i="2"/>
  <c r="G493" i="2"/>
  <c r="G495" i="2"/>
  <c r="H495" i="2"/>
  <c r="H397" i="2"/>
  <c r="G397" i="2"/>
  <c r="I398" i="2"/>
  <c r="I397" i="2" l="1"/>
  <c r="K398" i="2"/>
  <c r="I493" i="2"/>
  <c r="K494" i="2"/>
  <c r="H493" i="2"/>
  <c r="H20" i="2" l="1"/>
  <c r="G61" i="2"/>
  <c r="I63" i="2"/>
  <c r="K63" i="2" s="1"/>
  <c r="H61" i="2"/>
  <c r="H15" i="2" l="1"/>
  <c r="H296" i="2"/>
  <c r="H295" i="2" s="1"/>
  <c r="H294" i="2" s="1"/>
  <c r="G296" i="2"/>
  <c r="G295" i="2" s="1"/>
  <c r="G294" i="2" s="1"/>
  <c r="I297" i="2"/>
  <c r="H299" i="2"/>
  <c r="G299" i="2"/>
  <c r="I300" i="2"/>
  <c r="I299" i="2" l="1"/>
  <c r="K300" i="2"/>
  <c r="I296" i="2"/>
  <c r="I295" i="2" s="1"/>
  <c r="I294" i="2" s="1"/>
  <c r="K297" i="2"/>
  <c r="I62" i="2"/>
  <c r="H180" i="2"/>
  <c r="H179" i="2" s="1"/>
  <c r="G180" i="2"/>
  <c r="G179" i="2" s="1"/>
  <c r="I181" i="2"/>
  <c r="I61" i="2" l="1"/>
  <c r="K61" i="2" s="1"/>
  <c r="K62" i="2"/>
  <c r="I180" i="2"/>
  <c r="K180" i="2" s="1"/>
  <c r="K181" i="2"/>
  <c r="I179" i="2"/>
  <c r="K179" i="2" s="1"/>
  <c r="I129" i="2"/>
  <c r="H128" i="2"/>
  <c r="G128" i="2"/>
  <c r="I542" i="2"/>
  <c r="H541" i="2"/>
  <c r="G541" i="2"/>
  <c r="H567" i="2"/>
  <c r="H349" i="2"/>
  <c r="G349" i="2"/>
  <c r="G351" i="2"/>
  <c r="H351" i="2"/>
  <c r="G380" i="2"/>
  <c r="H380" i="2"/>
  <c r="G383" i="2"/>
  <c r="H383" i="2"/>
  <c r="H382" i="2" s="1"/>
  <c r="I128" i="2" l="1"/>
  <c r="K128" i="2" s="1"/>
  <c r="K129" i="2"/>
  <c r="I541" i="2"/>
  <c r="K542" i="2"/>
  <c r="H423" i="2"/>
  <c r="G423" i="2"/>
  <c r="I425" i="2"/>
  <c r="K425" i="2" s="1"/>
  <c r="I374" i="2"/>
  <c r="K374" i="2" s="1"/>
  <c r="H261" i="2"/>
  <c r="H490" i="2"/>
  <c r="G490" i="2"/>
  <c r="I491" i="2"/>
  <c r="K491" i="2" s="1"/>
  <c r="K29" i="2" l="1"/>
  <c r="J607" i="2" l="1"/>
  <c r="J609" i="2" s="1"/>
  <c r="I334" i="2" l="1"/>
  <c r="H333" i="2"/>
  <c r="G333" i="2"/>
  <c r="I402" i="2"/>
  <c r="I400" i="2"/>
  <c r="H399" i="2"/>
  <c r="G399" i="2"/>
  <c r="I401" i="2" l="1"/>
  <c r="K402" i="2"/>
  <c r="I399" i="2"/>
  <c r="K400" i="2"/>
  <c r="I333" i="2"/>
  <c r="K334" i="2"/>
  <c r="H544" i="2"/>
  <c r="I581" i="2" l="1"/>
  <c r="K581" i="2" s="1"/>
  <c r="H579" i="2"/>
  <c r="G579" i="2"/>
  <c r="I580" i="2"/>
  <c r="K580" i="2" s="1"/>
  <c r="I573" i="2"/>
  <c r="K573" i="2" s="1"/>
  <c r="I561" i="2"/>
  <c r="H560" i="2"/>
  <c r="G560" i="2"/>
  <c r="I559" i="2"/>
  <c r="H558" i="2"/>
  <c r="G558" i="2"/>
  <c r="H547" i="2"/>
  <c r="G547" i="2"/>
  <c r="I548" i="2"/>
  <c r="I492" i="2"/>
  <c r="I474" i="2"/>
  <c r="H473" i="2"/>
  <c r="G473" i="2"/>
  <c r="I448" i="2"/>
  <c r="H447" i="2"/>
  <c r="G447" i="2"/>
  <c r="H445" i="2"/>
  <c r="I446" i="2"/>
  <c r="G445" i="2"/>
  <c r="G439" i="2"/>
  <c r="H390" i="2"/>
  <c r="G390" i="2"/>
  <c r="I391" i="2"/>
  <c r="G382" i="2"/>
  <c r="I352" i="2"/>
  <c r="I350" i="2"/>
  <c r="I329" i="2"/>
  <c r="H328" i="2"/>
  <c r="G328" i="2"/>
  <c r="G261" i="2"/>
  <c r="I267" i="2"/>
  <c r="K267" i="2" s="1"/>
  <c r="G243" i="2"/>
  <c r="H243" i="2"/>
  <c r="H242" i="2" s="1"/>
  <c r="I244" i="2"/>
  <c r="I221" i="2"/>
  <c r="H220" i="2"/>
  <c r="G220" i="2"/>
  <c r="G222" i="2"/>
  <c r="H222" i="2"/>
  <c r="I223" i="2"/>
  <c r="I194" i="2"/>
  <c r="H193" i="2"/>
  <c r="H192" i="2" s="1"/>
  <c r="G193" i="2"/>
  <c r="G192" i="2" s="1"/>
  <c r="H184" i="2"/>
  <c r="H183" i="2" s="1"/>
  <c r="H182" i="2" s="1"/>
  <c r="G184" i="2"/>
  <c r="G183" i="2" s="1"/>
  <c r="G182" i="2" s="1"/>
  <c r="I185" i="2"/>
  <c r="H39" i="2"/>
  <c r="G39" i="2"/>
  <c r="I41" i="2"/>
  <c r="K41" i="2" s="1"/>
  <c r="I40" i="2"/>
  <c r="K40" i="2" s="1"/>
  <c r="I184" i="2" l="1"/>
  <c r="K185" i="2"/>
  <c r="I193" i="2"/>
  <c r="K193" i="2" s="1"/>
  <c r="K194" i="2"/>
  <c r="I220" i="2"/>
  <c r="K220" i="2" s="1"/>
  <c r="K221" i="2"/>
  <c r="I328" i="2"/>
  <c r="K329" i="2"/>
  <c r="I351" i="2"/>
  <c r="K352" i="2"/>
  <c r="I390" i="2"/>
  <c r="K390" i="2" s="1"/>
  <c r="K391" i="2"/>
  <c r="I473" i="2"/>
  <c r="K474" i="2"/>
  <c r="I547" i="2"/>
  <c r="K548" i="2"/>
  <c r="I560" i="2"/>
  <c r="K561" i="2"/>
  <c r="I222" i="2"/>
  <c r="K222" i="2" s="1"/>
  <c r="K223" i="2"/>
  <c r="I243" i="2"/>
  <c r="K243" i="2" s="1"/>
  <c r="K244" i="2"/>
  <c r="I349" i="2"/>
  <c r="K350" i="2"/>
  <c r="I445" i="2"/>
  <c r="K446" i="2"/>
  <c r="I447" i="2"/>
  <c r="K448" i="2"/>
  <c r="I490" i="2"/>
  <c r="K492" i="2"/>
  <c r="I558" i="2"/>
  <c r="K559" i="2"/>
  <c r="I242" i="2"/>
  <c r="K242" i="2" s="1"/>
  <c r="I192" i="2"/>
  <c r="K192" i="2" s="1"/>
  <c r="G242" i="2"/>
  <c r="I579" i="2"/>
  <c r="I39" i="2"/>
  <c r="K39" i="2" s="1"/>
  <c r="G219" i="2"/>
  <c r="H219" i="2"/>
  <c r="H208" i="2" s="1"/>
  <c r="H156" i="2"/>
  <c r="I219" i="2" l="1"/>
  <c r="I208" i="2" s="1"/>
  <c r="K208" i="2" s="1"/>
  <c r="I183" i="2"/>
  <c r="K184" i="2"/>
  <c r="K219" i="2"/>
  <c r="G208" i="2"/>
  <c r="G207" i="2" s="1"/>
  <c r="H207" i="2"/>
  <c r="H523" i="2"/>
  <c r="G523" i="2"/>
  <c r="I529" i="2"/>
  <c r="K529" i="2" s="1"/>
  <c r="H206" i="2"/>
  <c r="H204" i="2"/>
  <c r="I182" i="2" l="1"/>
  <c r="K182" i="2" s="1"/>
  <c r="K183" i="2"/>
  <c r="I207" i="2"/>
  <c r="K207" i="2" s="1"/>
  <c r="I528" i="2"/>
  <c r="I523" i="2" s="1"/>
  <c r="I522" i="2" s="1"/>
  <c r="I521" i="2" s="1"/>
  <c r="G522" i="2"/>
  <c r="G521" i="2" s="1"/>
  <c r="H522" i="2"/>
  <c r="H521" i="2" s="1"/>
  <c r="H155" i="2"/>
  <c r="H154" i="2" s="1"/>
  <c r="H153" i="2" s="1"/>
  <c r="H152" i="2" s="1"/>
  <c r="G155" i="2"/>
  <c r="G154" i="2" s="1"/>
  <c r="G153" i="2" s="1"/>
  <c r="G152" i="2" s="1"/>
  <c r="I156" i="2"/>
  <c r="I155" i="2" l="1"/>
  <c r="K155" i="2" s="1"/>
  <c r="K156" i="2"/>
  <c r="I154" i="2"/>
  <c r="G167" i="2"/>
  <c r="H167" i="2"/>
  <c r="I204" i="2"/>
  <c r="H203" i="2"/>
  <c r="G203" i="2"/>
  <c r="H599" i="2"/>
  <c r="H598" i="2" s="1"/>
  <c r="H605" i="2"/>
  <c r="H604" i="2" s="1"/>
  <c r="G605" i="2"/>
  <c r="G604" i="2" s="1"/>
  <c r="I606" i="2"/>
  <c r="G599" i="2"/>
  <c r="G598" i="2" s="1"/>
  <c r="H602" i="2"/>
  <c r="H601" i="2" s="1"/>
  <c r="G602" i="2"/>
  <c r="G601" i="2" s="1"/>
  <c r="I603" i="2"/>
  <c r="I600" i="2"/>
  <c r="I599" i="2" l="1"/>
  <c r="I598" i="2" s="1"/>
  <c r="K600" i="2"/>
  <c r="I602" i="2"/>
  <c r="I601" i="2" s="1"/>
  <c r="K603" i="2"/>
  <c r="I605" i="2"/>
  <c r="I604" i="2" s="1"/>
  <c r="K606" i="2"/>
  <c r="I203" i="2"/>
  <c r="K203" i="2" s="1"/>
  <c r="K204" i="2"/>
  <c r="I153" i="2"/>
  <c r="K154" i="2"/>
  <c r="H597" i="2"/>
  <c r="H596" i="2" s="1"/>
  <c r="G597" i="2"/>
  <c r="G596" i="2" s="1"/>
  <c r="G595" i="2" s="1"/>
  <c r="G658" i="2" s="1"/>
  <c r="D57" i="4" s="1"/>
  <c r="H595" i="2"/>
  <c r="H658" i="2" s="1"/>
  <c r="E57" i="4" s="1"/>
  <c r="I597" i="2"/>
  <c r="I596" i="2" s="1"/>
  <c r="I595" i="2" s="1"/>
  <c r="I658" i="2" s="1"/>
  <c r="F57" i="4" s="1"/>
  <c r="I152" i="2" l="1"/>
  <c r="K152" i="2" s="1"/>
  <c r="K153" i="2"/>
  <c r="H205" i="2"/>
  <c r="H202" i="2" s="1"/>
  <c r="G205" i="2"/>
  <c r="G202" i="2" s="1"/>
  <c r="I206" i="2"/>
  <c r="H189" i="2"/>
  <c r="H188" i="2" s="1"/>
  <c r="H187" i="2" s="1"/>
  <c r="G188" i="2"/>
  <c r="G187" i="2" s="1"/>
  <c r="H177" i="2"/>
  <c r="H176" i="2" s="1"/>
  <c r="H175" i="2" s="1"/>
  <c r="H174" i="2" s="1"/>
  <c r="G177" i="2"/>
  <c r="G176" i="2" s="1"/>
  <c r="G175" i="2" s="1"/>
  <c r="G174" i="2" s="1"/>
  <c r="H166" i="2"/>
  <c r="H165" i="2" s="1"/>
  <c r="G166" i="2"/>
  <c r="G165" i="2" s="1"/>
  <c r="I168" i="2"/>
  <c r="K168" i="2" s="1"/>
  <c r="I178" i="2"/>
  <c r="I191" i="2"/>
  <c r="K191" i="2" s="1"/>
  <c r="I177" i="2" l="1"/>
  <c r="K177" i="2" s="1"/>
  <c r="K178" i="2"/>
  <c r="I205" i="2"/>
  <c r="K206" i="2"/>
  <c r="I176" i="2"/>
  <c r="I202" i="2"/>
  <c r="K202" i="2" s="1"/>
  <c r="K205" i="2"/>
  <c r="I190" i="2"/>
  <c r="H173" i="2"/>
  <c r="H172" i="2" s="1"/>
  <c r="G173" i="2"/>
  <c r="G172" i="2" s="1"/>
  <c r="I167" i="2"/>
  <c r="H201" i="2"/>
  <c r="H195" i="2" s="1"/>
  <c r="G201" i="2"/>
  <c r="G195" i="2" s="1"/>
  <c r="G186" i="2" s="1"/>
  <c r="G163" i="2"/>
  <c r="H163" i="2"/>
  <c r="I166" i="2" l="1"/>
  <c r="K166" i="2" s="1"/>
  <c r="K167" i="2"/>
  <c r="I165" i="2"/>
  <c r="I189" i="2"/>
  <c r="K190" i="2"/>
  <c r="I201" i="2"/>
  <c r="I175" i="2"/>
  <c r="K176" i="2"/>
  <c r="H186" i="2"/>
  <c r="I195" i="2" l="1"/>
  <c r="K195" i="2" s="1"/>
  <c r="K201" i="2"/>
  <c r="I188" i="2"/>
  <c r="K189" i="2"/>
  <c r="K165" i="2"/>
  <c r="I174" i="2"/>
  <c r="K175" i="2"/>
  <c r="G20" i="2"/>
  <c r="I29" i="2"/>
  <c r="I28" i="2" s="1"/>
  <c r="H28" i="2"/>
  <c r="G28" i="2"/>
  <c r="H14" i="2"/>
  <c r="I26" i="2"/>
  <c r="I25" i="2" l="1"/>
  <c r="K25" i="2" s="1"/>
  <c r="K26" i="2"/>
  <c r="K174" i="2"/>
  <c r="I173" i="2"/>
  <c r="I163" i="2"/>
  <c r="K163" i="2" s="1"/>
  <c r="K164" i="2"/>
  <c r="I187" i="2"/>
  <c r="K188" i="2"/>
  <c r="H499" i="2"/>
  <c r="H498" i="2" s="1"/>
  <c r="H497" i="2" s="1"/>
  <c r="I34" i="2"/>
  <c r="K34" i="2" s="1"/>
  <c r="G499" i="2"/>
  <c r="G498" i="2" s="1"/>
  <c r="G497" i="2" s="1"/>
  <c r="I500" i="2"/>
  <c r="H326" i="2"/>
  <c r="H323" i="2" s="1"/>
  <c r="G326" i="2"/>
  <c r="G323" i="2" s="1"/>
  <c r="I327" i="2"/>
  <c r="H312" i="2"/>
  <c r="I326" i="2" l="1"/>
  <c r="I323" i="2" s="1"/>
  <c r="K327" i="2"/>
  <c r="I499" i="2"/>
  <c r="I498" i="2" s="1"/>
  <c r="I497" i="2" s="1"/>
  <c r="K500" i="2"/>
  <c r="K187" i="2"/>
  <c r="I186" i="2"/>
  <c r="K186" i="2" s="1"/>
  <c r="I172" i="2"/>
  <c r="K172" i="2" s="1"/>
  <c r="K173" i="2"/>
  <c r="H135" i="2"/>
  <c r="H134" i="2" s="1"/>
  <c r="H133" i="2" s="1"/>
  <c r="H132" i="2" s="1"/>
  <c r="G135" i="2"/>
  <c r="I136" i="2"/>
  <c r="I135" i="2" l="1"/>
  <c r="K136" i="2"/>
  <c r="G134" i="2"/>
  <c r="I150" i="2"/>
  <c r="H107" i="2"/>
  <c r="G107" i="2"/>
  <c r="I109" i="2"/>
  <c r="K109" i="2" s="1"/>
  <c r="G112" i="2"/>
  <c r="H112" i="2"/>
  <c r="I116" i="2"/>
  <c r="K116" i="2" s="1"/>
  <c r="I115" i="2"/>
  <c r="K115" i="2" s="1"/>
  <c r="H75" i="2"/>
  <c r="G75" i="2"/>
  <c r="I76" i="2"/>
  <c r="K76" i="2" s="1"/>
  <c r="G15" i="2"/>
  <c r="G14" i="2" s="1"/>
  <c r="I381" i="2"/>
  <c r="I18" i="2"/>
  <c r="K18" i="2" s="1"/>
  <c r="I19" i="2"/>
  <c r="K19" i="2" s="1"/>
  <c r="I22" i="2"/>
  <c r="K22" i="2" s="1"/>
  <c r="I380" i="2" l="1"/>
  <c r="K381" i="2"/>
  <c r="I149" i="2"/>
  <c r="K149" i="2" s="1"/>
  <c r="K150" i="2"/>
  <c r="I134" i="2"/>
  <c r="K135" i="2"/>
  <c r="G133" i="2"/>
  <c r="I133" i="2" l="1"/>
  <c r="K134" i="2"/>
  <c r="G132" i="2"/>
  <c r="G274" i="2"/>
  <c r="I281" i="2"/>
  <c r="H280" i="2"/>
  <c r="G280" i="2"/>
  <c r="I280" i="2" l="1"/>
  <c r="K281" i="2"/>
  <c r="I132" i="2"/>
  <c r="K132" i="2" s="1"/>
  <c r="K133" i="2"/>
  <c r="G270" i="2"/>
  <c r="I424" i="2"/>
  <c r="G422" i="2"/>
  <c r="G421" i="2" s="1"/>
  <c r="I423" i="2" l="1"/>
  <c r="K424" i="2"/>
  <c r="G567" i="2"/>
  <c r="G420" i="2"/>
  <c r="G634" i="2" s="1"/>
  <c r="G635" i="2"/>
  <c r="H422" i="2" l="1"/>
  <c r="H421" i="2" s="1"/>
  <c r="I422" i="2"/>
  <c r="I421" i="2" s="1"/>
  <c r="I420" i="2" l="1"/>
  <c r="I635" i="2"/>
  <c r="F34" i="4" s="1"/>
  <c r="F33" i="4" s="1"/>
  <c r="H635" i="2"/>
  <c r="E34" i="4" s="1"/>
  <c r="E33" i="4" s="1"/>
  <c r="H420" i="2"/>
  <c r="H634" i="2" s="1"/>
  <c r="I634" i="2" l="1"/>
  <c r="D33" i="4"/>
  <c r="D34" i="4"/>
  <c r="D45" i="4"/>
  <c r="E45" i="4"/>
  <c r="F45" i="4"/>
  <c r="D46" i="4"/>
  <c r="E46" i="4"/>
  <c r="F46" i="4"/>
  <c r="D47" i="4"/>
  <c r="E47" i="4"/>
  <c r="F47" i="4"/>
  <c r="D51" i="4"/>
  <c r="E51" i="4"/>
  <c r="F51" i="4"/>
  <c r="D25" i="4"/>
  <c r="E25" i="4"/>
  <c r="F25" i="4"/>
  <c r="D21" i="4"/>
  <c r="E21" i="4"/>
  <c r="F21" i="4"/>
  <c r="D13" i="4"/>
  <c r="E13" i="4"/>
  <c r="F13" i="4"/>
  <c r="D15" i="4"/>
  <c r="E15" i="4"/>
  <c r="F15" i="4"/>
  <c r="E65" i="4"/>
  <c r="D65" i="4"/>
  <c r="I594" i="2"/>
  <c r="K594" i="2" s="1"/>
  <c r="I593" i="2"/>
  <c r="K593" i="2" s="1"/>
  <c r="H592" i="2"/>
  <c r="G592" i="2"/>
  <c r="G591" i="2" s="1"/>
  <c r="G590" i="2" s="1"/>
  <c r="G589" i="2" s="1"/>
  <c r="G588" i="2" s="1"/>
  <c r="G656" i="2" s="1"/>
  <c r="D55" i="4" s="1"/>
  <c r="H591" i="2"/>
  <c r="H590" i="2" s="1"/>
  <c r="H589" i="2" s="1"/>
  <c r="H588" i="2" s="1"/>
  <c r="I587" i="2"/>
  <c r="H586" i="2"/>
  <c r="H585" i="2" s="1"/>
  <c r="H584" i="2" s="1"/>
  <c r="H583" i="2" s="1"/>
  <c r="I578" i="2"/>
  <c r="I577" i="2" s="1"/>
  <c r="I576" i="2" s="1"/>
  <c r="H577" i="2"/>
  <c r="H576" i="2" s="1"/>
  <c r="G577" i="2"/>
  <c r="G576" i="2" s="1"/>
  <c r="I575" i="2"/>
  <c r="K575" i="2" s="1"/>
  <c r="I574" i="2"/>
  <c r="K574" i="2" s="1"/>
  <c r="I572" i="2"/>
  <c r="K572" i="2" s="1"/>
  <c r="I571" i="2"/>
  <c r="K571" i="2" s="1"/>
  <c r="I570" i="2"/>
  <c r="K570" i="2" s="1"/>
  <c r="I569" i="2"/>
  <c r="K569" i="2" s="1"/>
  <c r="I568" i="2"/>
  <c r="K568" i="2" s="1"/>
  <c r="G566" i="2"/>
  <c r="G563" i="2" s="1"/>
  <c r="I557" i="2"/>
  <c r="H556" i="2"/>
  <c r="G556" i="2"/>
  <c r="I555" i="2"/>
  <c r="H554" i="2"/>
  <c r="H551" i="2" s="1"/>
  <c r="G554" i="2"/>
  <c r="G551" i="2" s="1"/>
  <c r="G543" i="2" s="1"/>
  <c r="I553" i="2"/>
  <c r="K553" i="2" s="1"/>
  <c r="I552" i="2"/>
  <c r="K552" i="2" s="1"/>
  <c r="I546" i="2"/>
  <c r="K546" i="2" s="1"/>
  <c r="I545" i="2"/>
  <c r="K545" i="2" s="1"/>
  <c r="I537" i="2"/>
  <c r="K537" i="2" s="1"/>
  <c r="I536" i="2"/>
  <c r="K536" i="2" s="1"/>
  <c r="I535" i="2"/>
  <c r="K535" i="2" s="1"/>
  <c r="H534" i="2"/>
  <c r="H533" i="2" s="1"/>
  <c r="H532" i="2" s="1"/>
  <c r="H531" i="2" s="1"/>
  <c r="H520" i="2" s="1"/>
  <c r="G534" i="2"/>
  <c r="G533" i="2" s="1"/>
  <c r="G532" i="2" s="1"/>
  <c r="G531" i="2" s="1"/>
  <c r="G520" i="2" s="1"/>
  <c r="I519" i="2"/>
  <c r="I518" i="2" s="1"/>
  <c r="I517" i="2" s="1"/>
  <c r="I516" i="2" s="1"/>
  <c r="H518" i="2"/>
  <c r="H517" i="2" s="1"/>
  <c r="G518" i="2"/>
  <c r="G517" i="2" s="1"/>
  <c r="G516" i="2" s="1"/>
  <c r="I513" i="2"/>
  <c r="K513" i="2" s="1"/>
  <c r="I512" i="2"/>
  <c r="K512" i="2" s="1"/>
  <c r="H511" i="2"/>
  <c r="H510" i="2" s="1"/>
  <c r="H509" i="2" s="1"/>
  <c r="H508" i="2" s="1"/>
  <c r="G511" i="2"/>
  <c r="G510" i="2" s="1"/>
  <c r="G509" i="2" s="1"/>
  <c r="G508" i="2" s="1"/>
  <c r="I506" i="2"/>
  <c r="H505" i="2"/>
  <c r="G505" i="2"/>
  <c r="G504" i="2" s="1"/>
  <c r="H504" i="2"/>
  <c r="I503" i="2"/>
  <c r="H502" i="2"/>
  <c r="G502" i="2"/>
  <c r="G501" i="2" s="1"/>
  <c r="I496" i="2"/>
  <c r="I489" i="2"/>
  <c r="H488" i="2"/>
  <c r="H487" i="2" s="1"/>
  <c r="G488" i="2"/>
  <c r="G487" i="2" s="1"/>
  <c r="I482" i="2"/>
  <c r="H481" i="2"/>
  <c r="H480" i="2" s="1"/>
  <c r="H479" i="2" s="1"/>
  <c r="G481" i="2"/>
  <c r="I478" i="2"/>
  <c r="H477" i="2"/>
  <c r="H472" i="2" s="1"/>
  <c r="H471" i="2" s="1"/>
  <c r="H470" i="2" s="1"/>
  <c r="G477" i="2"/>
  <c r="G472" i="2" s="1"/>
  <c r="G471" i="2" s="1"/>
  <c r="I469" i="2"/>
  <c r="H468" i="2"/>
  <c r="H467" i="2" s="1"/>
  <c r="H466" i="2" s="1"/>
  <c r="G468" i="2"/>
  <c r="G467" i="2" s="1"/>
  <c r="G466" i="2" s="1"/>
  <c r="G464" i="2"/>
  <c r="G463" i="2"/>
  <c r="H462" i="2"/>
  <c r="H461" i="2" s="1"/>
  <c r="I460" i="2"/>
  <c r="H459" i="2"/>
  <c r="H458" i="2" s="1"/>
  <c r="H457" i="2" s="1"/>
  <c r="H456" i="2" s="1"/>
  <c r="H449" i="2" s="1"/>
  <c r="G459" i="2"/>
  <c r="G458" i="2" s="1"/>
  <c r="G457" i="2" s="1"/>
  <c r="G456" i="2" s="1"/>
  <c r="G449" i="2" s="1"/>
  <c r="I444" i="2"/>
  <c r="K444" i="2" s="1"/>
  <c r="I443" i="2"/>
  <c r="K443" i="2" s="1"/>
  <c r="H442" i="2"/>
  <c r="G442" i="2"/>
  <c r="G438" i="2" s="1"/>
  <c r="G437" i="2" s="1"/>
  <c r="I441" i="2"/>
  <c r="K441" i="2" s="1"/>
  <c r="I440" i="2"/>
  <c r="K440" i="2" s="1"/>
  <c r="H439" i="2"/>
  <c r="H438" i="2" s="1"/>
  <c r="I436" i="2"/>
  <c r="G435" i="2"/>
  <c r="G434" i="2" s="1"/>
  <c r="G433" i="2" s="1"/>
  <c r="I431" i="2"/>
  <c r="H430" i="2"/>
  <c r="H429" i="2" s="1"/>
  <c r="H428" i="2" s="1"/>
  <c r="H427" i="2" s="1"/>
  <c r="G430" i="2"/>
  <c r="G429" i="2" s="1"/>
  <c r="G428" i="2" s="1"/>
  <c r="G427" i="2" s="1"/>
  <c r="I419" i="2"/>
  <c r="H418" i="2"/>
  <c r="G418" i="2"/>
  <c r="I417" i="2"/>
  <c r="H416" i="2"/>
  <c r="I412" i="2"/>
  <c r="K412" i="2" s="1"/>
  <c r="I411" i="2"/>
  <c r="K411" i="2" s="1"/>
  <c r="I410" i="2"/>
  <c r="K410" i="2" s="1"/>
  <c r="I409" i="2"/>
  <c r="K409" i="2" s="1"/>
  <c r="H408" i="2"/>
  <c r="H396" i="2" s="1"/>
  <c r="H395" i="2" s="1"/>
  <c r="G408" i="2"/>
  <c r="G396" i="2" s="1"/>
  <c r="G395" i="2" s="1"/>
  <c r="I406" i="2"/>
  <c r="K406" i="2" s="1"/>
  <c r="I405" i="2"/>
  <c r="K405" i="2" s="1"/>
  <c r="I394" i="2"/>
  <c r="K394" i="2" s="1"/>
  <c r="I393" i="2"/>
  <c r="K393" i="2" s="1"/>
  <c r="H392" i="2"/>
  <c r="H389" i="2" s="1"/>
  <c r="H388" i="2" s="1"/>
  <c r="G392" i="2"/>
  <c r="G389" i="2" s="1"/>
  <c r="G388" i="2" s="1"/>
  <c r="H631" i="2"/>
  <c r="E30" i="4" s="1"/>
  <c r="I384" i="2"/>
  <c r="G379" i="2"/>
  <c r="G378" i="2" s="1"/>
  <c r="H379" i="2"/>
  <c r="H378" i="2" s="1"/>
  <c r="I377" i="2"/>
  <c r="H376" i="2"/>
  <c r="G376" i="2"/>
  <c r="I373" i="2"/>
  <c r="I368" i="2"/>
  <c r="K368" i="2" s="1"/>
  <c r="I367" i="2"/>
  <c r="K367" i="2" s="1"/>
  <c r="G366" i="2"/>
  <c r="G365" i="2" s="1"/>
  <c r="G364" i="2" s="1"/>
  <c r="I362" i="2"/>
  <c r="H361" i="2"/>
  <c r="H360" i="2" s="1"/>
  <c r="H359" i="2" s="1"/>
  <c r="H358" i="2" s="1"/>
  <c r="H628" i="2" s="1"/>
  <c r="I357" i="2"/>
  <c r="H356" i="2"/>
  <c r="G356" i="2"/>
  <c r="I355" i="2"/>
  <c r="H354" i="2"/>
  <c r="G354" i="2"/>
  <c r="I348" i="2"/>
  <c r="H345" i="2"/>
  <c r="H344" i="2" s="1"/>
  <c r="G345" i="2"/>
  <c r="G344" i="2" s="1"/>
  <c r="I341" i="2"/>
  <c r="H340" i="2"/>
  <c r="G340" i="2"/>
  <c r="I339" i="2"/>
  <c r="I336" i="2"/>
  <c r="H335" i="2"/>
  <c r="G335" i="2"/>
  <c r="I322" i="2"/>
  <c r="K322" i="2" s="1"/>
  <c r="I320" i="2"/>
  <c r="K320" i="2" s="1"/>
  <c r="H317" i="2"/>
  <c r="H316" i="2" s="1"/>
  <c r="H315" i="2" s="1"/>
  <c r="H623" i="2" s="1"/>
  <c r="G317" i="2"/>
  <c r="G316" i="2" s="1"/>
  <c r="G315" i="2" s="1"/>
  <c r="I311" i="2"/>
  <c r="K311" i="2" s="1"/>
  <c r="I310" i="2"/>
  <c r="K310" i="2" s="1"/>
  <c r="I309" i="2"/>
  <c r="K309" i="2" s="1"/>
  <c r="I308" i="2"/>
  <c r="K308" i="2" s="1"/>
  <c r="I307" i="2"/>
  <c r="K307" i="2" s="1"/>
  <c r="H306" i="2"/>
  <c r="G306" i="2"/>
  <c r="I305" i="2"/>
  <c r="H304" i="2"/>
  <c r="G304" i="2"/>
  <c r="I303" i="2"/>
  <c r="K303" i="2" s="1"/>
  <c r="I302" i="2"/>
  <c r="K302" i="2" s="1"/>
  <c r="H301" i="2"/>
  <c r="G301" i="2"/>
  <c r="I288" i="2"/>
  <c r="K288" i="2" s="1"/>
  <c r="I287" i="2"/>
  <c r="K287" i="2" s="1"/>
  <c r="I286" i="2"/>
  <c r="K286" i="2" s="1"/>
  <c r="H285" i="2"/>
  <c r="H284" i="2" s="1"/>
  <c r="H283" i="2" s="1"/>
  <c r="H282" i="2" s="1"/>
  <c r="I279" i="2"/>
  <c r="K279" i="2" s="1"/>
  <c r="I278" i="2"/>
  <c r="K278" i="2" s="1"/>
  <c r="I277" i="2"/>
  <c r="K277" i="2" s="1"/>
  <c r="I276" i="2"/>
  <c r="K276" i="2" s="1"/>
  <c r="I275" i="2"/>
  <c r="K275" i="2" s="1"/>
  <c r="H274" i="2"/>
  <c r="H270" i="2" s="1"/>
  <c r="I273" i="2"/>
  <c r="H272" i="2"/>
  <c r="H271" i="2" s="1"/>
  <c r="G272" i="2"/>
  <c r="G271" i="2" s="1"/>
  <c r="I269" i="2"/>
  <c r="K269" i="2" s="1"/>
  <c r="I268" i="2"/>
  <c r="K268" i="2" s="1"/>
  <c r="I266" i="2"/>
  <c r="K266" i="2" s="1"/>
  <c r="I265" i="2"/>
  <c r="K265" i="2" s="1"/>
  <c r="I264" i="2"/>
  <c r="K264" i="2" s="1"/>
  <c r="I263" i="2"/>
  <c r="K263" i="2" s="1"/>
  <c r="I262" i="2"/>
  <c r="K262" i="2" s="1"/>
  <c r="G260" i="2"/>
  <c r="I258" i="2"/>
  <c r="K258" i="2" s="1"/>
  <c r="I257" i="2"/>
  <c r="K257" i="2" s="1"/>
  <c r="I256" i="2"/>
  <c r="K256" i="2" s="1"/>
  <c r="H255" i="2"/>
  <c r="G255" i="2"/>
  <c r="I254" i="2"/>
  <c r="H253" i="2"/>
  <c r="G253" i="2"/>
  <c r="I250" i="2"/>
  <c r="H249" i="2"/>
  <c r="H248" i="2" s="1"/>
  <c r="H247" i="2" s="1"/>
  <c r="G249" i="2"/>
  <c r="G248" i="2" s="1"/>
  <c r="G247" i="2" s="1"/>
  <c r="I238" i="2"/>
  <c r="K238" i="2" s="1"/>
  <c r="G235" i="2"/>
  <c r="G234" i="2" s="1"/>
  <c r="G233" i="2" s="1"/>
  <c r="H235" i="2"/>
  <c r="H234" i="2" s="1"/>
  <c r="I232" i="2"/>
  <c r="H231" i="2"/>
  <c r="G231" i="2"/>
  <c r="I230" i="2"/>
  <c r="H229" i="2"/>
  <c r="H228" i="2" s="1"/>
  <c r="G229" i="2"/>
  <c r="G228" i="2" s="1"/>
  <c r="I162" i="2"/>
  <c r="H161" i="2"/>
  <c r="H160" i="2" s="1"/>
  <c r="H159" i="2" s="1"/>
  <c r="H158" i="2" s="1"/>
  <c r="G161" i="2"/>
  <c r="G160" i="2" s="1"/>
  <c r="G159" i="2" s="1"/>
  <c r="G158" i="2" s="1"/>
  <c r="G148" i="2"/>
  <c r="G147" i="2" s="1"/>
  <c r="G146" i="2" s="1"/>
  <c r="H148" i="2"/>
  <c r="H147" i="2" s="1"/>
  <c r="H146" i="2" s="1"/>
  <c r="I131" i="2"/>
  <c r="H130" i="2"/>
  <c r="G130" i="2"/>
  <c r="I125" i="2"/>
  <c r="K125" i="2" s="1"/>
  <c r="I124" i="2"/>
  <c r="K124" i="2" s="1"/>
  <c r="H123" i="2"/>
  <c r="H122" i="2" s="1"/>
  <c r="H121" i="2" s="1"/>
  <c r="G123" i="2"/>
  <c r="G122" i="2" s="1"/>
  <c r="G121" i="2" s="1"/>
  <c r="I120" i="2"/>
  <c r="K120" i="2" s="1"/>
  <c r="I119" i="2"/>
  <c r="K119" i="2" s="1"/>
  <c r="I118" i="2"/>
  <c r="K118" i="2" s="1"/>
  <c r="I117" i="2"/>
  <c r="K117" i="2" s="1"/>
  <c r="I114" i="2"/>
  <c r="K114" i="2" s="1"/>
  <c r="I113" i="2"/>
  <c r="K113" i="2" s="1"/>
  <c r="G111" i="2"/>
  <c r="I108" i="2"/>
  <c r="K108" i="2" s="1"/>
  <c r="H106" i="2"/>
  <c r="H105" i="2" s="1"/>
  <c r="G106" i="2"/>
  <c r="G105" i="2" s="1"/>
  <c r="I102" i="2"/>
  <c r="H101" i="2"/>
  <c r="H100" i="2" s="1"/>
  <c r="H99" i="2" s="1"/>
  <c r="H98" i="2" s="1"/>
  <c r="H654" i="2" s="1"/>
  <c r="G101" i="2"/>
  <c r="G100" i="2" s="1"/>
  <c r="G99" i="2" s="1"/>
  <c r="G98" i="2" s="1"/>
  <c r="G654" i="2" s="1"/>
  <c r="I96" i="2"/>
  <c r="K96" i="2" s="1"/>
  <c r="I95" i="2"/>
  <c r="K95" i="2" s="1"/>
  <c r="I94" i="2"/>
  <c r="K94" i="2" s="1"/>
  <c r="I93" i="2"/>
  <c r="K93" i="2" s="1"/>
  <c r="I92" i="2"/>
  <c r="K92" i="2" s="1"/>
  <c r="I91" i="2"/>
  <c r="K91" i="2" s="1"/>
  <c r="I90" i="2"/>
  <c r="K90" i="2" s="1"/>
  <c r="G89" i="2"/>
  <c r="G88" i="2" s="1"/>
  <c r="I87" i="2"/>
  <c r="K87" i="2" s="1"/>
  <c r="I86" i="2"/>
  <c r="K86" i="2" s="1"/>
  <c r="I85" i="2"/>
  <c r="K85" i="2" s="1"/>
  <c r="I84" i="2"/>
  <c r="K84" i="2" s="1"/>
  <c r="I83" i="2"/>
  <c r="K83" i="2" s="1"/>
  <c r="I82" i="2"/>
  <c r="K82" i="2" s="1"/>
  <c r="I81" i="2"/>
  <c r="K81" i="2" s="1"/>
  <c r="H80" i="2"/>
  <c r="G80" i="2"/>
  <c r="I77" i="2"/>
  <c r="G73" i="2"/>
  <c r="I69" i="2"/>
  <c r="K69" i="2" s="1"/>
  <c r="I68" i="2"/>
  <c r="K68" i="2" s="1"/>
  <c r="H67" i="2"/>
  <c r="H66" i="2" s="1"/>
  <c r="H65" i="2" s="1"/>
  <c r="H64" i="2" s="1"/>
  <c r="G67" i="2"/>
  <c r="G66" i="2" s="1"/>
  <c r="G65" i="2" s="1"/>
  <c r="G64" i="2" s="1"/>
  <c r="I60" i="2"/>
  <c r="H59" i="2"/>
  <c r="G59" i="2"/>
  <c r="I58" i="2"/>
  <c r="H57" i="2"/>
  <c r="G57" i="2"/>
  <c r="I56" i="2"/>
  <c r="H55" i="2"/>
  <c r="G55" i="2"/>
  <c r="I54" i="2"/>
  <c r="H53" i="2"/>
  <c r="G53" i="2"/>
  <c r="I52" i="2"/>
  <c r="H51" i="2"/>
  <c r="G51" i="2"/>
  <c r="I50" i="2"/>
  <c r="H49" i="2"/>
  <c r="G49" i="2"/>
  <c r="I48" i="2"/>
  <c r="H47" i="2"/>
  <c r="G47" i="2"/>
  <c r="I46" i="2"/>
  <c r="H45" i="2"/>
  <c r="G45" i="2"/>
  <c r="G42" i="2" s="1"/>
  <c r="I44" i="2"/>
  <c r="K44" i="2" s="1"/>
  <c r="I43" i="2"/>
  <c r="K43" i="2" s="1"/>
  <c r="I38" i="2"/>
  <c r="H37" i="2"/>
  <c r="H33" i="2" s="1"/>
  <c r="G37" i="2"/>
  <c r="G33" i="2" s="1"/>
  <c r="I36" i="2"/>
  <c r="K36" i="2" s="1"/>
  <c r="I35" i="2"/>
  <c r="K35" i="2" s="1"/>
  <c r="I21" i="2"/>
  <c r="G13" i="2"/>
  <c r="G12" i="2" s="1"/>
  <c r="I17" i="2"/>
  <c r="K17" i="2" s="1"/>
  <c r="I16" i="2"/>
  <c r="K16" i="2" s="1"/>
  <c r="H13" i="2"/>
  <c r="H12" i="2" s="1"/>
  <c r="I20" i="2" l="1"/>
  <c r="K21" i="2"/>
  <c r="I45" i="2"/>
  <c r="K45" i="2" s="1"/>
  <c r="K46" i="2"/>
  <c r="I49" i="2"/>
  <c r="K49" i="2" s="1"/>
  <c r="K50" i="2"/>
  <c r="I53" i="2"/>
  <c r="K53" i="2" s="1"/>
  <c r="K54" i="2"/>
  <c r="I57" i="2"/>
  <c r="K57" i="2" s="1"/>
  <c r="K58" i="2"/>
  <c r="I130" i="2"/>
  <c r="K130" i="2" s="1"/>
  <c r="K131" i="2"/>
  <c r="I229" i="2"/>
  <c r="K230" i="2"/>
  <c r="I253" i="2"/>
  <c r="K254" i="2"/>
  <c r="I272" i="2"/>
  <c r="K273" i="2"/>
  <c r="I337" i="2"/>
  <c r="K339" i="2"/>
  <c r="K348" i="2"/>
  <c r="I346" i="2"/>
  <c r="I345" i="2" s="1"/>
  <c r="I344" i="2" s="1"/>
  <c r="I356" i="2"/>
  <c r="K356" i="2" s="1"/>
  <c r="K357" i="2"/>
  <c r="I361" i="2"/>
  <c r="I360" i="2" s="1"/>
  <c r="I359" i="2" s="1"/>
  <c r="I358" i="2" s="1"/>
  <c r="I628" i="2" s="1"/>
  <c r="F27" i="4" s="1"/>
  <c r="K362" i="2"/>
  <c r="I383" i="2"/>
  <c r="I382" i="2" s="1"/>
  <c r="K384" i="2"/>
  <c r="I418" i="2"/>
  <c r="K419" i="2"/>
  <c r="I477" i="2"/>
  <c r="I472" i="2" s="1"/>
  <c r="I471" i="2" s="1"/>
  <c r="K478" i="2"/>
  <c r="I488" i="2"/>
  <c r="K489" i="2"/>
  <c r="I502" i="2"/>
  <c r="K503" i="2"/>
  <c r="I505" i="2"/>
  <c r="I504" i="2" s="1"/>
  <c r="K506" i="2"/>
  <c r="I556" i="2"/>
  <c r="K557" i="2"/>
  <c r="I37" i="2"/>
  <c r="K37" i="2" s="1"/>
  <c r="K38" i="2"/>
  <c r="I47" i="2"/>
  <c r="K47" i="2" s="1"/>
  <c r="K48" i="2"/>
  <c r="I51" i="2"/>
  <c r="K51" i="2" s="1"/>
  <c r="K52" i="2"/>
  <c r="I55" i="2"/>
  <c r="K55" i="2" s="1"/>
  <c r="K56" i="2"/>
  <c r="I59" i="2"/>
  <c r="K59" i="2" s="1"/>
  <c r="K60" i="2"/>
  <c r="I75" i="2"/>
  <c r="K75" i="2" s="1"/>
  <c r="K77" i="2"/>
  <c r="I101" i="2"/>
  <c r="K102" i="2"/>
  <c r="I161" i="2"/>
  <c r="K162" i="2"/>
  <c r="I231" i="2"/>
  <c r="K231" i="2" s="1"/>
  <c r="K232" i="2"/>
  <c r="I304" i="2"/>
  <c r="K305" i="2"/>
  <c r="I335" i="2"/>
  <c r="K336" i="2"/>
  <c r="I340" i="2"/>
  <c r="K341" i="2"/>
  <c r="I354" i="2"/>
  <c r="K354" i="2" s="1"/>
  <c r="K355" i="2"/>
  <c r="I416" i="2"/>
  <c r="K417" i="2"/>
  <c r="I430" i="2"/>
  <c r="I429" i="2" s="1"/>
  <c r="I428" i="2" s="1"/>
  <c r="I427" i="2" s="1"/>
  <c r="K431" i="2"/>
  <c r="I435" i="2"/>
  <c r="I434" i="2" s="1"/>
  <c r="I433" i="2" s="1"/>
  <c r="K436" i="2"/>
  <c r="I459" i="2"/>
  <c r="I458" i="2" s="1"/>
  <c r="I457" i="2" s="1"/>
  <c r="I456" i="2" s="1"/>
  <c r="I449" i="2" s="1"/>
  <c r="K460" i="2"/>
  <c r="I468" i="2"/>
  <c r="I467" i="2" s="1"/>
  <c r="I466" i="2" s="1"/>
  <c r="K469" i="2"/>
  <c r="I481" i="2"/>
  <c r="I480" i="2" s="1"/>
  <c r="I479" i="2" s="1"/>
  <c r="K482" i="2"/>
  <c r="I495" i="2"/>
  <c r="I487" i="2" s="1"/>
  <c r="K496" i="2"/>
  <c r="I554" i="2"/>
  <c r="K555" i="2"/>
  <c r="I586" i="2"/>
  <c r="I585" i="2" s="1"/>
  <c r="I584" i="2" s="1"/>
  <c r="I583" i="2" s="1"/>
  <c r="K587" i="2"/>
  <c r="I228" i="2"/>
  <c r="K228" i="2" s="1"/>
  <c r="K229" i="2"/>
  <c r="I271" i="2"/>
  <c r="K271" i="2" s="1"/>
  <c r="K272" i="2"/>
  <c r="I100" i="2"/>
  <c r="K101" i="2"/>
  <c r="I160" i="2"/>
  <c r="K161" i="2"/>
  <c r="I376" i="2"/>
  <c r="K377" i="2"/>
  <c r="I372" i="2"/>
  <c r="I371" i="2" s="1"/>
  <c r="I370" i="2" s="1"/>
  <c r="K373" i="2"/>
  <c r="I249" i="2"/>
  <c r="I248" i="2" s="1"/>
  <c r="I247" i="2" s="1"/>
  <c r="K250" i="2"/>
  <c r="I318" i="2"/>
  <c r="I317" i="2" s="1"/>
  <c r="I316" i="2" s="1"/>
  <c r="I315" i="2" s="1"/>
  <c r="I623" i="2" s="1"/>
  <c r="H298" i="2"/>
  <c r="H293" i="2" s="1"/>
  <c r="H618" i="2" s="1"/>
  <c r="G480" i="2"/>
  <c r="G479" i="2" s="1"/>
  <c r="I237" i="2"/>
  <c r="I404" i="2"/>
  <c r="H543" i="2"/>
  <c r="G332" i="2"/>
  <c r="G331" i="2" s="1"/>
  <c r="H332" i="2"/>
  <c r="I332" i="2"/>
  <c r="I331" i="2" s="1"/>
  <c r="I330" i="2" s="1"/>
  <c r="I624" i="2" s="1"/>
  <c r="G432" i="2"/>
  <c r="G32" i="2"/>
  <c r="G127" i="2"/>
  <c r="G126" i="2" s="1"/>
  <c r="G617" i="2" s="1"/>
  <c r="D16" i="4" s="1"/>
  <c r="I127" i="2"/>
  <c r="H127" i="2"/>
  <c r="H126" i="2" s="1"/>
  <c r="H617" i="2" s="1"/>
  <c r="E16" i="4" s="1"/>
  <c r="G623" i="2"/>
  <c r="H540" i="2"/>
  <c r="H539" i="2" s="1"/>
  <c r="H643" i="2" s="1"/>
  <c r="G31" i="2"/>
  <c r="G30" i="2" s="1"/>
  <c r="H331" i="2"/>
  <c r="H330" i="2" s="1"/>
  <c r="H624" i="2" s="1"/>
  <c r="I464" i="2"/>
  <c r="K464" i="2" s="1"/>
  <c r="I463" i="2"/>
  <c r="K463" i="2" s="1"/>
  <c r="H387" i="2"/>
  <c r="H632" i="2" s="1"/>
  <c r="H437" i="2"/>
  <c r="I544" i="2"/>
  <c r="G540" i="2"/>
  <c r="G539" i="2" s="1"/>
  <c r="G643" i="2" s="1"/>
  <c r="E27" i="4"/>
  <c r="I15" i="2"/>
  <c r="I14" i="2" s="1"/>
  <c r="I13" i="2" s="1"/>
  <c r="I12" i="2" s="1"/>
  <c r="I33" i="2"/>
  <c r="G227" i="2"/>
  <c r="G226" i="2" s="1"/>
  <c r="G225" i="2" s="1"/>
  <c r="I227" i="2"/>
  <c r="I313" i="2"/>
  <c r="G312" i="2"/>
  <c r="H227" i="2"/>
  <c r="H226" i="2" s="1"/>
  <c r="H225" i="2" s="1"/>
  <c r="I148" i="2"/>
  <c r="I107" i="2"/>
  <c r="I112" i="2"/>
  <c r="I379" i="2"/>
  <c r="I378" i="2" s="1"/>
  <c r="G110" i="2"/>
  <c r="G259" i="2"/>
  <c r="G613" i="2" s="1"/>
  <c r="H516" i="2"/>
  <c r="G562" i="2"/>
  <c r="G644" i="2" s="1"/>
  <c r="D43" i="4" s="1"/>
  <c r="G72" i="2"/>
  <c r="G71" i="2" s="1"/>
  <c r="G70" i="2" s="1"/>
  <c r="H651" i="2"/>
  <c r="E50" i="4" s="1"/>
  <c r="G371" i="2"/>
  <c r="G370" i="2" s="1"/>
  <c r="G363" i="2" s="1"/>
  <c r="G629" i="2" s="1"/>
  <c r="G79" i="2"/>
  <c r="G78" i="2" s="1"/>
  <c r="H260" i="2"/>
  <c r="H259" i="2" s="1"/>
  <c r="H656" i="2"/>
  <c r="E55" i="4" s="1"/>
  <c r="H639" i="2"/>
  <c r="E38" i="4" s="1"/>
  <c r="I592" i="2"/>
  <c r="I591" i="2" s="1"/>
  <c r="I590" i="2" s="1"/>
  <c r="I589" i="2" s="1"/>
  <c r="G639" i="2"/>
  <c r="D38" i="4" s="1"/>
  <c r="H252" i="2"/>
  <c r="H251" i="2" s="1"/>
  <c r="I301" i="2"/>
  <c r="I408" i="2"/>
  <c r="I415" i="2"/>
  <c r="I414" i="2" s="1"/>
  <c r="I413" i="2" s="1"/>
  <c r="H42" i="2"/>
  <c r="H32" i="2" s="1"/>
  <c r="G252" i="2"/>
  <c r="G251" i="2" s="1"/>
  <c r="G285" i="2"/>
  <c r="G284" i="2" s="1"/>
  <c r="G283" i="2" s="1"/>
  <c r="G282" i="2" s="1"/>
  <c r="I285" i="2"/>
  <c r="I284" i="2" s="1"/>
  <c r="I283" i="2" s="1"/>
  <c r="I282" i="2" s="1"/>
  <c r="I551" i="2"/>
  <c r="I80" i="2"/>
  <c r="K80" i="2" s="1"/>
  <c r="I274" i="2"/>
  <c r="I270" i="2" s="1"/>
  <c r="I306" i="2"/>
  <c r="I392" i="2"/>
  <c r="H501" i="2"/>
  <c r="F65" i="4"/>
  <c r="G353" i="2"/>
  <c r="I353" i="2"/>
  <c r="H353" i="2"/>
  <c r="H343" i="2" s="1"/>
  <c r="G361" i="2"/>
  <c r="G360" i="2" s="1"/>
  <c r="G359" i="2" s="1"/>
  <c r="G358" i="2" s="1"/>
  <c r="G416" i="2"/>
  <c r="G415" i="2" s="1"/>
  <c r="G414" i="2" s="1"/>
  <c r="G413" i="2" s="1"/>
  <c r="H415" i="2"/>
  <c r="H414" i="2" s="1"/>
  <c r="H413" i="2" s="1"/>
  <c r="H435" i="2"/>
  <c r="H434" i="2" s="1"/>
  <c r="H433" i="2" s="1"/>
  <c r="I442" i="2"/>
  <c r="G631" i="2"/>
  <c r="D30" i="4" s="1"/>
  <c r="I123" i="2"/>
  <c r="I67" i="2"/>
  <c r="I74" i="2"/>
  <c r="H73" i="2"/>
  <c r="H72" i="2" s="1"/>
  <c r="H71" i="2" s="1"/>
  <c r="H70" i="2" s="1"/>
  <c r="H662" i="2"/>
  <c r="E61" i="4" s="1"/>
  <c r="G145" i="2"/>
  <c r="I89" i="2"/>
  <c r="H233" i="2"/>
  <c r="I255" i="2"/>
  <c r="I252" i="2" s="1"/>
  <c r="I251" i="2" s="1"/>
  <c r="I261" i="2"/>
  <c r="I260" i="2" s="1"/>
  <c r="I369" i="2"/>
  <c r="H366" i="2"/>
  <c r="H365" i="2" s="1"/>
  <c r="H364" i="2" s="1"/>
  <c r="I501" i="2"/>
  <c r="I567" i="2"/>
  <c r="I566" i="2" s="1"/>
  <c r="H371" i="2"/>
  <c r="H370" i="2" s="1"/>
  <c r="I439" i="2"/>
  <c r="I651" i="2"/>
  <c r="F50" i="4" s="1"/>
  <c r="I511" i="2"/>
  <c r="I510" i="2" s="1"/>
  <c r="I509" i="2" s="1"/>
  <c r="I515" i="2"/>
  <c r="I534" i="2"/>
  <c r="I533" i="2" s="1"/>
  <c r="I532" i="2" s="1"/>
  <c r="I531" i="2" s="1"/>
  <c r="I520" i="2" s="1"/>
  <c r="I42" i="2"/>
  <c r="K42" i="2" s="1"/>
  <c r="H637" i="2"/>
  <c r="E36" i="4" s="1"/>
  <c r="H89" i="2"/>
  <c r="H111" i="2"/>
  <c r="H110" i="2" s="1"/>
  <c r="I611" i="2"/>
  <c r="F10" i="4" s="1"/>
  <c r="G611" i="2"/>
  <c r="D10" i="4" s="1"/>
  <c r="H611" i="2"/>
  <c r="E10" i="4" s="1"/>
  <c r="E22" i="4"/>
  <c r="I631" i="2"/>
  <c r="F30" i="4" s="1"/>
  <c r="G462" i="2"/>
  <c r="G515" i="2"/>
  <c r="H657" i="2"/>
  <c r="E56" i="4" s="1"/>
  <c r="G657" i="2"/>
  <c r="D56" i="4" s="1"/>
  <c r="H566" i="2"/>
  <c r="H563" i="2" s="1"/>
  <c r="G586" i="2"/>
  <c r="G585" i="2" s="1"/>
  <c r="G584" i="2" s="1"/>
  <c r="G583" i="2" s="1"/>
  <c r="I563" i="2" l="1"/>
  <c r="I562" i="2" s="1"/>
  <c r="I644" i="2" s="1"/>
  <c r="F43" i="4" s="1"/>
  <c r="I66" i="2"/>
  <c r="K66" i="2" s="1"/>
  <c r="K67" i="2"/>
  <c r="I366" i="2"/>
  <c r="I365" i="2" s="1"/>
  <c r="I364" i="2" s="1"/>
  <c r="K369" i="2"/>
  <c r="I73" i="2"/>
  <c r="K74" i="2"/>
  <c r="I122" i="2"/>
  <c r="K123" i="2"/>
  <c r="I343" i="2"/>
  <c r="K353" i="2"/>
  <c r="I389" i="2"/>
  <c r="K392" i="2"/>
  <c r="I106" i="2"/>
  <c r="K107" i="2"/>
  <c r="I312" i="2"/>
  <c r="K313" i="2"/>
  <c r="I236" i="2"/>
  <c r="K237" i="2"/>
  <c r="I88" i="2"/>
  <c r="K88" i="2" s="1"/>
  <c r="K89" i="2"/>
  <c r="I121" i="2"/>
  <c r="K121" i="2" s="1"/>
  <c r="K122" i="2"/>
  <c r="I105" i="2"/>
  <c r="K105" i="2" s="1"/>
  <c r="K106" i="2"/>
  <c r="I65" i="2"/>
  <c r="K65" i="2" s="1"/>
  <c r="I147" i="2"/>
  <c r="K148" i="2"/>
  <c r="I226" i="2"/>
  <c r="K227" i="2"/>
  <c r="I126" i="2"/>
  <c r="K127" i="2"/>
  <c r="I159" i="2"/>
  <c r="K160" i="2"/>
  <c r="I99" i="2"/>
  <c r="K100" i="2"/>
  <c r="I111" i="2"/>
  <c r="K111" i="2" s="1"/>
  <c r="K112" i="2"/>
  <c r="I396" i="2"/>
  <c r="I395" i="2" s="1"/>
  <c r="H246" i="2"/>
  <c r="I462" i="2"/>
  <c r="I438" i="2"/>
  <c r="G387" i="2"/>
  <c r="G632" i="2" s="1"/>
  <c r="I543" i="2"/>
  <c r="G638" i="2"/>
  <c r="I32" i="2"/>
  <c r="I31" i="2" s="1"/>
  <c r="I30" i="2" s="1"/>
  <c r="I298" i="2"/>
  <c r="I293" i="2" s="1"/>
  <c r="G298" i="2"/>
  <c r="G330" i="2"/>
  <c r="G314" i="2" s="1"/>
  <c r="G104" i="2"/>
  <c r="H363" i="2"/>
  <c r="H629" i="2" s="1"/>
  <c r="H104" i="2"/>
  <c r="I363" i="2"/>
  <c r="I629" i="2" s="1"/>
  <c r="G461" i="2"/>
  <c r="G343" i="2"/>
  <c r="G470" i="2"/>
  <c r="H432" i="2"/>
  <c r="H426" i="2" s="1"/>
  <c r="I540" i="2"/>
  <c r="I470" i="2"/>
  <c r="I465" i="2" s="1"/>
  <c r="H653" i="2"/>
  <c r="E52" i="4" s="1"/>
  <c r="D28" i="4"/>
  <c r="H665" i="2"/>
  <c r="E64" i="4" s="1"/>
  <c r="G665" i="2"/>
  <c r="D64" i="4" s="1"/>
  <c r="H31" i="2"/>
  <c r="H30" i="2" s="1"/>
  <c r="H515" i="2"/>
  <c r="H613" i="2"/>
  <c r="E12" i="4" s="1"/>
  <c r="H633" i="2"/>
  <c r="E32" i="4" s="1"/>
  <c r="G628" i="2"/>
  <c r="D27" i="4" s="1"/>
  <c r="G633" i="2"/>
  <c r="D32" i="4" s="1"/>
  <c r="I633" i="2"/>
  <c r="F32" i="4" s="1"/>
  <c r="I657" i="2"/>
  <c r="F56" i="4" s="1"/>
  <c r="I588" i="2"/>
  <c r="I656" i="2" s="1"/>
  <c r="F55" i="4" s="1"/>
  <c r="G640" i="2"/>
  <c r="D39" i="4" s="1"/>
  <c r="I64" i="2"/>
  <c r="F23" i="4"/>
  <c r="I110" i="2"/>
  <c r="I259" i="2"/>
  <c r="G615" i="2"/>
  <c r="D14" i="4" s="1"/>
  <c r="H145" i="2"/>
  <c r="I508" i="2"/>
  <c r="I660" i="2" s="1"/>
  <c r="F59" i="4" s="1"/>
  <c r="I437" i="2"/>
  <c r="I432" i="2" s="1"/>
  <c r="I426" i="2" s="1"/>
  <c r="H612" i="2"/>
  <c r="E11" i="4" s="1"/>
  <c r="H562" i="2"/>
  <c r="H644" i="2" s="1"/>
  <c r="E43" i="4" s="1"/>
  <c r="G426" i="2"/>
  <c r="I637" i="2"/>
  <c r="F36" i="4" s="1"/>
  <c r="D12" i="4"/>
  <c r="G641" i="2"/>
  <c r="D40" i="4" s="1"/>
  <c r="G664" i="2"/>
  <c r="D63" i="4" s="1"/>
  <c r="E23" i="4"/>
  <c r="G637" i="2"/>
  <c r="D36" i="4" s="1"/>
  <c r="D22" i="4"/>
  <c r="G662" i="2"/>
  <c r="D61" i="4" s="1"/>
  <c r="F22" i="4"/>
  <c r="G651" i="2"/>
  <c r="D50" i="4" s="1"/>
  <c r="I612" i="2"/>
  <c r="F11" i="4" s="1"/>
  <c r="G612" i="2"/>
  <c r="D11" i="4" s="1"/>
  <c r="I79" i="2"/>
  <c r="K79" i="2" s="1"/>
  <c r="H615" i="2"/>
  <c r="E14" i="4" s="1"/>
  <c r="G655" i="2"/>
  <c r="D54" i="4" s="1"/>
  <c r="G582" i="2"/>
  <c r="I655" i="2"/>
  <c r="F54" i="4" s="1"/>
  <c r="I582" i="2"/>
  <c r="E42" i="4"/>
  <c r="H655" i="2"/>
  <c r="E54" i="4" s="1"/>
  <c r="H582" i="2"/>
  <c r="G660" i="2"/>
  <c r="D59" i="4" s="1"/>
  <c r="G507" i="2"/>
  <c r="H660" i="2"/>
  <c r="E59" i="4" s="1"/>
  <c r="H507" i="2"/>
  <c r="H659" i="2" s="1"/>
  <c r="E58" i="4" s="1"/>
  <c r="G627" i="2"/>
  <c r="D26" i="4" s="1"/>
  <c r="I627" i="2"/>
  <c r="F26" i="4" s="1"/>
  <c r="H627" i="2"/>
  <c r="E26" i="4" s="1"/>
  <c r="H88" i="2"/>
  <c r="H79" i="2"/>
  <c r="H664" i="2"/>
  <c r="E63" i="4" s="1"/>
  <c r="G620" i="2"/>
  <c r="D19" i="4" s="1"/>
  <c r="G157" i="2"/>
  <c r="G661" i="2"/>
  <c r="D60" i="4" s="1"/>
  <c r="E31" i="4"/>
  <c r="H385" i="2"/>
  <c r="H649" i="2"/>
  <c r="E48" i="4" s="1"/>
  <c r="H645" i="2"/>
  <c r="E44" i="4" s="1"/>
  <c r="D53" i="4"/>
  <c r="G97" i="2"/>
  <c r="H640" i="2"/>
  <c r="E39" i="4" s="1"/>
  <c r="H620" i="2"/>
  <c r="E19" i="4" s="1"/>
  <c r="H157" i="2"/>
  <c r="E53" i="4"/>
  <c r="H97" i="2"/>
  <c r="I461" i="2" l="1"/>
  <c r="K461" i="2" s="1"/>
  <c r="K462" i="2"/>
  <c r="I235" i="2"/>
  <c r="K236" i="2"/>
  <c r="I388" i="2"/>
  <c r="K389" i="2"/>
  <c r="I72" i="2"/>
  <c r="K73" i="2"/>
  <c r="I639" i="2"/>
  <c r="F38" i="4" s="1"/>
  <c r="K64" i="2"/>
  <c r="I98" i="2"/>
  <c r="K99" i="2"/>
  <c r="I158" i="2"/>
  <c r="K159" i="2"/>
  <c r="I617" i="2"/>
  <c r="F16" i="4" s="1"/>
  <c r="K126" i="2"/>
  <c r="I225" i="2"/>
  <c r="K226" i="2"/>
  <c r="I146" i="2"/>
  <c r="K147" i="2"/>
  <c r="I104" i="2"/>
  <c r="K104" i="2" s="1"/>
  <c r="K110" i="2"/>
  <c r="H661" i="2"/>
  <c r="E60" i="4" s="1"/>
  <c r="I246" i="2"/>
  <c r="H465" i="2"/>
  <c r="H650" i="2" s="1"/>
  <c r="E49" i="4" s="1"/>
  <c r="H638" i="2"/>
  <c r="E37" i="4" s="1"/>
  <c r="G293" i="2"/>
  <c r="G342" i="2"/>
  <c r="G625" i="2" s="1"/>
  <c r="H224" i="2"/>
  <c r="H151" i="2" s="1"/>
  <c r="H103" i="2" s="1"/>
  <c r="I653" i="2"/>
  <c r="F52" i="4" s="1"/>
  <c r="I638" i="2"/>
  <c r="F28" i="4"/>
  <c r="I613" i="2"/>
  <c r="F12" i="4" s="1"/>
  <c r="H630" i="2"/>
  <c r="E29" i="4" s="1"/>
  <c r="I615" i="2"/>
  <c r="F14" i="4" s="1"/>
  <c r="G653" i="2"/>
  <c r="D52" i="4" s="1"/>
  <c r="G465" i="2"/>
  <c r="G650" i="2" s="1"/>
  <c r="D49" i="4" s="1"/>
  <c r="I618" i="2"/>
  <c r="F17" i="4" s="1"/>
  <c r="E28" i="4"/>
  <c r="G624" i="2"/>
  <c r="D23" i="4" s="1"/>
  <c r="I314" i="2"/>
  <c r="H78" i="2"/>
  <c r="H641" i="2" s="1"/>
  <c r="E40" i="4" s="1"/>
  <c r="I78" i="2"/>
  <c r="H342" i="2"/>
  <c r="H625" i="2" s="1"/>
  <c r="H538" i="2"/>
  <c r="G224" i="2"/>
  <c r="G151" i="2" s="1"/>
  <c r="G103" i="2" s="1"/>
  <c r="I539" i="2"/>
  <c r="H314" i="2"/>
  <c r="E17" i="4"/>
  <c r="I645" i="2"/>
  <c r="F44" i="4" s="1"/>
  <c r="I649" i="2"/>
  <c r="F48" i="4" s="1"/>
  <c r="I342" i="2"/>
  <c r="I625" i="2" s="1"/>
  <c r="G11" i="2"/>
  <c r="G636" i="2" s="1"/>
  <c r="H619" i="2"/>
  <c r="E18" i="4" s="1"/>
  <c r="D31" i="4"/>
  <c r="G385" i="2"/>
  <c r="G619" i="2"/>
  <c r="D18" i="4" s="1"/>
  <c r="G649" i="2"/>
  <c r="D48" i="4" s="1"/>
  <c r="G645" i="2"/>
  <c r="D44" i="4" s="1"/>
  <c r="G659" i="2"/>
  <c r="D58" i="4" s="1"/>
  <c r="I507" i="2"/>
  <c r="I659" i="2" s="1"/>
  <c r="F58" i="4" s="1"/>
  <c r="D42" i="4"/>
  <c r="G538" i="2"/>
  <c r="G642" i="2" s="1"/>
  <c r="I71" i="2" l="1"/>
  <c r="K72" i="2"/>
  <c r="K388" i="2"/>
  <c r="I387" i="2"/>
  <c r="I632" i="2" s="1"/>
  <c r="F31" i="4" s="1"/>
  <c r="I234" i="2"/>
  <c r="K235" i="2"/>
  <c r="I641" i="2"/>
  <c r="F40" i="4" s="1"/>
  <c r="K78" i="2"/>
  <c r="K146" i="2"/>
  <c r="I145" i="2"/>
  <c r="I662" i="2"/>
  <c r="F61" i="4" s="1"/>
  <c r="K225" i="2"/>
  <c r="I664" i="2"/>
  <c r="F63" i="4" s="1"/>
  <c r="K158" i="2"/>
  <c r="I620" i="2"/>
  <c r="F19" i="4" s="1"/>
  <c r="I157" i="2"/>
  <c r="I654" i="2"/>
  <c r="F53" i="4" s="1"/>
  <c r="K98" i="2"/>
  <c r="I97" i="2"/>
  <c r="I610" i="2"/>
  <c r="F9" i="4" s="1"/>
  <c r="K246" i="2"/>
  <c r="G618" i="2"/>
  <c r="D17" i="4" s="1"/>
  <c r="G246" i="2"/>
  <c r="G610" i="2" s="1"/>
  <c r="D9" i="4" s="1"/>
  <c r="I643" i="2"/>
  <c r="F42" i="4" s="1"/>
  <c r="H642" i="2"/>
  <c r="E41" i="4" s="1"/>
  <c r="D24" i="4"/>
  <c r="H663" i="2"/>
  <c r="E62" i="4" s="1"/>
  <c r="I385" i="2"/>
  <c r="I245" i="2" s="1"/>
  <c r="K245" i="2" s="1"/>
  <c r="G663" i="2"/>
  <c r="D62" i="4" s="1"/>
  <c r="H610" i="2"/>
  <c r="H621" i="2"/>
  <c r="E20" i="4" s="1"/>
  <c r="I621" i="2"/>
  <c r="F20" i="4" s="1"/>
  <c r="G630" i="2"/>
  <c r="D29" i="4" s="1"/>
  <c r="G621" i="2"/>
  <c r="D20" i="4" s="1"/>
  <c r="F24" i="4"/>
  <c r="E24" i="4"/>
  <c r="H11" i="2"/>
  <c r="H636" i="2" s="1"/>
  <c r="H514" i="2"/>
  <c r="I538" i="2"/>
  <c r="H245" i="2"/>
  <c r="D37" i="4"/>
  <c r="F37" i="4"/>
  <c r="D41" i="4"/>
  <c r="G514" i="2"/>
  <c r="D35" i="4"/>
  <c r="G10" i="2"/>
  <c r="G245" i="2" l="1"/>
  <c r="G607" i="2" s="1"/>
  <c r="G609" i="2" s="1"/>
  <c r="I233" i="2"/>
  <c r="K234" i="2"/>
  <c r="I70" i="2"/>
  <c r="K71" i="2"/>
  <c r="K97" i="2"/>
  <c r="I650" i="2"/>
  <c r="F49" i="4" s="1"/>
  <c r="K145" i="2"/>
  <c r="I661" i="2"/>
  <c r="F60" i="4" s="1"/>
  <c r="K157" i="2"/>
  <c r="I619" i="2"/>
  <c r="F18" i="4" s="1"/>
  <c r="E9" i="4"/>
  <c r="H667" i="2"/>
  <c r="E66" i="4" s="1"/>
  <c r="I642" i="2"/>
  <c r="F41" i="4" s="1"/>
  <c r="I630" i="2"/>
  <c r="F29" i="4" s="1"/>
  <c r="I514" i="2"/>
  <c r="D67" i="4"/>
  <c r="E35" i="4"/>
  <c r="H10" i="2"/>
  <c r="G667" i="2"/>
  <c r="D66" i="4" s="1"/>
  <c r="K70" i="2" l="1"/>
  <c r="I640" i="2"/>
  <c r="F39" i="4" s="1"/>
  <c r="I11" i="2"/>
  <c r="K233" i="2"/>
  <c r="I665" i="2"/>
  <c r="F64" i="4" s="1"/>
  <c r="I224" i="2"/>
  <c r="E67" i="4"/>
  <c r="H607" i="2"/>
  <c r="H668" i="2" s="1"/>
  <c r="G668" i="2"/>
  <c r="I10" i="2" l="1"/>
  <c r="I636" i="2"/>
  <c r="K224" i="2"/>
  <c r="I663" i="2"/>
  <c r="F62" i="4" s="1"/>
  <c r="I151" i="2"/>
  <c r="F35" i="4" l="1"/>
  <c r="F67" i="4" s="1"/>
  <c r="I667" i="2"/>
  <c r="F66" i="4" s="1"/>
  <c r="K151" i="2"/>
  <c r="I103" i="2"/>
  <c r="K103" i="2" s="1"/>
  <c r="K607" i="2" l="1"/>
  <c r="I607" i="2"/>
  <c r="I609" i="2" s="1"/>
  <c r="I668" i="2" l="1"/>
</calcChain>
</file>

<file path=xl/sharedStrings.xml><?xml version="1.0" encoding="utf-8"?>
<sst xmlns="http://schemas.openxmlformats.org/spreadsheetml/2006/main" count="3393" uniqueCount="507">
  <si>
    <t xml:space="preserve">Наименование </t>
  </si>
  <si>
    <t>2015г</t>
  </si>
  <si>
    <t>Изменения</t>
  </si>
  <si>
    <t>Итого с изменениями 2015г</t>
  </si>
  <si>
    <t xml:space="preserve">Коды бюджетной классификации </t>
  </si>
  <si>
    <t>Ведомства</t>
  </si>
  <si>
    <t>Раздел</t>
  </si>
  <si>
    <t>Подраздел</t>
  </si>
  <si>
    <t>Целевая статья</t>
  </si>
  <si>
    <t>Вид расхода</t>
  </si>
  <si>
    <t>Отдел образования Онгудайского района</t>
  </si>
  <si>
    <t>074</t>
  </si>
  <si>
    <t xml:space="preserve">Образование </t>
  </si>
  <si>
    <t>07</t>
  </si>
  <si>
    <t>Дошкольное образование</t>
  </si>
  <si>
    <t>01</t>
  </si>
  <si>
    <t xml:space="preserve">Муниципальная программа" Социальное развитие муниципального образования  «Онгудайский район» </t>
  </si>
  <si>
    <t>02 0 0000</t>
  </si>
  <si>
    <t>Подпрограмма  "Развитие  образования муниципального образования "Онгудайский район" на 2013-2018 гг."</t>
  </si>
  <si>
    <t>02 3 0000</t>
  </si>
  <si>
    <t>ВЦП "Развитие доступного дошкольного образования в муниципальном образовании "Онгудайский район" на 2013-2015 гг."</t>
  </si>
  <si>
    <t>02 3 1000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</si>
  <si>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</si>
  <si>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0231000</t>
  </si>
  <si>
    <t>611</t>
  </si>
  <si>
    <t>Субсидии бюджетным учреждениям на иные цели</t>
  </si>
  <si>
    <t>612</t>
  </si>
  <si>
    <t>7950000</t>
  </si>
  <si>
    <t>Общее образование</t>
  </si>
  <si>
    <t>02</t>
  </si>
  <si>
    <t>ВЦП ""Развитие  доступного общего образования в муниципальном образовании "Онгудайский район" на 2013-2015 гг".</t>
  </si>
  <si>
    <t>0232000</t>
  </si>
  <si>
    <t>ВЦП "Развитие  дополнительного  образования детей в сфере культуры  муниципального образования "Онгудайский район"  2013-2015 гг".</t>
  </si>
  <si>
    <t>0236000</t>
  </si>
  <si>
    <t xml:space="preserve">ВЦП «Совершенствование организации питания в   организованных детских коллективах Онгудайского района на 2013-2015 годы»
</t>
  </si>
  <si>
    <t>0237000</t>
  </si>
  <si>
    <t>ВЦП "Улучшение условий и охраны труда в образовательных учреждениях Онгудайского района  на 2013-2015 годы"</t>
  </si>
  <si>
    <t>0239000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</si>
  <si>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образования" муниципальной программы МО "Онгудайский район" "Социальное развитие"</t>
  </si>
  <si>
    <t>Обеспечение питанием учащихся из малообеспеченных семей в рамках подпрограммы "Развитие образования" муниципальной программы МО "Онгудайскийрайон" "Социальное развитие"</t>
  </si>
  <si>
    <t>Выплата ежемесячной надбавки к заработной плате педагогическим работникам, отнесенным к категории молодых специалистов, в рамках подпрограммы "Развитие образования" муниципальной программы МО "Онгудайский район" "Социальное развитие"</t>
  </si>
  <si>
    <t xml:space="preserve">Переподготовка и повышение квалификации </t>
  </si>
  <si>
    <t>05</t>
  </si>
  <si>
    <t>0200000</t>
  </si>
  <si>
    <t>0230000</t>
  </si>
  <si>
    <t>Молодежная политика и оздоровление детей</t>
  </si>
  <si>
    <t>ВЦП "Организация отдыха, оздоровления и занятости детей в муниципальных образовательных учреждениях муниципального образования "Онгудайский район" на 2013-2015 гг"</t>
  </si>
  <si>
    <t>0238000</t>
  </si>
  <si>
    <t>0236509</t>
  </si>
  <si>
    <t>Другие вопросы в области образования</t>
  </si>
  <si>
    <t>09</t>
  </si>
  <si>
    <t>АВЦП "Повышение эффективности  муниципального управления   отдела образования Администрации района (аймака) муниципального образования «Онгудайский  район» на 2013 – 2015 годы».</t>
  </si>
  <si>
    <t>0200074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</si>
  <si>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</si>
  <si>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</si>
  <si>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</si>
  <si>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</si>
  <si>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</si>
  <si>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</si>
  <si>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</si>
  <si>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</si>
  <si>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</si>
  <si>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</si>
  <si>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</si>
  <si>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</si>
  <si>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</si>
  <si>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</si>
  <si>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 на 2013г-2015г"</t>
  </si>
  <si>
    <t>02 3 Л000</t>
  </si>
  <si>
    <t>Социальная политика</t>
  </si>
  <si>
    <t>10</t>
  </si>
  <si>
    <t>Охрана семьи и детства</t>
  </si>
  <si>
    <t>04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</si>
  <si>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образования" муниципальной программы МО "Онгудайский район" "Социальное развитие"</t>
  </si>
  <si>
    <t>Пособия, компенсации и иные социальные выплаты гражданам, кроме публичных нормативных обязательств</t>
  </si>
  <si>
    <t>321</t>
  </si>
  <si>
    <t>Управление по экономике и финансам Онгудайского района</t>
  </si>
  <si>
    <t>092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</si>
  <si>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</si>
  <si>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</si>
  <si>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"Управление муниципальными финансами и имуществом  муниципального образования «Онгудайский район»</t>
  </si>
  <si>
    <t>0300000</t>
  </si>
  <si>
    <t>АВЦП "Обеспечение деятельности Управления по экономике и финансам  администрации МО "Онгудайский район"</t>
  </si>
  <si>
    <t>0300092</t>
  </si>
  <si>
    <t>Обеспечение деятельности  финансовых, налоговых и таможенных  органов и органов финансового надзора</t>
  </si>
  <si>
    <t>06</t>
  </si>
  <si>
    <t>Резервные фонды</t>
  </si>
  <si>
    <t>11</t>
  </si>
  <si>
    <t>Непрограммные направления деятельности</t>
  </si>
  <si>
    <t>9900000</t>
  </si>
  <si>
    <t>Резервный фонд местной администрации</t>
  </si>
  <si>
    <t>Резервные средства</t>
  </si>
  <si>
    <t>870</t>
  </si>
  <si>
    <t>Другие общегосударственные вопросы</t>
  </si>
  <si>
    <t>13</t>
  </si>
  <si>
    <t>99 0 0000</t>
  </si>
  <si>
    <t>Национальная экономика</t>
  </si>
  <si>
    <t>Другие вопросы в области национальной экономики</t>
  </si>
  <si>
    <t>12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</si>
  <si>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</si>
  <si>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</si>
  <si>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</si>
  <si>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</si>
  <si>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Подпрограмма "Повышение качества управления муниципальными финансами муниципального образования "Онгудайский район" на 2013-2018гг."</t>
  </si>
  <si>
    <t>0310000</t>
  </si>
  <si>
    <t>ВЦП "Обеспечение сбалансированности и устойчивости местного бюджета муниципального образования "Онгудайский район" на 2013-2018гг."</t>
  </si>
  <si>
    <t>0311000</t>
  </si>
  <si>
    <t>Межбюджетные трансферты</t>
  </si>
  <si>
    <t>Национальная оборона</t>
  </si>
  <si>
    <t>00</t>
  </si>
  <si>
    <t>Мобилизационная  и вневойсковая подготовка</t>
  </si>
  <si>
    <t>03</t>
  </si>
  <si>
    <t>03 15118</t>
  </si>
  <si>
    <t>Субвенции</t>
  </si>
  <si>
    <t>0315118</t>
  </si>
  <si>
    <t>530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</si>
  <si>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</si>
  <si>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</si>
  <si>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</si>
  <si>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</si>
  <si>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</t>
  </si>
  <si>
    <t>511</t>
  </si>
  <si>
    <t>Администрация Онгудайского района (аймака)</t>
  </si>
  <si>
    <t>800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</si>
  <si>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</si>
  <si>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</si>
  <si>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направления деятельности местной администрации</t>
  </si>
  <si>
    <t>99 2 0800</t>
  </si>
  <si>
    <t>Высшее должностное лицо муниципального образования и его заместители</t>
  </si>
  <si>
    <t>99 2 1800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</si>
  <si>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</si>
  <si>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Непрограммные направления деятельности представительного органа муниципального образования</t>
  </si>
  <si>
    <t>99 0 0800</t>
  </si>
  <si>
    <t>Председатель представительного органа муниципального образования</t>
  </si>
  <si>
    <t>99 0 1800</t>
  </si>
  <si>
    <t>Материально-техническое обеспечение представительного органа муниципального образования</t>
  </si>
  <si>
    <t>99 0 Л800</t>
  </si>
  <si>
    <t>Муниципальная программа "Экономическое развитие муниципального образования «Онгудайский район»</t>
  </si>
  <si>
    <t>0100000</t>
  </si>
  <si>
    <t>АВЦП" Обеспечение деятельности Администрации МО "Онгудайский район" на 2013-2015 гг.</t>
  </si>
  <si>
    <t>01 0 0800</t>
  </si>
  <si>
    <t>010 0800</t>
  </si>
  <si>
    <t xml:space="preserve">Уплата налога на имущество организаций и земельного налога
</t>
  </si>
  <si>
    <t xml:space="preserve">Заместители высшего должностного  лица  муниципального образования 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</si>
  <si>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</si>
  <si>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</si>
  <si>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990Г501</t>
  </si>
  <si>
    <t>0210000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</si>
  <si>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</si>
  <si>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</si>
  <si>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Обеспечение полномочий в области архивного дела</t>
  </si>
  <si>
    <t>243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</si>
  <si>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</si>
  <si>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</si>
  <si>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</si>
  <si>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04 0 0000</t>
  </si>
  <si>
    <t>Подпрограмма " Обеспечение безопасности населения муниципального образования "Онгудайский район" на 2013-2018 гг."</t>
  </si>
  <si>
    <t>04 1 0000</t>
  </si>
  <si>
    <t>ВЦП "Устойчивое развитие систем предупреждения чрезвычайных ситуаций и ликвидация их последствий в муниципальном образовании "Онгудайский район" на 2013-2015 гг."</t>
  </si>
  <si>
    <t>04 1 4000</t>
  </si>
  <si>
    <t>Другие вопросы в области национальной безопасности и правоохранительной деятельности</t>
  </si>
  <si>
    <t>ВЦП "Комплексные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район" на 2013-2015 гг."</t>
  </si>
  <si>
    <t>04 1 1000</t>
  </si>
  <si>
    <t>ВЦП "Профилактика правонарушений и обеспечение безопасности и правопорядка в муниципальном образовании "Онгудайский район" на 2013-2015 гг."</t>
  </si>
  <si>
    <t>04 12000</t>
  </si>
  <si>
    <t>04 1 2000</t>
  </si>
  <si>
    <t>ВЦП "Профилактика экстремизма, а так же минимизация и (или) ликвидация последствий проявлений экстремизма в муниципальном образовании "Онгудайский район" на 2013-2015 гг."</t>
  </si>
  <si>
    <t xml:space="preserve">04 1 3000 </t>
  </si>
  <si>
    <t>0413000</t>
  </si>
  <si>
    <t>Сельское хозяйство и рыболовство</t>
  </si>
  <si>
    <t>Подпрограмма "Развитие конкурентоспособной экономики муниципального образования "Онгудайский район"на 2013-2018 гг.№</t>
  </si>
  <si>
    <t>0110000</t>
  </si>
  <si>
    <t>ВЦП "Развитие  агропромышленного комплекса муниципального образования "Онгудайский район" на 2013-2015 гг."</t>
  </si>
  <si>
    <t>Дорожное хояйство (дорожные фонды)</t>
  </si>
  <si>
    <t>0400000</t>
  </si>
  <si>
    <t>Подпрограмма "Развитие инфраструктуры района"</t>
  </si>
  <si>
    <t>0420000</t>
  </si>
  <si>
    <t>0422000</t>
  </si>
  <si>
    <t>Другие вопросы в области  национальной экономики</t>
  </si>
  <si>
    <t>Подпрограмма "Развитие малого и среднего предпринимательства муниципального образования "Онгудайский район" на 2013-2018 гг."</t>
  </si>
  <si>
    <t>0130000</t>
  </si>
  <si>
    <t>ВЦП "Поддержка малого и среднего предпринимательства в Онгудайском районе на 2013-2015 гг."</t>
  </si>
  <si>
    <t>0131000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</si>
  <si>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</si>
  <si>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</si>
  <si>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Подпрограмма "Повышение качества управления муниципальным имуществом и земельными ресурсами муниципального образования  "Онгудайский район" на 2013-2018 гг."</t>
  </si>
  <si>
    <t>0320000</t>
  </si>
  <si>
    <t>ВЦП "Формирование эффективной системы управления и распоряжения муниципальным имуществом муниципального образования "Онгудайский район" на 2013-2015 гг"</t>
  </si>
  <si>
    <t>0321000</t>
  </si>
  <si>
    <t>ВЦП "Повышение эффективности использования земельных участков муниципального образования "Онгудайский район" на 2013-2015 гг."</t>
  </si>
  <si>
    <t>0322000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</si>
  <si>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</si>
  <si>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</si>
  <si>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Финансирование БУ ОКС муниципального образования "Онгудайский район"</t>
  </si>
  <si>
    <t>Жилищно-коммунальное хозяйство</t>
  </si>
  <si>
    <t>Жилищное хозяйство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</si>
  <si>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</si>
  <si>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</si>
  <si>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</si>
  <si>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01 1 0000</t>
  </si>
  <si>
    <t>ВЦП "Устойчивое развитие сельских территорий муниципального образования "Онгудайский район" на 2013-2015 гг."</t>
  </si>
  <si>
    <t>01 1 2000</t>
  </si>
  <si>
    <t>0112000</t>
  </si>
  <si>
    <t>Энергосбережение и повышение энергетической эффективности в коммунальном хозяйстве, жилищной сфере и социальной сферы в муниципальном образовании "Онгудайский район" на 2013-2015гг.</t>
  </si>
  <si>
    <t>0421000</t>
  </si>
  <si>
    <t>Закупка товаров, работ, услуг в целях капитального ремонта государственного (муниципального) имущества</t>
  </si>
  <si>
    <t>Программа комплексного развития систем коммунальной и транспортной инфраструктуры муниципального образования "Онгудайский район" на 2013-2015гг.</t>
  </si>
  <si>
    <t>Благоустрой ство</t>
  </si>
  <si>
    <t>ВЦП "Благоустройство  территории  муниципального образования "Онгудайский район" на 2013-2015гг."</t>
  </si>
  <si>
    <t>0424000</t>
  </si>
  <si>
    <t>ВЦП "Отходы  в муниципальном образовании "Онгудайский район" на 2013-2015гг."</t>
  </si>
  <si>
    <t>0426000</t>
  </si>
  <si>
    <t>Образование</t>
  </si>
  <si>
    <t>0120000</t>
  </si>
  <si>
    <t xml:space="preserve">ВЦП «Развитие дополнительного образования детей в Онгудайском районе на базе МАОУ ДОД «Онгудайская детская школа искусств»на 2013 – 2015 годы».
</t>
  </si>
  <si>
    <t xml:space="preserve">02 3 3000 </t>
  </si>
  <si>
    <t>0233000</t>
  </si>
  <si>
    <t>Субсидии автономным учреждениям на иные цели</t>
  </si>
  <si>
    <t>622</t>
  </si>
  <si>
    <t xml:space="preserve">ВЦП "Развитие дополнительного образования детей в сфере спорта  в  Онгудайском районе на базе   Детско –юношеской спортивной школ им.  Н.В. Кулачева  на 2013 – 2015 годы».
</t>
  </si>
  <si>
    <t>02 3 4000</t>
  </si>
  <si>
    <t>Здравоохранение</t>
  </si>
  <si>
    <t>Другие вопросы в области здравоохранения</t>
  </si>
  <si>
    <t>Подпрограмма "Развитие систем социальной поддержки населения муниципального образования "Онгудайский район" на 2013-2018 гг."</t>
  </si>
  <si>
    <t>02 20000</t>
  </si>
  <si>
    <t>ВЦП "Оказание дополнительных мер социальной поддержки отдельным категориям  граждан муниципального образования "Онгудайский район" на 2013-2015 гг."</t>
  </si>
  <si>
    <t>02 2 2000</t>
  </si>
  <si>
    <t>Муниципальные целевые программы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</si>
  <si>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</si>
  <si>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</si>
  <si>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Пенсионное обеспечение</t>
  </si>
  <si>
    <t>Доплата к пенсии</t>
  </si>
  <si>
    <t>9900001</t>
  </si>
  <si>
    <t>Иные пенсии, социальные доплаты к пенсиям</t>
  </si>
  <si>
    <t>312</t>
  </si>
  <si>
    <t>Социальное обеспечение населения</t>
  </si>
  <si>
    <t>0112001</t>
  </si>
  <si>
    <t>Подпрограмма "Развитие культуры, спорта, молодежной политики в муниципальном образовании"Онгудайский район" на 2013-2018 гг."</t>
  </si>
  <si>
    <t>ВЦП "Реализация молодежной политики муниципального образования "Онгудайский район" на 2013-2015 гг."</t>
  </si>
  <si>
    <t>0213001</t>
  </si>
  <si>
    <t>Оказание материальной поддержки , оказавшихся в трудной жизненной ситации</t>
  </si>
  <si>
    <t>9900002</t>
  </si>
  <si>
    <t>Обеспечение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(через Министерство труда и социального развития Республики Алтай)обеспечении жильем ветеранов Великой Отечественной войны 1941 - 1945 годов",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</si>
  <si>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9905135</t>
  </si>
  <si>
    <t>Пособия, компенсации, меры социальной поддержки по публичным нормативным обязательствам</t>
  </si>
  <si>
    <t>313</t>
  </si>
  <si>
    <t>Другие вопросы в области социальной политики</t>
  </si>
  <si>
    <t xml:space="preserve">Осуществления уведомительной регистрации территориальных соглашений и коллективных договоров </t>
  </si>
  <si>
    <t>9904510</t>
  </si>
  <si>
    <t>Средства массовой информации</t>
  </si>
  <si>
    <t>Периодическая печать и издательства</t>
  </si>
  <si>
    <t>010000</t>
  </si>
  <si>
    <t>Подпрограмма "Создание условий для развития инвестиционного, инновационного, информационного и имиджевого потенциала муниципального образования "Онгудайский район" на 2013-2018 гг."</t>
  </si>
  <si>
    <t>ВЦП "Обеспечение доступности информации для населения муниципального образования "Онгудайский район" на 2013-2015 гг."</t>
  </si>
  <si>
    <t>0122000</t>
  </si>
  <si>
    <t xml:space="preserve">Отдел культуры, спорта и туризма </t>
  </si>
  <si>
    <t xml:space="preserve">АВЦП "«Повышение эффективности муниципального  управления в Отделе культуры, спорта, и туризма администрации района (аймака) муниципального образования  «Онгудайский район»  на 2013 – 2015 годы»
</t>
  </si>
  <si>
    <t>0200810</t>
  </si>
  <si>
    <t>0213000</t>
  </si>
  <si>
    <t>Культура и кинематография</t>
  </si>
  <si>
    <t>08</t>
  </si>
  <si>
    <t>Культура</t>
  </si>
  <si>
    <t>ВЦП "Развитие культуры в муниципальном образовании "Онгудайский район" на 2013-2015 гг."</t>
  </si>
  <si>
    <t>0211000</t>
  </si>
  <si>
    <t>Субсидии бюджетным  учреждениям на иные цели</t>
  </si>
  <si>
    <t>ВЦП "Развитие библиотечного обслуживания в муниципальном образовании"Онгудайский район" на 2013-2015 гг."</t>
  </si>
  <si>
    <t>0216000</t>
  </si>
  <si>
    <t>Комплектование книжных фондов библиотек муниципальных образований и государственных библиотек городов Москвы и Санкт- Петербурга в рамках подпрограммы "Библиотечное и архивное дело" государственной программы Республики Алтай "Развитие культуры"</t>
  </si>
  <si>
    <t>0215144</t>
  </si>
  <si>
    <t>Другие вопросы в области культуры, кинематографии</t>
  </si>
  <si>
    <t>ВЦП "Обеспечение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</si>
  <si>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02 1 Л000</t>
  </si>
  <si>
    <t>Уплата налога на имущество организаций и земельного налога</t>
  </si>
  <si>
    <t>02 2 0000</t>
  </si>
  <si>
    <t>ВЦП "Социальная защита населения (ветераны, институт семьи) в муниципальном образовании "Онгудайский район" на 2013-2015 гг."</t>
  </si>
  <si>
    <t>02 2 1000</t>
  </si>
  <si>
    <t>Физическая культура и спорт</t>
  </si>
  <si>
    <t xml:space="preserve">Физическая культура </t>
  </si>
  <si>
    <t>ВЦП "Развитие физической культуры, спорта  и формирование здорового образа жизни в муниципальном образовании "Онгудайский район" на 2013-2015 "гг.</t>
  </si>
  <si>
    <t>0212000</t>
  </si>
  <si>
    <t>99</t>
  </si>
  <si>
    <t xml:space="preserve">Всего </t>
  </si>
  <si>
    <t>0100</t>
  </si>
  <si>
    <t>Р.Б.</t>
  </si>
  <si>
    <t>М.Б,</t>
  </si>
  <si>
    <t>Дотация на варвивание мун району</t>
  </si>
  <si>
    <t xml:space="preserve">Дотация на варвивание мун району </t>
  </si>
  <si>
    <t>Дефицит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</si>
  <si>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</si>
  <si>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</si>
  <si>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</si>
  <si>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</si>
  <si>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</si>
  <si>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</si>
  <si>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</si>
  <si>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</si>
  <si>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</si>
  <si>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</si>
  <si>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</si>
  <si>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</si>
  <si>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</si>
  <si>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</si>
  <si>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</si>
  <si>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</si>
  <si>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</si>
  <si>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финансовых,органов финансового (финансово-бюджетного) надзора</t>
  </si>
  <si>
    <t>Мобилизационная и вневойсковая подготовка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</si>
  <si>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</si>
  <si>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</si>
  <si>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Общеэкономические вопросы</t>
  </si>
  <si>
    <t>Дорожное хозяйство ( дорожные фонды)</t>
  </si>
  <si>
    <t>Жилищно- коммунальное хозяйство</t>
  </si>
  <si>
    <t>Благоустройство</t>
  </si>
  <si>
    <t>Охрана окружающей среды</t>
  </si>
  <si>
    <t>Профессиональная подготовка, переподготовка и повышение квалификации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</si>
  <si>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</si>
  <si>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</si>
  <si>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Здравоохранение </t>
  </si>
  <si>
    <t>Стационарная медицинская помощь</t>
  </si>
  <si>
    <t>Амбулаторная помощь</t>
  </si>
  <si>
    <t>Скорая медицинская помощь</t>
  </si>
  <si>
    <t>Социальное обслуживание населения</t>
  </si>
  <si>
    <t>Социальное обеспечение население</t>
  </si>
  <si>
    <t>Охрана семьи  и детства</t>
  </si>
  <si>
    <t>Физическая культура</t>
  </si>
  <si>
    <t xml:space="preserve">Межбюджетные трансферты бюджетам субъектов РФ и муниципальных образований 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</si>
  <si>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</si>
  <si>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</si>
  <si>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</si>
  <si>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ВСЕГО РАСХОДОВ</t>
  </si>
  <si>
    <t xml:space="preserve"> Приложение 8</t>
  </si>
  <si>
    <t>РАСПРЕДЕЛЕНИЕ</t>
  </si>
  <si>
    <t xml:space="preserve"> Приложение 12</t>
  </si>
  <si>
    <t xml:space="preserve">бюджетных ассигнований по разделам и подразделам   классификации расходов  бюджета муниципального образования  "Онгудайский район" на 2015год                                           </t>
  </si>
  <si>
    <t>Наименование показателя</t>
  </si>
  <si>
    <t>Раздел, подраздел</t>
  </si>
  <si>
    <t>Изменения (+,-)</t>
  </si>
  <si>
    <t>Сумма  на 2015г</t>
  </si>
  <si>
    <t xml:space="preserve">Ведомственная структура  расходов бюджета муниципального образования "Онгудайский район" </t>
  </si>
  <si>
    <t>Приложение 16</t>
  </si>
  <si>
    <t>Дорожный фонд муниципального образования "Онгудайский район"</t>
  </si>
  <si>
    <t>04220Д0</t>
  </si>
  <si>
    <t>0311М00</t>
  </si>
  <si>
    <t>(тыс руб)</t>
  </si>
  <si>
    <t>(тыс. руб.)</t>
  </si>
  <si>
    <t>0422001</t>
  </si>
  <si>
    <t>Выплата заработной платы прочему персоналу дошкольных образовательных организаций в рамках ВЦП "Развитие доступного дошкольного образования в муниципальном образовании "Онгудайский район" на 2013-2015 гг."</t>
  </si>
  <si>
    <t>0231001</t>
  </si>
  <si>
    <t>Выплата заработной платы прочему персоналу общеобразовательных организаций в рамках ВЦП ""Развитие  доступного общего образования в муниципальном образовании "Онгудайский район" на 2013-2015 гг".</t>
  </si>
  <si>
    <t>0232001</t>
  </si>
  <si>
    <t xml:space="preserve">Субсидии на исполнение Указов Президента РФ в рамках подпрограммы Развитие образования </t>
  </si>
  <si>
    <t>02360Л0</t>
  </si>
  <si>
    <t>02 3 1506</t>
  </si>
  <si>
    <t>02 3 1507</t>
  </si>
  <si>
    <t>02 3 1508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</si>
  <si>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</si>
  <si>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0232505</t>
  </si>
  <si>
    <t>030Л092</t>
  </si>
  <si>
    <t>ВЦП "Повышение качества финансового менеджмента главных распорядителей бюджета муниципального образования "Онгудайский район" Республики Алтай в 2013-2015 годах"</t>
  </si>
  <si>
    <t>0312000</t>
  </si>
  <si>
    <t>0132000</t>
  </si>
  <si>
    <t xml:space="preserve">Субвенции на осуществление первичного воинского учета на территориях, где отсутствуют военные комиссариаты </t>
  </si>
  <si>
    <t>ВЦП "Обеспечение сбалансированности и устойчивости местного бюджета муниципального образования "Онгудайский район" на 2013-2015гг."</t>
  </si>
  <si>
    <t xml:space="preserve"> Прочие межбюджетные трансферты общего характера. 
</t>
  </si>
  <si>
    <t>Прочие межбюджетные трансферты общего характера</t>
  </si>
  <si>
    <t>Иные дотации</t>
  </si>
  <si>
    <t>512</t>
  </si>
  <si>
    <t>0312534</t>
  </si>
  <si>
    <t>99 0 2506</t>
  </si>
  <si>
    <t>9902502</t>
  </si>
  <si>
    <t>9902503</t>
  </si>
  <si>
    <t>9904502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</si>
  <si>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</si>
  <si>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990А531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</si>
  <si>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</si>
  <si>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9908532</t>
  </si>
  <si>
    <t>Обеспечение мероприятий , посвященных 70-летию Победы в  Великой Отечественной войне 1941 - 1945 годов</t>
  </si>
  <si>
    <t>02160Л0</t>
  </si>
  <si>
    <t xml:space="preserve">  на 2015  год</t>
  </si>
  <si>
    <t xml:space="preserve">Непрограммные направления деятельности </t>
  </si>
  <si>
    <t>9900003</t>
  </si>
  <si>
    <t>Другие вопросы в области охраны окружающей среды</t>
  </si>
  <si>
    <t>Организация и регулирование использования охотничьих ресурсов</t>
  </si>
  <si>
    <t>Субсидии некоммерческим организациям</t>
  </si>
  <si>
    <t>9900004</t>
  </si>
  <si>
    <t>630</t>
  </si>
  <si>
    <t>Иные выплат,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</si>
  <si>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</si>
  <si>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</si>
  <si>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99000Ш2</t>
  </si>
  <si>
    <t>Обслуживание муниципального долга</t>
  </si>
  <si>
    <t>730</t>
  </si>
  <si>
    <t xml:space="preserve">Предоставлению дотаций на выравнивание бюджетной обеспеченности бюджетам поселений за счет средств республиканского бюджета </t>
  </si>
  <si>
    <t>0311М01</t>
  </si>
  <si>
    <t>9900008</t>
  </si>
  <si>
    <t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</si>
  <si>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Обеспечение деятельности  муниципального архива</t>
  </si>
  <si>
    <t>Материально-техническое обеспечение Контрольно-счетной палаты МО "Онгудайский  район"</t>
  </si>
  <si>
    <t>9900007</t>
  </si>
  <si>
    <t>9900006</t>
  </si>
  <si>
    <t>Обеспечение мероприятий, связанных с подготовкой и  ликвидацией  возникновения чрезвычайных ситуаций</t>
  </si>
  <si>
    <t>Приобретение жилья для детей -сирот по решению суда</t>
  </si>
  <si>
    <t>Бюджетные инвестиции на приобретение объектов недвижимого имущества в муниципальную собственность</t>
  </si>
  <si>
    <t>464</t>
  </si>
  <si>
    <t>Субсидии на осуществление капитальных вложений в объекты капитального строительства муниципальной  собственности бюджетным учреждениям</t>
  </si>
  <si>
    <t>042Г503</t>
  </si>
  <si>
    <t>Иные межбюджетные трансферты</t>
  </si>
  <si>
    <t>540</t>
  </si>
  <si>
    <t>Дорожное хозяйство</t>
  </si>
  <si>
    <t>Другие вопросы в области физической культуры и спорта.</t>
  </si>
  <si>
    <t>0211001</t>
  </si>
  <si>
    <t>0216001</t>
  </si>
  <si>
    <t>Мероприятия в области обеспечения  библиотечного обслуживания населения</t>
  </si>
  <si>
    <t>Мероприятия в области обеспечения  культурно-досугового  обслуживания населения</t>
  </si>
  <si>
    <t>Мероприятия в области технического  обеспечения  деятельности  отдела</t>
  </si>
  <si>
    <t>021Л001</t>
  </si>
  <si>
    <t>021Л000</t>
  </si>
  <si>
    <t>9900010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</si>
  <si>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</t>
  </si>
  <si>
    <t>9900011</t>
  </si>
  <si>
    <t>Мероприятия в области поддержки малого и среднего предпринимательства</t>
  </si>
  <si>
    <t>0231598</t>
  </si>
  <si>
    <t>0234000</t>
  </si>
  <si>
    <t>9901580</t>
  </si>
  <si>
    <t>9901590</t>
  </si>
  <si>
    <t>0100800</t>
  </si>
  <si>
    <t>831</t>
  </si>
  <si>
    <t>9900014</t>
  </si>
  <si>
    <t>0417502</t>
  </si>
  <si>
    <t>0118532</t>
  </si>
  <si>
    <t>011А531</t>
  </si>
  <si>
    <t>9900012</t>
  </si>
  <si>
    <t>01115П1</t>
  </si>
  <si>
    <t>042Б512</t>
  </si>
  <si>
    <t>0235105</t>
  </si>
  <si>
    <t>02385П0</t>
  </si>
  <si>
    <t>0111571</t>
  </si>
  <si>
    <t>0211599</t>
  </si>
  <si>
    <t>0215148</t>
  </si>
  <si>
    <t>0215147</t>
  </si>
  <si>
    <t>Субсидии на повышение оплаты труда  работников  муниципальных учреждений культуры</t>
  </si>
  <si>
    <t>Выплата денежного поощрения  лучшим мунииципальным учреждениям культуры, находящимся на территории сельских поселений</t>
  </si>
  <si>
    <t>Выплата денежного поощрения  лучшим работникам мунииципальных учреждений культуры, находящихся на территориях сельских поселений</t>
  </si>
  <si>
    <t>Субсидии на осуществление мероприятий по обеспечению жильем граждан Российской Федерации, проживающих в сельской местности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</si>
  <si>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Софинансирование капитальных вложений в объекты муниципальной собственности в части повышения устойчивости жилых домов, объектов и систем жизнеобеспечения в рамках подпрограммы "Развитие образования" муниципальной программы МО "Онгудайский район" "Социальное развитие"</t>
  </si>
  <si>
    <t>Софинансирование капитальных вложений в объекты муниципальной собственности в рамках подпрограммы "Развитие образования" муниципальной программы МО "Онгудайский район" "Социальное развитие"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</si>
  <si>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 в рамках ВЦП "Устойчивое развитие сельских территорий"</t>
  </si>
  <si>
    <t xml:space="preserve">Возмещение затрат организациям коммунального комплекса, предоставляющим коммунальные услуги по тарифам, не обеспечивающим возмещение издержек </t>
  </si>
  <si>
    <t>Субсидии на осуществление энергосберегающих тех.меропиятий на системах водоснабженя и водоотведения и модернизациии оборудования на объектах, участвующих в предоставлении коммунальных услуг</t>
  </si>
  <si>
    <t>Возмещение  издержек, связанных с рассмотрением  дел в судах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</si>
  <si>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 местного самоуправления 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</si>
  <si>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</si>
  <si>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</si>
  <si>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Выплата вознаграждения за добровольную сдачу незаконно хранящегося оружия, боеприпасов и взрывчатых устройств</t>
  </si>
  <si>
    <t>Страхование финансовых рисков</t>
  </si>
  <si>
    <t>Субсидия на проведение ремонта и реконструкции памятников, увековечивающих память о Великой Отечественной войне 1941-1945 годов.</t>
  </si>
  <si>
    <t>Из резервного фонда для ликвидации ЧС</t>
  </si>
  <si>
    <t>Субсидии на  софинансирование мероприятий, направленных на оплату труда педагогических работников муницпальных учреждений дополнительного образования детей</t>
  </si>
  <si>
    <t>0231513</t>
  </si>
  <si>
    <t>Обеспечение доступа к сети интернет в образовательных организациях в рамках подпрограммы "Развитие образования" муниципальной программы МО "Онгудайскийрайон" "Социальное развитие"</t>
  </si>
  <si>
    <t>0111000</t>
  </si>
  <si>
    <t>99000Ш1</t>
  </si>
  <si>
    <t>Резервный фонд по предупреждению и ликвидации чрезвычайных ситуаций и последствий стихийных бедствий</t>
  </si>
  <si>
    <t>9905403</t>
  </si>
  <si>
    <t>Иные межбюджетные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 ( за счет остатков прошлых лет)</t>
  </si>
  <si>
    <t>Субсидии юридическимлицам (кроме некоммерческих организаций)</t>
  </si>
  <si>
    <t>Субвенции на осуществление государственных полномочий по лицензированию розничной продажи алкогольной продукции</t>
  </si>
  <si>
    <t>0111554</t>
  </si>
  <si>
    <t>Субсидии на предоставление грантов на поддержку местных инициатив граждан, проживающих в сельской местности</t>
  </si>
  <si>
    <t>0231501</t>
  </si>
  <si>
    <t>Субсидии на модернизацию системы дошкольного образования</t>
  </si>
  <si>
    <t>04225П1</t>
  </si>
  <si>
    <t>Субсидии нана комплексное  обустройство объетами социальной и инженерной инфраструктуры населенных пунктов, расположенных в сельской местности</t>
  </si>
  <si>
    <t>Оказание материальной помощи, связанных с возникновением  чрезвычайных ситуаций</t>
  </si>
  <si>
    <t>Обеспечение проведения выборов и референдумов</t>
  </si>
  <si>
    <t>Подготовка и проведение выборов депутатов в представительный орган местного самоуправления</t>
  </si>
  <si>
    <t>0412000</t>
  </si>
  <si>
    <t>0215020</t>
  </si>
  <si>
    <t>0211570</t>
  </si>
  <si>
    <t>Мероприятия подпрограммы "Обеспечение жильем молодых семей"</t>
  </si>
  <si>
    <t>Субсидии на обеспечение жилыми помещениями  молодых семей</t>
  </si>
  <si>
    <t>0115018</t>
  </si>
  <si>
    <t>0414000</t>
  </si>
  <si>
    <t>0112002</t>
  </si>
  <si>
    <t>Муниципальная программа "Экономическое развитие муниципального образования «Онгудайский район» на 2013-2018г.г."</t>
  </si>
  <si>
    <t>Подпрограмма "Развитие конкурентной экономики"</t>
  </si>
  <si>
    <t>ВЦП "Устойчивое развитие сельских территорий  на 2013-2015 годы"</t>
  </si>
  <si>
    <t>Строительство ЦРБ в с.Онгудай (корпус Г)</t>
  </si>
  <si>
    <t>0235014</t>
  </si>
  <si>
    <t>Укрепление материально-технической базы и оснащение оборудованием детских школ искусств</t>
  </si>
  <si>
    <t>0215146</t>
  </si>
  <si>
    <t>Подключение общедоступных библиотек к сети интернет</t>
  </si>
  <si>
    <t>Подпрограмма "Развитие культуры, спорта и молодежной политики"</t>
  </si>
  <si>
    <t>Мероприятия по грантовой поддержке местных инициатив граждан, проживающих в сельской местности, Восстановление  и сохранение  мемориального комплекса ВОВ к 70-летию Победы в сЕло Онгудайского района</t>
  </si>
  <si>
    <t>Мероприятия по грантовой поддержке местных инициатив граждан, проживающих в сельской местности</t>
  </si>
  <si>
    <t>0311М02</t>
  </si>
  <si>
    <t>Прочие межбюджетные трансферты по заключенным соглашениям о передаче полномочий</t>
  </si>
  <si>
    <t>111</t>
  </si>
  <si>
    <t>Фонд оплаты труда казенных учреждений и взносы по обязательному социальному страхованию</t>
  </si>
  <si>
    <t>Субсидии юридическим лицам (кроме некоммерческих организаций)</t>
  </si>
  <si>
    <t>0135064</t>
  </si>
  <si>
    <t>Софинанисрование ВЦП "Развитие малого и среднего предпринимвательства"</t>
  </si>
  <si>
    <t>0231503</t>
  </si>
  <si>
    <t>Субсидии на материально-техническое обеспечение школ</t>
  </si>
  <si>
    <t>9901503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</si>
  <si>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 26.02.2015г. № 12-1, от 18.06.2015г № 14/3, от22.10.2015г №15-4, от24.12.2015г №  17-2 )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</si>
  <si>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 26.02.2015г. №12-1, от18.06.2015г №14/3, от 22.10.2015г № 15-4, от 24.12.2015г №17-2)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</si>
</sst>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_(* #,##0.00_);_(* \(#,##0.00\);_(* &quot;-&quot;??_);_(@_)"/>
    <numFmt numFmtId="166" formatCode="0.00000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70C0"/>
      <name val="Times New Roman"/>
      <family val="1"/>
      <charset val="204"/>
    </font>
    <font>
      <sz val="10"/>
      <name val="Arial"/>
      <family val="2"/>
      <charset val="1"/>
    </font>
    <font>
      <sz val="10"/>
      <color theme="1"/>
      <name val="Arial Cyr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3" fillId="0" borderId="0"/>
    <xf numFmtId="0" fontId="2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9" fillId="0" borderId="0"/>
  </cellStyleXfs>
  <cellXfs count="145">
    <xf numFmtId="0" fontId="0" fillId="0" borderId="0" xfId="0"/>
    <xf numFmtId="0" fontId="8" fillId="0" borderId="2" xfId="1" applyFont="1" applyFill="1" applyBorder="1" applyAlignment="1">
      <alignment horizontal="left" wrapText="1"/>
    </xf>
    <xf numFmtId="49" fontId="8" fillId="0" borderId="2" xfId="1" applyNumberFormat="1" applyFont="1" applyFill="1" applyBorder="1" applyAlignment="1">
      <alignment horizontal="left"/>
    </xf>
    <xf numFmtId="49" fontId="9" fillId="0" borderId="2" xfId="1" applyNumberFormat="1" applyFont="1" applyFill="1" applyBorder="1" applyAlignment="1">
      <alignment horizontal="left"/>
    </xf>
    <xf numFmtId="0" fontId="9" fillId="0" borderId="2" xfId="1" applyFont="1" applyFill="1" applyBorder="1" applyAlignment="1">
      <alignment horizontal="left" wrapText="1"/>
    </xf>
    <xf numFmtId="0" fontId="10" fillId="0" borderId="2" xfId="2" applyFont="1" applyFill="1" applyBorder="1" applyAlignment="1">
      <alignment horizontal="left" wrapText="1"/>
    </xf>
    <xf numFmtId="49" fontId="10" fillId="0" borderId="2" xfId="2" applyNumberFormat="1" applyFont="1" applyFill="1" applyBorder="1" applyAlignment="1">
      <alignment horizontal="left"/>
    </xf>
    <xf numFmtId="0" fontId="10" fillId="0" borderId="3" xfId="2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/>
    </xf>
    <xf numFmtId="0" fontId="9" fillId="0" borderId="2" xfId="3" applyFont="1" applyFill="1" applyBorder="1" applyAlignment="1">
      <alignment horizontal="left" wrapText="1" shrinkToFit="1"/>
    </xf>
    <xf numFmtId="0" fontId="9" fillId="0" borderId="3" xfId="4" applyFont="1" applyFill="1" applyBorder="1" applyAlignment="1">
      <alignment horizontal="left" wrapText="1"/>
    </xf>
    <xf numFmtId="0" fontId="10" fillId="0" borderId="2" xfId="2" applyFont="1" applyBorder="1" applyAlignment="1">
      <alignment horizontal="left" wrapText="1"/>
    </xf>
    <xf numFmtId="0" fontId="9" fillId="0" borderId="2" xfId="1" applyFont="1" applyFill="1" applyBorder="1" applyAlignment="1">
      <alignment horizontal="left"/>
    </xf>
    <xf numFmtId="0" fontId="9" fillId="0" borderId="2" xfId="1" applyNumberFormat="1" applyFont="1" applyFill="1" applyBorder="1" applyAlignment="1" applyProtection="1">
      <alignment horizontal="left" wrapText="1"/>
    </xf>
    <xf numFmtId="0" fontId="9" fillId="0" borderId="2" xfId="5" applyFont="1" applyFill="1" applyBorder="1" applyAlignment="1">
      <alignment horizontal="left" wrapText="1"/>
    </xf>
    <xf numFmtId="0" fontId="9" fillId="0" borderId="2" xfId="6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 shrinkToFit="1"/>
    </xf>
    <xf numFmtId="49" fontId="9" fillId="0" borderId="2" xfId="3" applyNumberFormat="1" applyFont="1" applyFill="1" applyBorder="1" applyAlignment="1">
      <alignment horizontal="left" wrapText="1" shrinkToFit="1"/>
    </xf>
    <xf numFmtId="49" fontId="9" fillId="0" borderId="2" xfId="0" applyNumberFormat="1" applyFont="1" applyFill="1" applyBorder="1" applyAlignment="1">
      <alignment horizontal="left" shrinkToFit="1"/>
    </xf>
    <xf numFmtId="49" fontId="10" fillId="0" borderId="2" xfId="2" applyNumberFormat="1" applyFont="1" applyBorder="1" applyAlignment="1">
      <alignment horizontal="left"/>
    </xf>
    <xf numFmtId="165" fontId="9" fillId="0" borderId="2" xfId="8" applyNumberFormat="1" applyFont="1" applyFill="1" applyBorder="1" applyAlignment="1">
      <alignment horizontal="left" wrapText="1"/>
    </xf>
    <xf numFmtId="0" fontId="10" fillId="0" borderId="3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 wrapText="1"/>
    </xf>
    <xf numFmtId="0" fontId="12" fillId="0" borderId="0" xfId="1" applyFont="1" applyFill="1"/>
    <xf numFmtId="0" fontId="9" fillId="0" borderId="2" xfId="5" applyFont="1" applyFill="1" applyBorder="1" applyAlignment="1">
      <alignment horizontal="left"/>
    </xf>
    <xf numFmtId="0" fontId="10" fillId="0" borderId="0" xfId="2" applyFont="1" applyBorder="1" applyAlignment="1">
      <alignment horizontal="left" wrapText="1"/>
    </xf>
    <xf numFmtId="0" fontId="10" fillId="0" borderId="2" xfId="2" applyFont="1" applyBorder="1" applyAlignment="1">
      <alignment horizontal="justify" vertical="center" wrapText="1"/>
    </xf>
    <xf numFmtId="49" fontId="10" fillId="0" borderId="2" xfId="2" applyNumberFormat="1" applyFont="1" applyBorder="1" applyAlignment="1">
      <alignment horizontal="left" wrapText="1"/>
    </xf>
    <xf numFmtId="49" fontId="9" fillId="0" borderId="1" xfId="1" applyNumberFormat="1" applyFont="1" applyFill="1" applyBorder="1" applyAlignment="1">
      <alignment horizontal="left"/>
    </xf>
    <xf numFmtId="0" fontId="9" fillId="0" borderId="4" xfId="1" applyFont="1" applyFill="1" applyBorder="1" applyAlignment="1">
      <alignment horizontal="left"/>
    </xf>
    <xf numFmtId="49" fontId="9" fillId="0" borderId="5" xfId="1" applyNumberFormat="1" applyFont="1" applyFill="1" applyBorder="1" applyAlignment="1">
      <alignment horizontal="left"/>
    </xf>
    <xf numFmtId="49" fontId="4" fillId="0" borderId="0" xfId="5" applyNumberFormat="1" applyFont="1" applyFill="1" applyBorder="1" applyAlignment="1">
      <alignment horizontal="center"/>
    </xf>
    <xf numFmtId="49" fontId="4" fillId="0" borderId="7" xfId="5" applyNumberFormat="1" applyFont="1" applyFill="1" applyBorder="1" applyAlignment="1">
      <alignment horizontal="center"/>
    </xf>
    <xf numFmtId="49" fontId="4" fillId="0" borderId="2" xfId="5" applyNumberFormat="1" applyFont="1" applyFill="1" applyBorder="1" applyAlignment="1">
      <alignment horizontal="center"/>
    </xf>
    <xf numFmtId="0" fontId="9" fillId="0" borderId="0" xfId="5" applyFont="1"/>
    <xf numFmtId="0" fontId="9" fillId="0" borderId="0" xfId="5" applyFont="1" applyBorder="1"/>
    <xf numFmtId="0" fontId="8" fillId="0" borderId="2" xfId="5" applyFont="1" applyBorder="1" applyAlignment="1">
      <alignment wrapText="1"/>
    </xf>
    <xf numFmtId="0" fontId="9" fillId="0" borderId="2" xfId="5" applyFont="1" applyBorder="1" applyAlignment="1">
      <alignment wrapText="1"/>
    </xf>
    <xf numFmtId="0" fontId="9" fillId="0" borderId="2" xfId="3" applyFont="1" applyFill="1" applyBorder="1" applyAlignment="1">
      <alignment horizontal="justify" vertical="top" wrapText="1" shrinkToFit="1"/>
    </xf>
    <xf numFmtId="0" fontId="0" fillId="0" borderId="0" xfId="0" applyBorder="1" applyAlignment="1"/>
    <xf numFmtId="2" fontId="0" fillId="0" borderId="0" xfId="0" applyNumberFormat="1" applyBorder="1" applyAlignment="1"/>
    <xf numFmtId="2" fontId="0" fillId="0" borderId="0" xfId="0" applyNumberFormat="1"/>
    <xf numFmtId="2" fontId="4" fillId="0" borderId="0" xfId="5" applyNumberFormat="1" applyFont="1" applyFill="1" applyBorder="1" applyAlignment="1">
      <alignment horizontal="center"/>
    </xf>
    <xf numFmtId="2" fontId="4" fillId="0" borderId="2" xfId="5" applyNumberFormat="1" applyFont="1" applyFill="1" applyBorder="1" applyAlignment="1">
      <alignment horizontal="center"/>
    </xf>
    <xf numFmtId="0" fontId="9" fillId="0" borderId="0" xfId="5" applyFont="1" applyAlignment="1">
      <alignment horizontal="left" wrapText="1"/>
    </xf>
    <xf numFmtId="0" fontId="9" fillId="0" borderId="0" xfId="16" applyFont="1" applyAlignment="1">
      <alignment wrapText="1"/>
    </xf>
    <xf numFmtId="0" fontId="8" fillId="0" borderId="0" xfId="5" applyFont="1" applyBorder="1" applyAlignment="1">
      <alignment horizontal="center"/>
    </xf>
    <xf numFmtId="2" fontId="7" fillId="0" borderId="2" xfId="5" applyNumberFormat="1" applyFont="1" applyFill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49" fontId="7" fillId="0" borderId="7" xfId="5" applyNumberFormat="1" applyFont="1" applyFill="1" applyBorder="1" applyAlignment="1">
      <alignment horizontal="center"/>
    </xf>
    <xf numFmtId="49" fontId="7" fillId="0" borderId="2" xfId="5" applyNumberFormat="1" applyFont="1" applyFill="1" applyBorder="1" applyAlignment="1">
      <alignment horizontal="center"/>
    </xf>
    <xf numFmtId="2" fontId="7" fillId="0" borderId="2" xfId="5" applyNumberFormat="1" applyFont="1" applyFill="1" applyBorder="1" applyAlignment="1">
      <alignment horizontal="center"/>
    </xf>
    <xf numFmtId="2" fontId="17" fillId="0" borderId="0" xfId="0" applyNumberFormat="1" applyFont="1"/>
    <xf numFmtId="0" fontId="17" fillId="0" borderId="0" xfId="0" applyFont="1"/>
    <xf numFmtId="0" fontId="9" fillId="0" borderId="0" xfId="1" applyFont="1" applyFill="1"/>
    <xf numFmtId="0" fontId="8" fillId="0" borderId="0" xfId="1" applyFont="1" applyFill="1"/>
    <xf numFmtId="2" fontId="3" fillId="0" borderId="0" xfId="16" applyNumberFormat="1" applyFont="1" applyAlignment="1">
      <alignment wrapText="1"/>
    </xf>
    <xf numFmtId="49" fontId="7" fillId="0" borderId="3" xfId="5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49" fontId="7" fillId="0" borderId="3" xfId="5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49" fontId="4" fillId="0" borderId="7" xfId="5" applyNumberFormat="1" applyFont="1" applyFill="1" applyBorder="1" applyAlignment="1">
      <alignment horizontal="center"/>
    </xf>
    <xf numFmtId="49" fontId="4" fillId="0" borderId="2" xfId="5" applyNumberFormat="1" applyFont="1" applyFill="1" applyBorder="1" applyAlignment="1">
      <alignment horizontal="center"/>
    </xf>
    <xf numFmtId="0" fontId="9" fillId="0" borderId="2" xfId="124" applyFont="1" applyFill="1" applyBorder="1" applyAlignment="1">
      <alignment horizontal="justify" vertical="center" wrapText="1"/>
    </xf>
    <xf numFmtId="0" fontId="9" fillId="0" borderId="3" xfId="1" applyFont="1" applyFill="1" applyBorder="1" applyAlignment="1">
      <alignment horizontal="left" wrapText="1"/>
    </xf>
    <xf numFmtId="0" fontId="9" fillId="0" borderId="2" xfId="124" applyFont="1" applyFill="1" applyBorder="1" applyAlignment="1">
      <alignment horizontal="left" vertical="center" wrapText="1"/>
    </xf>
    <xf numFmtId="0" fontId="9" fillId="0" borderId="2" xfId="6" applyFont="1" applyFill="1" applyBorder="1" applyAlignment="1">
      <alignment horizontal="left" vertical="center" wrapText="1"/>
    </xf>
    <xf numFmtId="0" fontId="10" fillId="2" borderId="2" xfId="2" applyFont="1" applyFill="1" applyBorder="1" applyAlignment="1">
      <alignment horizontal="left" wrapText="1"/>
    </xf>
    <xf numFmtId="0" fontId="9" fillId="2" borderId="2" xfId="1" applyFont="1" applyFill="1" applyBorder="1" applyAlignment="1">
      <alignment horizontal="left"/>
    </xf>
    <xf numFmtId="0" fontId="9" fillId="0" borderId="2" xfId="0" applyFont="1" applyFill="1" applyBorder="1" applyAlignment="1">
      <alignment vertical="center" wrapText="1"/>
    </xf>
    <xf numFmtId="0" fontId="9" fillId="0" borderId="0" xfId="1" applyFont="1" applyFill="1" applyAlignment="1">
      <alignment horizontal="left"/>
    </xf>
    <xf numFmtId="164" fontId="9" fillId="0" borderId="0" xfId="1" applyNumberFormat="1" applyFont="1" applyFill="1" applyAlignment="1">
      <alignment wrapText="1"/>
    </xf>
    <xf numFmtId="164" fontId="9" fillId="0" borderId="0" xfId="1" applyNumberFormat="1" applyFont="1" applyFill="1" applyAlignment="1">
      <alignment horizontal="left" vertical="top" wrapText="1"/>
    </xf>
    <xf numFmtId="49" fontId="9" fillId="0" borderId="2" xfId="124" applyNumberFormat="1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>
      <alignment horizontal="left"/>
    </xf>
    <xf numFmtId="2" fontId="9" fillId="0" borderId="0" xfId="1" applyNumberFormat="1" applyFont="1" applyFill="1" applyAlignment="1"/>
    <xf numFmtId="0" fontId="9" fillId="0" borderId="0" xfId="1" applyFont="1" applyFill="1" applyBorder="1"/>
    <xf numFmtId="164" fontId="9" fillId="0" borderId="0" xfId="1" applyNumberFormat="1" applyFont="1" applyFill="1" applyBorder="1"/>
    <xf numFmtId="1" fontId="9" fillId="0" borderId="0" xfId="1" applyNumberFormat="1" applyFont="1" applyFill="1" applyBorder="1"/>
    <xf numFmtId="2" fontId="9" fillId="0" borderId="0" xfId="1" applyNumberFormat="1" applyFont="1" applyFill="1" applyBorder="1"/>
    <xf numFmtId="49" fontId="9" fillId="0" borderId="2" xfId="10" applyNumberFormat="1" applyFont="1" applyFill="1" applyBorder="1" applyAlignment="1">
      <alignment horizontal="left"/>
    </xf>
    <xf numFmtId="166" fontId="9" fillId="0" borderId="0" xfId="1" applyNumberFormat="1" applyFont="1" applyFill="1"/>
    <xf numFmtId="0" fontId="20" fillId="0" borderId="2" xfId="1" applyFont="1" applyFill="1" applyBorder="1" applyAlignment="1">
      <alignment horizontal="center" vertical="center" wrapText="1"/>
    </xf>
    <xf numFmtId="0" fontId="20" fillId="0" borderId="0" xfId="1" applyFont="1" applyFill="1"/>
    <xf numFmtId="0" fontId="9" fillId="0" borderId="2" xfId="125" applyFont="1" applyFill="1" applyBorder="1" applyAlignment="1">
      <alignment horizontal="justify" vertical="center" wrapText="1"/>
    </xf>
    <xf numFmtId="14" fontId="9" fillId="0" borderId="2" xfId="3" applyNumberFormat="1" applyFont="1" applyFill="1" applyBorder="1" applyAlignment="1">
      <alignment horizontal="left" wrapText="1" shrinkToFit="1"/>
    </xf>
    <xf numFmtId="0" fontId="9" fillId="0" borderId="2" xfId="0" applyFont="1" applyBorder="1" applyAlignment="1">
      <alignment wrapText="1"/>
    </xf>
    <xf numFmtId="0" fontId="10" fillId="0" borderId="2" xfId="2" applyFont="1" applyFill="1" applyBorder="1" applyAlignment="1">
      <alignment horizontal="left" vertical="top" wrapText="1"/>
    </xf>
    <xf numFmtId="49" fontId="9" fillId="0" borderId="2" xfId="1" applyNumberFormat="1" applyFont="1" applyFill="1" applyBorder="1"/>
    <xf numFmtId="16" fontId="9" fillId="0" borderId="2" xfId="1" applyNumberFormat="1" applyFont="1" applyFill="1" applyBorder="1" applyAlignment="1">
      <alignment horizontal="left" wrapText="1"/>
    </xf>
    <xf numFmtId="49" fontId="4" fillId="0" borderId="8" xfId="5" applyNumberFormat="1" applyFont="1" applyFill="1" applyBorder="1" applyAlignment="1">
      <alignment horizontal="center"/>
    </xf>
    <xf numFmtId="1" fontId="20" fillId="0" borderId="2" xfId="1" applyNumberFormat="1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left" wrapText="1"/>
    </xf>
    <xf numFmtId="2" fontId="9" fillId="0" borderId="0" xfId="1" applyNumberFormat="1" applyFont="1" applyFill="1"/>
    <xf numFmtId="0" fontId="10" fillId="0" borderId="2" xfId="2" applyFont="1" applyFill="1" applyBorder="1" applyAlignment="1">
      <alignment wrapText="1"/>
    </xf>
    <xf numFmtId="0" fontId="10" fillId="0" borderId="3" xfId="2" applyFont="1" applyFill="1" applyBorder="1" applyAlignment="1">
      <alignment wrapText="1"/>
    </xf>
    <xf numFmtId="16" fontId="9" fillId="0" borderId="2" xfId="3" applyNumberFormat="1" applyFont="1" applyFill="1" applyBorder="1" applyAlignment="1">
      <alignment wrapText="1" shrinkToFit="1"/>
    </xf>
    <xf numFmtId="0" fontId="9" fillId="0" borderId="3" xfId="0" applyNumberFormat="1" applyFont="1" applyFill="1" applyBorder="1" applyAlignment="1">
      <alignment wrapText="1"/>
    </xf>
    <xf numFmtId="0" fontId="9" fillId="0" borderId="2" xfId="0" applyFont="1" applyBorder="1"/>
    <xf numFmtId="0" fontId="10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wrapText="1"/>
    </xf>
    <xf numFmtId="0" fontId="4" fillId="0" borderId="2" xfId="0" applyFont="1" applyFill="1" applyBorder="1"/>
    <xf numFmtId="0" fontId="9" fillId="0" borderId="0" xfId="0" applyFont="1" applyAlignment="1">
      <alignment wrapText="1"/>
    </xf>
    <xf numFmtId="2" fontId="9" fillId="0" borderId="2" xfId="1" applyNumberFormat="1" applyFont="1" applyFill="1" applyBorder="1" applyAlignment="1"/>
    <xf numFmtId="0" fontId="9" fillId="3" borderId="0" xfId="1" applyFont="1" applyFill="1"/>
    <xf numFmtId="2" fontId="8" fillId="0" borderId="2" xfId="1" applyNumberFormat="1" applyFont="1" applyFill="1" applyBorder="1" applyAlignment="1"/>
    <xf numFmtId="2" fontId="9" fillId="0" borderId="2" xfId="7" applyNumberFormat="1" applyFont="1" applyFill="1" applyBorder="1" applyAlignment="1"/>
    <xf numFmtId="2" fontId="9" fillId="0" borderId="3" xfId="1" applyNumberFormat="1" applyFont="1" applyFill="1" applyBorder="1" applyAlignment="1"/>
    <xf numFmtId="2" fontId="8" fillId="0" borderId="2" xfId="7" applyNumberFormat="1" applyFont="1" applyFill="1" applyBorder="1" applyAlignment="1"/>
    <xf numFmtId="2" fontId="8" fillId="0" borderId="6" xfId="1" applyNumberFormat="1" applyFont="1" applyFill="1" applyBorder="1" applyAlignment="1"/>
    <xf numFmtId="2" fontId="20" fillId="0" borderId="2" xfId="1" applyNumberFormat="1" applyFont="1" applyFill="1" applyBorder="1" applyAlignment="1">
      <alignment horizontal="center" vertical="center"/>
    </xf>
    <xf numFmtId="2" fontId="21" fillId="0" borderId="2" xfId="1" applyNumberFormat="1" applyFont="1" applyFill="1" applyBorder="1" applyAlignment="1"/>
    <xf numFmtId="49" fontId="7" fillId="0" borderId="3" xfId="5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2" fontId="9" fillId="0" borderId="0" xfId="5" applyNumberFormat="1" applyFont="1" applyAlignment="1">
      <alignment horizontal="left" wrapText="1"/>
    </xf>
    <xf numFmtId="2" fontId="3" fillId="0" borderId="0" xfId="16" applyNumberFormat="1" applyAlignment="1">
      <alignment horizontal="left" wrapText="1"/>
    </xf>
    <xf numFmtId="2" fontId="6" fillId="0" borderId="0" xfId="16" applyNumberFormat="1" applyFont="1" applyAlignment="1">
      <alignment wrapText="1"/>
    </xf>
    <xf numFmtId="2" fontId="15" fillId="0" borderId="0" xfId="16" applyNumberFormat="1" applyFont="1" applyAlignment="1">
      <alignment wrapText="1"/>
    </xf>
    <xf numFmtId="0" fontId="8" fillId="0" borderId="0" xfId="5" applyFont="1" applyBorder="1" applyAlignment="1">
      <alignment horizontal="center" vertical="center" wrapText="1"/>
    </xf>
    <xf numFmtId="0" fontId="9" fillId="0" borderId="0" xfId="5" applyFont="1" applyAlignment="1">
      <alignment vertical="center" wrapText="1"/>
    </xf>
    <xf numFmtId="0" fontId="3" fillId="0" borderId="0" xfId="16" applyFont="1" applyAlignment="1">
      <alignment vertical="center" wrapText="1"/>
    </xf>
    <xf numFmtId="0" fontId="3" fillId="0" borderId="0" xfId="16" applyAlignment="1">
      <alignment wrapText="1"/>
    </xf>
    <xf numFmtId="0" fontId="16" fillId="0" borderId="0" xfId="5" applyFont="1" applyBorder="1" applyAlignment="1">
      <alignment horizontal="center" wrapText="1"/>
    </xf>
    <xf numFmtId="0" fontId="3" fillId="0" borderId="0" xfId="16" applyFont="1" applyAlignment="1">
      <alignment wrapText="1"/>
    </xf>
    <xf numFmtId="49" fontId="7" fillId="0" borderId="2" xfId="5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9" fontId="7" fillId="0" borderId="3" xfId="5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7" xfId="0" applyFont="1" applyBorder="1" applyAlignment="1">
      <alignment horizontal="center"/>
    </xf>
    <xf numFmtId="164" fontId="9" fillId="0" borderId="0" xfId="1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" fontId="8" fillId="0" borderId="2" xfId="1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166" fontId="6" fillId="0" borderId="0" xfId="16" applyNumberFormat="1" applyFont="1" applyAlignment="1">
      <alignment wrapText="1"/>
    </xf>
    <xf numFmtId="0" fontId="0" fillId="0" borderId="0" xfId="0" applyAlignment="1">
      <alignment wrapText="1"/>
    </xf>
  </cellXfs>
  <cellStyles count="126">
    <cellStyle name="Excel Built-in Normal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"/>
    <cellStyle name="Обычный 17" xfId="16"/>
    <cellStyle name="Обычный 18" xfId="2"/>
    <cellStyle name="Обычный 18 2" xfId="124"/>
    <cellStyle name="Обычный 19" xfId="17"/>
    <cellStyle name="Обычный 2" xfId="3"/>
    <cellStyle name="Обычный 2 10" xfId="18"/>
    <cellStyle name="Обычный 2 11" xfId="19"/>
    <cellStyle name="Обычный 2 12" xfId="20"/>
    <cellStyle name="Обычный 2 13" xfId="21"/>
    <cellStyle name="Обычный 2 14" xfId="22"/>
    <cellStyle name="Обычный 2 15" xfId="23"/>
    <cellStyle name="Обычный 2 16" xfId="24"/>
    <cellStyle name="Обычный 2 17" xfId="25"/>
    <cellStyle name="Обычный 2 18" xfId="26"/>
    <cellStyle name="Обычный 2 19" xfId="27"/>
    <cellStyle name="Обычный 2 2" xfId="28"/>
    <cellStyle name="Обычный 2 2 2" xfId="29"/>
    <cellStyle name="Обычный 2 20" xfId="30"/>
    <cellStyle name="Обычный 2 21" xfId="31"/>
    <cellStyle name="Обычный 2 22" xfId="32"/>
    <cellStyle name="Обычный 2 23" xfId="33"/>
    <cellStyle name="Обычный 2 24" xfId="34"/>
    <cellStyle name="Обычный 2 25" xfId="35"/>
    <cellStyle name="Обычный 2 26" xfId="36"/>
    <cellStyle name="Обычный 2 27" xfId="37"/>
    <cellStyle name="Обычный 2 28" xfId="38"/>
    <cellStyle name="Обычный 2 29" xfId="39"/>
    <cellStyle name="Обычный 2 3" xfId="40"/>
    <cellStyle name="Обычный 2 30" xfId="41"/>
    <cellStyle name="Обычный 2 4" xfId="42"/>
    <cellStyle name="Обычный 2 5" xfId="43"/>
    <cellStyle name="Обычный 2 6" xfId="44"/>
    <cellStyle name="Обычный 2 7" xfId="45"/>
    <cellStyle name="Обычный 2 8" xfId="46"/>
    <cellStyle name="Обычный 2 9" xfId="47"/>
    <cellStyle name="Обычный 3" xfId="48"/>
    <cellStyle name="Обычный 3 10" xfId="49"/>
    <cellStyle name="Обычный 3 11" xfId="50"/>
    <cellStyle name="Обычный 3 12" xfId="51"/>
    <cellStyle name="Обычный 3 13" xfId="52"/>
    <cellStyle name="Обычный 3 14" xfId="53"/>
    <cellStyle name="Обычный 3 15" xfId="54"/>
    <cellStyle name="Обычный 3 16" xfId="55"/>
    <cellStyle name="Обычный 3 17" xfId="56"/>
    <cellStyle name="Обычный 3 18" xfId="57"/>
    <cellStyle name="Обычный 3 19" xfId="58"/>
    <cellStyle name="Обычный 3 2" xfId="59"/>
    <cellStyle name="Обычный 3 2 2" xfId="60"/>
    <cellStyle name="Обычный 3 20" xfId="61"/>
    <cellStyle name="Обычный 3 21" xfId="62"/>
    <cellStyle name="Обычный 3 22" xfId="63"/>
    <cellStyle name="Обычный 3 23" xfId="64"/>
    <cellStyle name="Обычный 3 24" xfId="65"/>
    <cellStyle name="Обычный 3 25" xfId="66"/>
    <cellStyle name="Обычный 3 26" xfId="67"/>
    <cellStyle name="Обычный 3 27" xfId="68"/>
    <cellStyle name="Обычный 3 28" xfId="69"/>
    <cellStyle name="Обычный 3 29" xfId="70"/>
    <cellStyle name="Обычный 3 3" xfId="71"/>
    <cellStyle name="Обычный 3 30" xfId="72"/>
    <cellStyle name="Обычный 3 31" xfId="7"/>
    <cellStyle name="Обычный 3 32" xfId="73"/>
    <cellStyle name="Обычный 3 4" xfId="74"/>
    <cellStyle name="Обычный 3 5" xfId="75"/>
    <cellStyle name="Обычный 3 6" xfId="76"/>
    <cellStyle name="Обычный 3 7" xfId="77"/>
    <cellStyle name="Обычный 3 8" xfId="78"/>
    <cellStyle name="Обычный 3 9" xfId="79"/>
    <cellStyle name="Обычный 4" xfId="80"/>
    <cellStyle name="Обычный 4 10" xfId="81"/>
    <cellStyle name="Обычный 4 11" xfId="82"/>
    <cellStyle name="Обычный 4 12" xfId="83"/>
    <cellStyle name="Обычный 4 13" xfId="84"/>
    <cellStyle name="Обычный 4 14" xfId="85"/>
    <cellStyle name="Обычный 4 15" xfId="86"/>
    <cellStyle name="Обычный 4 16" xfId="87"/>
    <cellStyle name="Обычный 4 17" xfId="88"/>
    <cellStyle name="Обычный 4 18" xfId="89"/>
    <cellStyle name="Обычный 4 19" xfId="90"/>
    <cellStyle name="Обычный 4 2" xfId="91"/>
    <cellStyle name="Обычный 4 20" xfId="92"/>
    <cellStyle name="Обычный 4 21" xfId="93"/>
    <cellStyle name="Обычный 4 22" xfId="94"/>
    <cellStyle name="Обычный 4 23" xfId="95"/>
    <cellStyle name="Обычный 4 24" xfId="96"/>
    <cellStyle name="Обычный 4 25" xfId="97"/>
    <cellStyle name="Обычный 4 26" xfId="98"/>
    <cellStyle name="Обычный 4 27" xfId="99"/>
    <cellStyle name="Обычный 4 28" xfId="100"/>
    <cellStyle name="Обычный 4 29" xfId="101"/>
    <cellStyle name="Обычный 4 3" xfId="102"/>
    <cellStyle name="Обычный 4 30" xfId="103"/>
    <cellStyle name="Обычный 4 31" xfId="104"/>
    <cellStyle name="Обычный 4 4" xfId="105"/>
    <cellStyle name="Обычный 4 5" xfId="106"/>
    <cellStyle name="Обычный 4 6" xfId="107"/>
    <cellStyle name="Обычный 4 7" xfId="108"/>
    <cellStyle name="Обычный 4 8" xfId="109"/>
    <cellStyle name="Обычный 4 9" xfId="110"/>
    <cellStyle name="Обычный 5" xfId="4"/>
    <cellStyle name="Обычный 5 2" xfId="111"/>
    <cellStyle name="Обычный 5 3" xfId="112"/>
    <cellStyle name="Обычный 6" xfId="113"/>
    <cellStyle name="Обычный 7" xfId="114"/>
    <cellStyle name="Обычный 8" xfId="115"/>
    <cellStyle name="Обычный 9" xfId="116"/>
    <cellStyle name="Обычный_Прил 22,23,24" xfId="125"/>
    <cellStyle name="Обычный_прил 7,9-2009-2010 нов классиф." xfId="6"/>
    <cellStyle name="Обычный_прилож 8,10 -2008г." xfId="5"/>
    <cellStyle name="Процентный 2" xfId="117"/>
    <cellStyle name="Тысячи [0]_перечис.11" xfId="118"/>
    <cellStyle name="Тысячи_перечис.11" xfId="119"/>
    <cellStyle name="Финансовый 13" xfId="120"/>
    <cellStyle name="Финансовый 2" xfId="121"/>
    <cellStyle name="Финансовый 3" xfId="8"/>
    <cellStyle name="Финансовый 3 2" xfId="123"/>
    <cellStyle name="Финансовый 9" xfId="1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view="pageBreakPreview" topLeftCell="A32" zoomScale="87" zoomScaleNormal="100" zoomScaleSheetLayoutView="87" workbookViewId="0">
      <selection activeCell="D64" sqref="D64"/>
    </sheetView>
  </sheetViews>
  <sheetFormatPr defaultRowHeight="12.75" x14ac:dyDescent="0.2"/>
  <cols>
    <col min="1" max="1" width="48.5703125" style="35" customWidth="1"/>
    <col min="3" max="3" width="9.140625" style="40"/>
    <col min="4" max="4" width="14.42578125" style="41" customWidth="1"/>
    <col min="5" max="5" width="12.140625" style="42" customWidth="1"/>
    <col min="6" max="6" width="18.140625" style="42" customWidth="1"/>
    <col min="7" max="11" width="9.140625" style="42"/>
  </cols>
  <sheetData>
    <row r="1" spans="1:11" s="35" customFormat="1" ht="12.75" customHeight="1" x14ac:dyDescent="0.2">
      <c r="A1" s="36"/>
      <c r="C1" s="45" t="s">
        <v>330</v>
      </c>
      <c r="D1" s="119" t="s">
        <v>332</v>
      </c>
      <c r="E1" s="120"/>
      <c r="F1" s="120"/>
    </row>
    <row r="2" spans="1:11" s="35" customFormat="1" ht="60" customHeight="1" x14ac:dyDescent="0.2">
      <c r="A2" s="36"/>
      <c r="D2" s="121" t="s">
        <v>505</v>
      </c>
      <c r="E2" s="122"/>
      <c r="F2" s="122"/>
    </row>
    <row r="3" spans="1:11" s="35" customFormat="1" ht="9" customHeight="1" x14ac:dyDescent="0.2">
      <c r="A3" s="36"/>
      <c r="B3" s="46"/>
      <c r="C3" s="46"/>
      <c r="D3" s="57"/>
      <c r="E3" s="57"/>
      <c r="F3" s="57"/>
    </row>
    <row r="4" spans="1:11" s="35" customFormat="1" x14ac:dyDescent="0.2">
      <c r="A4" s="123" t="s">
        <v>331</v>
      </c>
      <c r="B4" s="124"/>
      <c r="C4" s="124"/>
      <c r="D4" s="125"/>
      <c r="E4" s="126"/>
      <c r="F4" s="126"/>
    </row>
    <row r="5" spans="1:11" s="35" customFormat="1" ht="27.75" customHeight="1" x14ac:dyDescent="0.2">
      <c r="A5" s="127" t="s">
        <v>333</v>
      </c>
      <c r="B5" s="128"/>
      <c r="C5" s="128"/>
      <c r="D5" s="128"/>
      <c r="E5" s="126"/>
      <c r="F5" s="126"/>
    </row>
    <row r="6" spans="1:11" ht="15.75" hidden="1" customHeight="1" x14ac:dyDescent="0.25">
      <c r="A6"/>
      <c r="C6" s="32"/>
      <c r="D6" s="43"/>
    </row>
    <row r="7" spans="1:11" ht="15.75" customHeight="1" x14ac:dyDescent="0.25">
      <c r="A7" s="47"/>
      <c r="C7" s="32"/>
      <c r="D7" s="43"/>
      <c r="F7" s="42" t="s">
        <v>343</v>
      </c>
    </row>
    <row r="8" spans="1:11" ht="69.75" customHeight="1" x14ac:dyDescent="0.2">
      <c r="A8" s="49" t="s">
        <v>334</v>
      </c>
      <c r="B8" s="129" t="s">
        <v>335</v>
      </c>
      <c r="C8" s="130"/>
      <c r="D8" s="48" t="s">
        <v>337</v>
      </c>
      <c r="E8" s="48" t="s">
        <v>336</v>
      </c>
      <c r="F8" s="48" t="s">
        <v>3</v>
      </c>
    </row>
    <row r="9" spans="1:11" s="54" customFormat="1" ht="15.75" customHeight="1" x14ac:dyDescent="0.2">
      <c r="A9" s="37" t="s">
        <v>124</v>
      </c>
      <c r="B9" s="131" t="s">
        <v>282</v>
      </c>
      <c r="C9" s="132"/>
      <c r="D9" s="52">
        <f>'прил 16 вед2015'!G610</f>
        <v>27625.01525</v>
      </c>
      <c r="E9" s="52">
        <f>'прил 16 вед2015'!H610</f>
        <v>-79.149620000000027</v>
      </c>
      <c r="F9" s="52">
        <f>'прил 16 вед2015'!I610</f>
        <v>27545.865630000008</v>
      </c>
      <c r="G9" s="53"/>
      <c r="H9" s="53"/>
      <c r="I9" s="53"/>
      <c r="J9" s="53"/>
      <c r="K9" s="53"/>
    </row>
    <row r="10" spans="1:11" ht="26.25" customHeight="1" x14ac:dyDescent="0.25">
      <c r="A10" s="38" t="s">
        <v>301</v>
      </c>
      <c r="B10" s="33" t="s">
        <v>15</v>
      </c>
      <c r="C10" s="34" t="s">
        <v>29</v>
      </c>
      <c r="D10" s="44">
        <f>'прил 16 вед2015'!G611</f>
        <v>1371.02</v>
      </c>
      <c r="E10" s="44">
        <f>'прил 16 вед2015'!H611</f>
        <v>-14.2</v>
      </c>
      <c r="F10" s="44">
        <f>'прил 16 вед2015'!I611</f>
        <v>1356.82</v>
      </c>
    </row>
    <row r="11" spans="1:11" ht="26.25" customHeight="1" x14ac:dyDescent="0.25">
      <c r="A11" s="38" t="s">
        <v>302</v>
      </c>
      <c r="B11" s="33" t="s">
        <v>15</v>
      </c>
      <c r="C11" s="34" t="s">
        <v>111</v>
      </c>
      <c r="D11" s="44">
        <f>'прил 16 вед2015'!G612</f>
        <v>1823.3938499999999</v>
      </c>
      <c r="E11" s="44">
        <f>'прил 16 вед2015'!H612</f>
        <v>0</v>
      </c>
      <c r="F11" s="44">
        <f>'прил 16 вед2015'!I612</f>
        <v>1823.3938499999999</v>
      </c>
    </row>
    <row r="12" spans="1:11" ht="15.75" customHeight="1" x14ac:dyDescent="0.25">
      <c r="A12" s="38" t="s">
        <v>303</v>
      </c>
      <c r="B12" s="33" t="s">
        <v>15</v>
      </c>
      <c r="C12" s="34" t="s">
        <v>72</v>
      </c>
      <c r="D12" s="44">
        <f>'прил 16 вед2015'!G613</f>
        <v>18353.557400000002</v>
      </c>
      <c r="E12" s="44">
        <f>'прил 16 вед2015'!H613</f>
        <v>-188.88733000000002</v>
      </c>
      <c r="F12" s="44">
        <f>'прил 16 вед2015'!I613</f>
        <v>18164.670070000004</v>
      </c>
    </row>
    <row r="13" spans="1:11" ht="15.75" hidden="1" customHeight="1" x14ac:dyDescent="0.25">
      <c r="A13" s="38" t="s">
        <v>304</v>
      </c>
      <c r="B13" s="33" t="s">
        <v>15</v>
      </c>
      <c r="C13" s="34" t="s">
        <v>42</v>
      </c>
      <c r="D13" s="44">
        <f>'прил 16 вед2015'!G614</f>
        <v>0</v>
      </c>
      <c r="E13" s="44">
        <f>'прил 16 вед2015'!H614</f>
        <v>0</v>
      </c>
      <c r="F13" s="44">
        <f>'прил 16 вед2015'!I614</f>
        <v>0</v>
      </c>
    </row>
    <row r="14" spans="1:11" ht="26.25" customHeight="1" x14ac:dyDescent="0.25">
      <c r="A14" s="38" t="s">
        <v>305</v>
      </c>
      <c r="B14" s="33" t="s">
        <v>15</v>
      </c>
      <c r="C14" s="34" t="s">
        <v>85</v>
      </c>
      <c r="D14" s="44">
        <f>'прил 16 вед2015'!G615</f>
        <v>4623.33</v>
      </c>
      <c r="E14" s="44">
        <f>'прил 16 вед2015'!H615</f>
        <v>295.25171</v>
      </c>
      <c r="F14" s="44">
        <f>'прил 16 вед2015'!I615</f>
        <v>4918.5817100000004</v>
      </c>
    </row>
    <row r="15" spans="1:11" ht="15.75" customHeight="1" x14ac:dyDescent="0.25">
      <c r="A15" s="4" t="s">
        <v>474</v>
      </c>
      <c r="B15" s="33" t="s">
        <v>15</v>
      </c>
      <c r="C15" s="34" t="s">
        <v>13</v>
      </c>
      <c r="D15" s="44">
        <f>'прил 16 вед2015'!G616</f>
        <v>183</v>
      </c>
      <c r="E15" s="44">
        <f>'прил 16 вед2015'!H616</f>
        <v>0</v>
      </c>
      <c r="F15" s="44">
        <f>'прил 16 вед2015'!I616</f>
        <v>183</v>
      </c>
    </row>
    <row r="16" spans="1:11" ht="15.75" customHeight="1" x14ac:dyDescent="0.25">
      <c r="A16" s="38" t="s">
        <v>86</v>
      </c>
      <c r="B16" s="33" t="s">
        <v>15</v>
      </c>
      <c r="C16" s="34" t="s">
        <v>87</v>
      </c>
      <c r="D16" s="44">
        <f>'прил 16 вед2015'!G617</f>
        <v>189.114</v>
      </c>
      <c r="E16" s="44">
        <f>'прил 16 вед2015'!H617</f>
        <v>-189.114</v>
      </c>
      <c r="F16" s="44">
        <f>'прил 16 вед2015'!I617</f>
        <v>0</v>
      </c>
    </row>
    <row r="17" spans="1:11" ht="15.75" customHeight="1" x14ac:dyDescent="0.25">
      <c r="A17" s="15" t="s">
        <v>93</v>
      </c>
      <c r="B17" s="33" t="s">
        <v>15</v>
      </c>
      <c r="C17" s="34" t="s">
        <v>94</v>
      </c>
      <c r="D17" s="44">
        <f>'прил 16 вед2015'!G618</f>
        <v>1081.5999999999999</v>
      </c>
      <c r="E17" s="44">
        <f>'прил 16 вед2015'!H618</f>
        <v>17.799999999999997</v>
      </c>
      <c r="F17" s="44">
        <f>'прил 16 вед2015'!I618</f>
        <v>1099.4000000000001</v>
      </c>
    </row>
    <row r="18" spans="1:11" s="54" customFormat="1" ht="15.75" customHeight="1" x14ac:dyDescent="0.2">
      <c r="A18" s="37" t="s">
        <v>108</v>
      </c>
      <c r="B18" s="116" t="s">
        <v>288</v>
      </c>
      <c r="C18" s="117"/>
      <c r="D18" s="52">
        <f>'прил 16 вед2015'!G619</f>
        <v>465.2</v>
      </c>
      <c r="E18" s="52">
        <f>'прил 16 вед2015'!H619</f>
        <v>52</v>
      </c>
      <c r="F18" s="52">
        <f>'прил 16 вед2015'!I619</f>
        <v>517.20000000000005</v>
      </c>
      <c r="G18" s="53"/>
      <c r="H18" s="53"/>
      <c r="I18" s="53"/>
      <c r="J18" s="53"/>
      <c r="K18" s="53"/>
    </row>
    <row r="19" spans="1:11" ht="15.75" customHeight="1" x14ac:dyDescent="0.25">
      <c r="A19" s="38" t="s">
        <v>306</v>
      </c>
      <c r="B19" s="33" t="s">
        <v>29</v>
      </c>
      <c r="C19" s="34" t="s">
        <v>111</v>
      </c>
      <c r="D19" s="44">
        <f>'прил 16 вед2015'!G620</f>
        <v>465.2</v>
      </c>
      <c r="E19" s="44">
        <f>'прил 16 вед2015'!H620</f>
        <v>52</v>
      </c>
      <c r="F19" s="44">
        <f>'прил 16 вед2015'!I620</f>
        <v>517.20000000000005</v>
      </c>
    </row>
    <row r="20" spans="1:11" s="54" customFormat="1" ht="26.25" customHeight="1" x14ac:dyDescent="0.2">
      <c r="A20" s="37" t="s">
        <v>152</v>
      </c>
      <c r="B20" s="116" t="s">
        <v>289</v>
      </c>
      <c r="C20" s="118"/>
      <c r="D20" s="52">
        <f>'прил 16 вед2015'!G621</f>
        <v>1200.3809000000001</v>
      </c>
      <c r="E20" s="52">
        <f>'прил 16 вед2015'!H621</f>
        <v>354.85133000000002</v>
      </c>
      <c r="F20" s="52">
        <f>'прил 16 вед2015'!I621</f>
        <v>1555.2322300000001</v>
      </c>
      <c r="G20" s="53"/>
      <c r="H20" s="53"/>
      <c r="I20" s="53"/>
      <c r="J20" s="53"/>
      <c r="K20" s="53"/>
    </row>
    <row r="21" spans="1:11" ht="15.75" hidden="1" customHeight="1" x14ac:dyDescent="0.25">
      <c r="A21" s="38" t="s">
        <v>307</v>
      </c>
      <c r="B21" s="33" t="s">
        <v>111</v>
      </c>
      <c r="C21" s="34" t="s">
        <v>29</v>
      </c>
      <c r="D21" s="52">
        <f>'прил 16 вед2015'!G622</f>
        <v>0</v>
      </c>
      <c r="E21" s="52">
        <f>'прил 16 вед2015'!H622</f>
        <v>0</v>
      </c>
      <c r="F21" s="52">
        <f>'прил 16 вед2015'!I622</f>
        <v>0</v>
      </c>
    </row>
    <row r="22" spans="1:11" ht="39" customHeight="1" x14ac:dyDescent="0.25">
      <c r="A22" s="38" t="s">
        <v>308</v>
      </c>
      <c r="B22" s="33" t="s">
        <v>111</v>
      </c>
      <c r="C22" s="34" t="s">
        <v>50</v>
      </c>
      <c r="D22" s="44">
        <f>'прил 16 вед2015'!G623</f>
        <v>930.08090000000004</v>
      </c>
      <c r="E22" s="44">
        <f>'прил 16 вед2015'!H623</f>
        <v>365.15133000000003</v>
      </c>
      <c r="F22" s="44">
        <f>'прил 16 вед2015'!I623</f>
        <v>1295.2322300000001</v>
      </c>
    </row>
    <row r="23" spans="1:11" ht="26.25" customHeight="1" x14ac:dyDescent="0.25">
      <c r="A23" s="38" t="s">
        <v>160</v>
      </c>
      <c r="B23" s="33" t="s">
        <v>111</v>
      </c>
      <c r="C23" s="34" t="s">
        <v>117</v>
      </c>
      <c r="D23" s="44">
        <f>'прил 16 вед2015'!G624</f>
        <v>270.3</v>
      </c>
      <c r="E23" s="44">
        <f>'прил 16 вед2015'!H624</f>
        <v>-10.3</v>
      </c>
      <c r="F23" s="44">
        <f>'прил 16 вед2015'!I624</f>
        <v>260</v>
      </c>
    </row>
    <row r="24" spans="1:11" s="54" customFormat="1" ht="15.75" customHeight="1" x14ac:dyDescent="0.2">
      <c r="A24" s="37" t="s">
        <v>96</v>
      </c>
      <c r="B24" s="116" t="s">
        <v>290</v>
      </c>
      <c r="C24" s="117"/>
      <c r="D24" s="52">
        <f>'прил 16 вед2015'!G625</f>
        <v>10136.887860000001</v>
      </c>
      <c r="E24" s="52">
        <f>'прил 16 вед2015'!H625</f>
        <v>1458.7238</v>
      </c>
      <c r="F24" s="52">
        <f>'прил 16 вед2015'!I625</f>
        <v>11595.611659999999</v>
      </c>
      <c r="G24" s="53"/>
      <c r="H24" s="53"/>
      <c r="I24" s="53"/>
      <c r="J24" s="53"/>
      <c r="K24" s="53"/>
    </row>
    <row r="25" spans="1:11" ht="15.75" customHeight="1" x14ac:dyDescent="0.25">
      <c r="A25" s="38" t="s">
        <v>309</v>
      </c>
      <c r="B25" s="33" t="s">
        <v>72</v>
      </c>
      <c r="C25" s="34" t="s">
        <v>15</v>
      </c>
      <c r="D25" s="44">
        <f>'прил 16 вед2015'!G626</f>
        <v>0</v>
      </c>
      <c r="E25" s="44">
        <f>'прил 16 вед2015'!H626</f>
        <v>0</v>
      </c>
      <c r="F25" s="44">
        <f>'прил 16 вед2015'!I626</f>
        <v>0</v>
      </c>
    </row>
    <row r="26" spans="1:11" ht="15.75" customHeight="1" x14ac:dyDescent="0.25">
      <c r="A26" s="38" t="s">
        <v>169</v>
      </c>
      <c r="B26" s="33" t="s">
        <v>72</v>
      </c>
      <c r="C26" s="34" t="s">
        <v>42</v>
      </c>
      <c r="D26" s="44">
        <f>'прил 16 вед2015'!G627</f>
        <v>885.8</v>
      </c>
      <c r="E26" s="44">
        <f>'прил 16 вед2015'!H627</f>
        <v>-69.900000000000006</v>
      </c>
      <c r="F26" s="44">
        <f>'прил 16 вед2015'!I627</f>
        <v>815.90000000000009</v>
      </c>
    </row>
    <row r="27" spans="1:11" ht="15.75" customHeight="1" x14ac:dyDescent="0.25">
      <c r="A27" s="38" t="s">
        <v>310</v>
      </c>
      <c r="B27" s="33" t="s">
        <v>72</v>
      </c>
      <c r="C27" s="34" t="s">
        <v>50</v>
      </c>
      <c r="D27" s="44">
        <f>'прил 16 вед2015'!G628</f>
        <v>3230.0571099999997</v>
      </c>
      <c r="E27" s="44">
        <f>'прил 16 вед2015'!H628</f>
        <v>460</v>
      </c>
      <c r="F27" s="44">
        <f>'прил 16 вед2015'!I628</f>
        <v>3690.0571099999997</v>
      </c>
    </row>
    <row r="28" spans="1:11" ht="15.75" customHeight="1" x14ac:dyDescent="0.25">
      <c r="A28" s="38" t="s">
        <v>97</v>
      </c>
      <c r="B28" s="33" t="s">
        <v>72</v>
      </c>
      <c r="C28" s="34" t="s">
        <v>98</v>
      </c>
      <c r="D28" s="44">
        <f>'прил 16 вед2015'!G629</f>
        <v>6021.0307499999999</v>
      </c>
      <c r="E28" s="44">
        <f>'прил 16 вед2015'!H629</f>
        <v>1068.6237999999998</v>
      </c>
      <c r="F28" s="44">
        <f>'прил 16 вед2015'!I629</f>
        <v>7089.6545499999993</v>
      </c>
    </row>
    <row r="29" spans="1:11" s="54" customFormat="1" ht="15.75" customHeight="1" x14ac:dyDescent="0.2">
      <c r="A29" s="37" t="s">
        <v>311</v>
      </c>
      <c r="B29" s="116" t="s">
        <v>291</v>
      </c>
      <c r="C29" s="117"/>
      <c r="D29" s="52">
        <f>'прил 16 вед2015'!G630</f>
        <v>11703.48143</v>
      </c>
      <c r="E29" s="52">
        <f>'прил 16 вед2015'!H630</f>
        <v>34.776200000000017</v>
      </c>
      <c r="F29" s="52">
        <f>'прил 16 вед2015'!I630</f>
        <v>11738.25763</v>
      </c>
      <c r="G29" s="53"/>
      <c r="H29" s="53"/>
      <c r="I29" s="53"/>
      <c r="J29" s="53"/>
      <c r="K29" s="53"/>
    </row>
    <row r="30" spans="1:11" ht="15.75" hidden="1" customHeight="1" x14ac:dyDescent="0.25">
      <c r="A30" s="38" t="s">
        <v>195</v>
      </c>
      <c r="B30" s="33" t="s">
        <v>42</v>
      </c>
      <c r="C30" s="34" t="s">
        <v>15</v>
      </c>
      <c r="D30" s="44">
        <f>'прил 16 вед2015'!G631</f>
        <v>0</v>
      </c>
      <c r="E30" s="44">
        <f>'прил 16 вед2015'!H631</f>
        <v>0</v>
      </c>
      <c r="F30" s="44">
        <f>'прил 16 вед2015'!I631</f>
        <v>0</v>
      </c>
    </row>
    <row r="31" spans="1:11" ht="15.75" customHeight="1" x14ac:dyDescent="0.25">
      <c r="A31" s="38" t="s">
        <v>198</v>
      </c>
      <c r="B31" s="33" t="s">
        <v>42</v>
      </c>
      <c r="C31" s="34" t="s">
        <v>29</v>
      </c>
      <c r="D31" s="44">
        <f>'прил 16 вед2015'!G632</f>
        <v>8767.4345400000002</v>
      </c>
      <c r="E31" s="44">
        <f>'прил 16 вед2015'!H632</f>
        <v>129.77620000000002</v>
      </c>
      <c r="F31" s="44">
        <f>'прил 16 вед2015'!I632</f>
        <v>8897.2107400000004</v>
      </c>
    </row>
    <row r="32" spans="1:11" ht="15.75" customHeight="1" x14ac:dyDescent="0.25">
      <c r="A32" s="38" t="s">
        <v>312</v>
      </c>
      <c r="B32" s="33" t="s">
        <v>42</v>
      </c>
      <c r="C32" s="34" t="s">
        <v>111</v>
      </c>
      <c r="D32" s="44">
        <f>'прил 16 вед2015'!G633</f>
        <v>2936.0468900000001</v>
      </c>
      <c r="E32" s="44">
        <f>'прил 16 вед2015'!H633</f>
        <v>-95</v>
      </c>
      <c r="F32" s="44">
        <f>'прил 16 вед2015'!I633</f>
        <v>2841.0468900000001</v>
      </c>
    </row>
    <row r="33" spans="1:11" s="54" customFormat="1" ht="15.75" hidden="1" customHeight="1" x14ac:dyDescent="0.2">
      <c r="A33" s="37" t="s">
        <v>313</v>
      </c>
      <c r="B33" s="131" t="s">
        <v>292</v>
      </c>
      <c r="C33" s="133"/>
      <c r="D33" s="52">
        <f>'прил 16 вед2015'!G634</f>
        <v>0</v>
      </c>
      <c r="E33" s="52">
        <f>E34</f>
        <v>0</v>
      </c>
      <c r="F33" s="52">
        <f>F34</f>
        <v>0</v>
      </c>
      <c r="G33" s="53"/>
      <c r="H33" s="53"/>
      <c r="I33" s="53"/>
      <c r="J33" s="53"/>
      <c r="K33" s="53"/>
    </row>
    <row r="34" spans="1:11" ht="25.5" hidden="1" customHeight="1" x14ac:dyDescent="0.25">
      <c r="A34" s="39" t="s">
        <v>381</v>
      </c>
      <c r="B34" s="33" t="s">
        <v>85</v>
      </c>
      <c r="C34" s="34" t="s">
        <v>42</v>
      </c>
      <c r="D34" s="44">
        <f>'прил 16 вед2015'!G635</f>
        <v>0</v>
      </c>
      <c r="E34" s="44">
        <f>'прил 16 вед2015'!H635</f>
        <v>0</v>
      </c>
      <c r="F34" s="44">
        <f>'прил 16 вед2015'!I635</f>
        <v>0</v>
      </c>
    </row>
    <row r="35" spans="1:11" s="54" customFormat="1" ht="15.75" customHeight="1" x14ac:dyDescent="0.2">
      <c r="A35" s="37" t="s">
        <v>212</v>
      </c>
      <c r="B35" s="116" t="s">
        <v>293</v>
      </c>
      <c r="C35" s="117"/>
      <c r="D35" s="52">
        <f>'прил 16 вед2015'!G636</f>
        <v>295212.06106000004</v>
      </c>
      <c r="E35" s="52">
        <f>'прил 16 вед2015'!H636</f>
        <v>14503.385999999999</v>
      </c>
      <c r="F35" s="52">
        <f>'прил 16 вед2015'!I636</f>
        <v>309715.44706000003</v>
      </c>
      <c r="G35" s="53"/>
      <c r="H35" s="53"/>
      <c r="I35" s="53"/>
      <c r="J35" s="53"/>
      <c r="K35" s="53"/>
    </row>
    <row r="36" spans="1:11" ht="15.75" customHeight="1" x14ac:dyDescent="0.25">
      <c r="A36" s="38" t="s">
        <v>14</v>
      </c>
      <c r="B36" s="33" t="s">
        <v>13</v>
      </c>
      <c r="C36" s="34" t="s">
        <v>15</v>
      </c>
      <c r="D36" s="44">
        <f>'прил 16 вед2015'!G637</f>
        <v>14768.101760000001</v>
      </c>
      <c r="E36" s="44">
        <f>'прил 16 вед2015'!H637</f>
        <v>1202.52108</v>
      </c>
      <c r="F36" s="44">
        <f>'прил 16 вед2015'!I637</f>
        <v>15970.622840000002</v>
      </c>
    </row>
    <row r="37" spans="1:11" ht="15.75" customHeight="1" x14ac:dyDescent="0.25">
      <c r="A37" s="38" t="s">
        <v>28</v>
      </c>
      <c r="B37" s="33" t="s">
        <v>13</v>
      </c>
      <c r="C37" s="34" t="s">
        <v>29</v>
      </c>
      <c r="D37" s="44">
        <f>'прил 16 вед2015'!G638</f>
        <v>269091.26750000002</v>
      </c>
      <c r="E37" s="44">
        <f>'прил 16 вед2015'!H638</f>
        <v>12324.79768</v>
      </c>
      <c r="F37" s="44">
        <f>'прил 16 вед2015'!I638</f>
        <v>281416.06518000003</v>
      </c>
    </row>
    <row r="38" spans="1:11" ht="26.25" customHeight="1" x14ac:dyDescent="0.25">
      <c r="A38" s="38" t="s">
        <v>314</v>
      </c>
      <c r="B38" s="33" t="s">
        <v>13</v>
      </c>
      <c r="C38" s="34" t="s">
        <v>42</v>
      </c>
      <c r="D38" s="44">
        <f>'прил 16 вед2015'!G639</f>
        <v>635.49099999999999</v>
      </c>
      <c r="E38" s="44">
        <f>'прил 16 вед2015'!H639</f>
        <v>-30.46</v>
      </c>
      <c r="F38" s="44">
        <f>'прил 16 вед2015'!I639</f>
        <v>605.03099999999995</v>
      </c>
    </row>
    <row r="39" spans="1:11" ht="15.75" customHeight="1" x14ac:dyDescent="0.25">
      <c r="A39" s="38" t="s">
        <v>45</v>
      </c>
      <c r="B39" s="33" t="s">
        <v>13</v>
      </c>
      <c r="C39" s="34" t="s">
        <v>13</v>
      </c>
      <c r="D39" s="44">
        <f>'прил 16 вед2015'!G640</f>
        <v>1912.0718000000002</v>
      </c>
      <c r="E39" s="44">
        <f>'прил 16 вед2015'!H640</f>
        <v>0</v>
      </c>
      <c r="F39" s="44">
        <f>'прил 16 вед2015'!I640</f>
        <v>1912.0718000000002</v>
      </c>
    </row>
    <row r="40" spans="1:11" ht="15.75" customHeight="1" x14ac:dyDescent="0.25">
      <c r="A40" s="38" t="s">
        <v>49</v>
      </c>
      <c r="B40" s="33" t="s">
        <v>13</v>
      </c>
      <c r="C40" s="34" t="s">
        <v>50</v>
      </c>
      <c r="D40" s="44">
        <f>'прил 16 вед2015'!G641</f>
        <v>8805.1290000000008</v>
      </c>
      <c r="E40" s="44">
        <f>'прил 16 вед2015'!H641</f>
        <v>1006.5272399999999</v>
      </c>
      <c r="F40" s="44">
        <f>'прил 16 вед2015'!I641</f>
        <v>9811.6562399999984</v>
      </c>
    </row>
    <row r="41" spans="1:11" s="54" customFormat="1" ht="15.75" customHeight="1" x14ac:dyDescent="0.2">
      <c r="A41" s="37" t="s">
        <v>315</v>
      </c>
      <c r="B41" s="116" t="s">
        <v>294</v>
      </c>
      <c r="C41" s="117"/>
      <c r="D41" s="52">
        <f>'прил 16 вед2015'!G642</f>
        <v>25597.129769999996</v>
      </c>
      <c r="E41" s="52">
        <f>'прил 16 вед2015'!H642</f>
        <v>-339.87579000000005</v>
      </c>
      <c r="F41" s="52">
        <f>'прил 16 вед2015'!I642</f>
        <v>25257.253980000001</v>
      </c>
      <c r="G41" s="53"/>
      <c r="H41" s="53"/>
      <c r="I41" s="53"/>
      <c r="J41" s="53"/>
      <c r="K41" s="53"/>
    </row>
    <row r="42" spans="1:11" ht="15.75" customHeight="1" x14ac:dyDescent="0.25">
      <c r="A42" s="38" t="s">
        <v>261</v>
      </c>
      <c r="B42" s="33" t="s">
        <v>260</v>
      </c>
      <c r="C42" s="34" t="s">
        <v>15</v>
      </c>
      <c r="D42" s="44">
        <f>'прил 16 вед2015'!G643</f>
        <v>23609.179769999995</v>
      </c>
      <c r="E42" s="44">
        <f>'прил 16 вед2015'!H643</f>
        <v>-1464.3910000000001</v>
      </c>
      <c r="F42" s="44">
        <f>'прил 16 вед2015'!I643</f>
        <v>22144.788770000003</v>
      </c>
    </row>
    <row r="43" spans="1:11" ht="15.75" customHeight="1" x14ac:dyDescent="0.25">
      <c r="A43" s="38" t="s">
        <v>316</v>
      </c>
      <c r="B43" s="33" t="s">
        <v>260</v>
      </c>
      <c r="C43" s="34" t="s">
        <v>72</v>
      </c>
      <c r="D43" s="44">
        <f>'прил 16 вед2015'!G644</f>
        <v>1987.9499999999998</v>
      </c>
      <c r="E43" s="44">
        <f>'прил 16 вед2015'!H644</f>
        <v>1124.51521</v>
      </c>
      <c r="F43" s="44">
        <f>'прил 16 вед2015'!I644</f>
        <v>3112.4652099999998</v>
      </c>
    </row>
    <row r="44" spans="1:11" s="54" customFormat="1" ht="15.75" customHeight="1" x14ac:dyDescent="0.2">
      <c r="A44" s="37" t="s">
        <v>317</v>
      </c>
      <c r="B44" s="116" t="s">
        <v>295</v>
      </c>
      <c r="C44" s="117"/>
      <c r="D44" s="52">
        <f>'прил 16 вед2015'!G645</f>
        <v>7007.4</v>
      </c>
      <c r="E44" s="52">
        <f>'прил 16 вед2015'!H645</f>
        <v>-10</v>
      </c>
      <c r="F44" s="52">
        <f>'прил 16 вед2015'!I645</f>
        <v>6997.4</v>
      </c>
      <c r="G44" s="53"/>
      <c r="H44" s="53"/>
      <c r="I44" s="53"/>
      <c r="J44" s="53"/>
      <c r="K44" s="53"/>
    </row>
    <row r="45" spans="1:11" ht="15.75" customHeight="1" x14ac:dyDescent="0.25">
      <c r="A45" s="38" t="s">
        <v>318</v>
      </c>
      <c r="B45" s="33" t="s">
        <v>50</v>
      </c>
      <c r="C45" s="34" t="s">
        <v>15</v>
      </c>
      <c r="D45" s="52">
        <f>'прил 16 вед2015'!G646</f>
        <v>6482.4</v>
      </c>
      <c r="E45" s="52">
        <f>'прил 16 вед2015'!H646</f>
        <v>0</v>
      </c>
      <c r="F45" s="52">
        <f>'прил 16 вед2015'!I646</f>
        <v>6482.4</v>
      </c>
    </row>
    <row r="46" spans="1:11" ht="19.5" hidden="1" customHeight="1" x14ac:dyDescent="0.25">
      <c r="A46" s="38" t="s">
        <v>319</v>
      </c>
      <c r="B46" s="33" t="s">
        <v>50</v>
      </c>
      <c r="C46" s="34" t="s">
        <v>29</v>
      </c>
      <c r="D46" s="52">
        <f>'прил 16 вед2015'!G647</f>
        <v>0</v>
      </c>
      <c r="E46" s="52">
        <f>'прил 16 вед2015'!H647</f>
        <v>0</v>
      </c>
      <c r="F46" s="52">
        <f>'прил 16 вед2015'!I647</f>
        <v>0</v>
      </c>
    </row>
    <row r="47" spans="1:11" ht="15.75" hidden="1" customHeight="1" x14ac:dyDescent="0.25">
      <c r="A47" s="38" t="s">
        <v>320</v>
      </c>
      <c r="B47" s="33" t="s">
        <v>50</v>
      </c>
      <c r="C47" s="34" t="s">
        <v>72</v>
      </c>
      <c r="D47" s="52">
        <f>'прил 16 вед2015'!G648</f>
        <v>0</v>
      </c>
      <c r="E47" s="52">
        <f>'прил 16 вед2015'!H648</f>
        <v>0</v>
      </c>
      <c r="F47" s="52">
        <f>'прил 16 вед2015'!I648</f>
        <v>0</v>
      </c>
    </row>
    <row r="48" spans="1:11" ht="15.75" customHeight="1" x14ac:dyDescent="0.25">
      <c r="A48" s="38" t="s">
        <v>222</v>
      </c>
      <c r="B48" s="33" t="s">
        <v>50</v>
      </c>
      <c r="C48" s="34" t="s">
        <v>50</v>
      </c>
      <c r="D48" s="44">
        <f>'прил 16 вед2015'!G649</f>
        <v>525</v>
      </c>
      <c r="E48" s="44">
        <f>'прил 16 вед2015'!H649</f>
        <v>-10</v>
      </c>
      <c r="F48" s="44">
        <f>'прил 16 вед2015'!I649</f>
        <v>515</v>
      </c>
    </row>
    <row r="49" spans="1:6" ht="15.75" customHeight="1" x14ac:dyDescent="0.2">
      <c r="A49" s="37" t="s">
        <v>69</v>
      </c>
      <c r="B49" s="116" t="s">
        <v>296</v>
      </c>
      <c r="C49" s="117"/>
      <c r="D49" s="52">
        <f>'прил 16 вед2015'!G650</f>
        <v>16955.672699999999</v>
      </c>
      <c r="E49" s="52">
        <f>'прил 16 вед2015'!H650</f>
        <v>-65.2</v>
      </c>
      <c r="F49" s="52">
        <f>'прил 16 вед2015'!I650</f>
        <v>16890.472699999998</v>
      </c>
    </row>
    <row r="50" spans="1:6" ht="15.75" customHeight="1" x14ac:dyDescent="0.25">
      <c r="A50" s="38" t="s">
        <v>230</v>
      </c>
      <c r="B50" s="33" t="s">
        <v>70</v>
      </c>
      <c r="C50" s="34" t="s">
        <v>15</v>
      </c>
      <c r="D50" s="44">
        <f>'прил 16 вед2015'!G651</f>
        <v>103.19</v>
      </c>
      <c r="E50" s="44">
        <f>'прил 16 вед2015'!H651</f>
        <v>0</v>
      </c>
      <c r="F50" s="44">
        <f>'прил 16 вед2015'!I651</f>
        <v>103.19</v>
      </c>
    </row>
    <row r="51" spans="1:6" ht="15.75" hidden="1" customHeight="1" x14ac:dyDescent="0.25">
      <c r="A51" s="38" t="s">
        <v>321</v>
      </c>
      <c r="B51" s="33" t="s">
        <v>70</v>
      </c>
      <c r="C51" s="34" t="s">
        <v>29</v>
      </c>
      <c r="D51" s="44">
        <f>'прил 16 вед2015'!G652</f>
        <v>0</v>
      </c>
      <c r="E51" s="44">
        <f>'прил 16 вед2015'!H652</f>
        <v>0</v>
      </c>
      <c r="F51" s="44">
        <f>'прил 16 вед2015'!I652</f>
        <v>0</v>
      </c>
    </row>
    <row r="52" spans="1:6" ht="15.75" customHeight="1" x14ac:dyDescent="0.25">
      <c r="A52" s="38" t="s">
        <v>322</v>
      </c>
      <c r="B52" s="33" t="s">
        <v>70</v>
      </c>
      <c r="C52" s="34" t="s">
        <v>111</v>
      </c>
      <c r="D52" s="44">
        <f>'прил 16 вед2015'!G653</f>
        <v>5347.9521999999997</v>
      </c>
      <c r="E52" s="44">
        <f>'прил 16 вед2015'!H653</f>
        <v>0</v>
      </c>
      <c r="F52" s="44">
        <f>'прил 16 вед2015'!I653</f>
        <v>5347.9521999999997</v>
      </c>
    </row>
    <row r="53" spans="1:6" ht="15.75" customHeight="1" x14ac:dyDescent="0.25">
      <c r="A53" s="38" t="s">
        <v>323</v>
      </c>
      <c r="B53" s="33" t="s">
        <v>70</v>
      </c>
      <c r="C53" s="34" t="s">
        <v>72</v>
      </c>
      <c r="D53" s="44">
        <f>'прил 16 вед2015'!G654</f>
        <v>10831.530499999999</v>
      </c>
      <c r="E53" s="44">
        <f>'прил 16 вед2015'!H654</f>
        <v>-85.2</v>
      </c>
      <c r="F53" s="44">
        <f>'прил 16 вед2015'!I654</f>
        <v>10746.3305</v>
      </c>
    </row>
    <row r="54" spans="1:6" ht="15.75" customHeight="1" x14ac:dyDescent="0.25">
      <c r="A54" s="38" t="s">
        <v>246</v>
      </c>
      <c r="B54" s="33" t="s">
        <v>70</v>
      </c>
      <c r="C54" s="34" t="s">
        <v>85</v>
      </c>
      <c r="D54" s="44">
        <f>'прил 16 вед2015'!G655</f>
        <v>673</v>
      </c>
      <c r="E54" s="44">
        <f>'прил 16 вед2015'!H655</f>
        <v>20</v>
      </c>
      <c r="F54" s="44">
        <f>'прил 16 вед2015'!I655</f>
        <v>693</v>
      </c>
    </row>
    <row r="55" spans="1:6" ht="15.75" customHeight="1" x14ac:dyDescent="0.2">
      <c r="A55" s="37" t="s">
        <v>276</v>
      </c>
      <c r="B55" s="116" t="s">
        <v>297</v>
      </c>
      <c r="C55" s="117"/>
      <c r="D55" s="52">
        <f>'прил 16 вед2015'!G656</f>
        <v>2358.23</v>
      </c>
      <c r="E55" s="52">
        <f>'прил 16 вед2015'!H656</f>
        <v>-16.110210000000002</v>
      </c>
      <c r="F55" s="52">
        <f>'прил 16 вед2015'!I656</f>
        <v>2342.1197899999997</v>
      </c>
    </row>
    <row r="56" spans="1:6" ht="15.75" customHeight="1" x14ac:dyDescent="0.25">
      <c r="A56" s="38" t="s">
        <v>324</v>
      </c>
      <c r="B56" s="33" t="s">
        <v>87</v>
      </c>
      <c r="C56" s="34" t="s">
        <v>15</v>
      </c>
      <c r="D56" s="44">
        <f>'прил 16 вед2015'!G657</f>
        <v>625.5</v>
      </c>
      <c r="E56" s="44">
        <f>'прил 16 вед2015'!H657</f>
        <v>0</v>
      </c>
      <c r="F56" s="44">
        <f>'прил 16 вед2015'!I657</f>
        <v>625.5</v>
      </c>
    </row>
    <row r="57" spans="1:6" ht="36.75" customHeight="1" x14ac:dyDescent="0.25">
      <c r="A57" s="93" t="s">
        <v>409</v>
      </c>
      <c r="B57" s="66" t="s">
        <v>87</v>
      </c>
      <c r="C57" s="66" t="s">
        <v>42</v>
      </c>
      <c r="D57" s="44">
        <f>'прил 16 вед2015'!G658</f>
        <v>1732.73</v>
      </c>
      <c r="E57" s="44">
        <f>'прил 16 вед2015'!H658</f>
        <v>-16.110210000000002</v>
      </c>
      <c r="F57" s="44">
        <f>'прил 16 вед2015'!I658</f>
        <v>1716.61979</v>
      </c>
    </row>
    <row r="58" spans="1:6" ht="36.75" customHeight="1" x14ac:dyDescent="0.2">
      <c r="A58" s="37" t="s">
        <v>249</v>
      </c>
      <c r="B58" s="116" t="s">
        <v>298</v>
      </c>
      <c r="C58" s="117"/>
      <c r="D58" s="52">
        <f>'прил 16 вед2015'!G659</f>
        <v>1519.04</v>
      </c>
      <c r="E58" s="52">
        <f>'прил 16 вед2015'!H659</f>
        <v>0</v>
      </c>
      <c r="F58" s="52">
        <f>'прил 16 вед2015'!I659</f>
        <v>1519.04</v>
      </c>
    </row>
    <row r="59" spans="1:6" ht="15.75" customHeight="1" x14ac:dyDescent="0.25">
      <c r="A59" s="38" t="s">
        <v>250</v>
      </c>
      <c r="B59" s="33" t="s">
        <v>98</v>
      </c>
      <c r="C59" s="34" t="s">
        <v>29</v>
      </c>
      <c r="D59" s="44">
        <f>'прил 16 вед2015'!G660</f>
        <v>1519.04</v>
      </c>
      <c r="E59" s="44">
        <f>'прил 16 вед2015'!H660</f>
        <v>0</v>
      </c>
      <c r="F59" s="44">
        <f>'прил 16 вед2015'!I660</f>
        <v>1519.04</v>
      </c>
    </row>
    <row r="60" spans="1:6" ht="26.25" customHeight="1" x14ac:dyDescent="0.2">
      <c r="A60" s="37" t="s">
        <v>101</v>
      </c>
      <c r="B60" s="116" t="s">
        <v>299</v>
      </c>
      <c r="C60" s="117"/>
      <c r="D60" s="52">
        <f>'прил 16 вед2015'!G661</f>
        <v>227</v>
      </c>
      <c r="E60" s="52">
        <f>'прил 16 вед2015'!H661</f>
        <v>-6.0017100000000001</v>
      </c>
      <c r="F60" s="52">
        <f>'прил 16 вед2015'!I661</f>
        <v>220.99829</v>
      </c>
    </row>
    <row r="61" spans="1:6" ht="26.25" customHeight="1" x14ac:dyDescent="0.25">
      <c r="A61" s="38" t="s">
        <v>102</v>
      </c>
      <c r="B61" s="33" t="s">
        <v>94</v>
      </c>
      <c r="C61" s="34" t="s">
        <v>15</v>
      </c>
      <c r="D61" s="44">
        <f>'прил 16 вед2015'!G662</f>
        <v>227</v>
      </c>
      <c r="E61" s="44">
        <f>'прил 16 вед2015'!H662</f>
        <v>-6.0017100000000001</v>
      </c>
      <c r="F61" s="44">
        <f>'прил 16 вед2015'!I662</f>
        <v>220.99829</v>
      </c>
    </row>
    <row r="62" spans="1:6" ht="26.25" customHeight="1" x14ac:dyDescent="0.2">
      <c r="A62" s="37" t="s">
        <v>325</v>
      </c>
      <c r="B62" s="116" t="s">
        <v>300</v>
      </c>
      <c r="C62" s="117"/>
      <c r="D62" s="52">
        <f>'прил 16 вед2015'!G663</f>
        <v>30556.530999999999</v>
      </c>
      <c r="E62" s="52">
        <f>'прил 16 вед2015'!H663</f>
        <v>1256.5</v>
      </c>
      <c r="F62" s="52">
        <f>'прил 16 вед2015'!I663</f>
        <v>31813.030999999999</v>
      </c>
    </row>
    <row r="63" spans="1:6" ht="26.25" customHeight="1" x14ac:dyDescent="0.25">
      <c r="A63" s="38" t="s">
        <v>326</v>
      </c>
      <c r="B63" s="33" t="s">
        <v>117</v>
      </c>
      <c r="C63" s="34" t="s">
        <v>15</v>
      </c>
      <c r="D63" s="44">
        <f>'прил 16 вед2015'!G664</f>
        <v>25487</v>
      </c>
      <c r="E63" s="44">
        <f>'прил 16 вед2015'!H664</f>
        <v>0</v>
      </c>
      <c r="F63" s="44">
        <f>'прил 16 вед2015'!I664</f>
        <v>25487</v>
      </c>
    </row>
    <row r="64" spans="1:6" ht="39" customHeight="1" x14ac:dyDescent="0.25">
      <c r="A64" s="38" t="s">
        <v>327</v>
      </c>
      <c r="B64" s="33" t="s">
        <v>117</v>
      </c>
      <c r="C64" s="34" t="s">
        <v>111</v>
      </c>
      <c r="D64" s="44">
        <f>'прил 16 вед2015'!G665</f>
        <v>5069.5309999999999</v>
      </c>
      <c r="E64" s="44">
        <f>'прил 16 вед2015'!H665</f>
        <v>1256.5</v>
      </c>
      <c r="F64" s="44">
        <f>'прил 16 вед2015'!I665</f>
        <v>6326.0309999999999</v>
      </c>
    </row>
    <row r="65" spans="1:11" ht="15.75" hidden="1" customHeight="1" x14ac:dyDescent="0.2">
      <c r="A65" s="37" t="s">
        <v>328</v>
      </c>
      <c r="B65" s="50" t="s">
        <v>280</v>
      </c>
      <c r="C65" s="51" t="s">
        <v>280</v>
      </c>
      <c r="D65" s="52">
        <f>'прил 16 вед2015'!G666</f>
        <v>0</v>
      </c>
      <c r="E65" s="52">
        <f>'прил 16 вед2015'!H666</f>
        <v>0</v>
      </c>
      <c r="F65" s="52">
        <f>'прил 16 вед2015'!I666</f>
        <v>0</v>
      </c>
    </row>
    <row r="66" spans="1:11" s="54" customFormat="1" ht="15.75" customHeight="1" x14ac:dyDescent="0.2">
      <c r="A66" s="37" t="s">
        <v>329</v>
      </c>
      <c r="B66" s="50"/>
      <c r="C66" s="51"/>
      <c r="D66" s="52">
        <f>'прил 16 вед2015'!G667</f>
        <v>430564.02997000003</v>
      </c>
      <c r="E66" s="52">
        <f>'прил 16 вед2015'!H667</f>
        <v>17143.899999999994</v>
      </c>
      <c r="F66" s="52">
        <f>'прил 16 вед2015'!I667</f>
        <v>447707.92997000006</v>
      </c>
      <c r="G66" s="53"/>
      <c r="H66" s="53"/>
      <c r="I66" s="53"/>
      <c r="J66" s="53"/>
      <c r="K66" s="53"/>
    </row>
    <row r="67" spans="1:11" x14ac:dyDescent="0.2">
      <c r="D67" s="41">
        <f>D9+D18+D20+D24+D29+D35+D41+D44+D49+D55+D58+D60+D62+D65+D33</f>
        <v>430564.02997000003</v>
      </c>
      <c r="E67" s="41">
        <f>E9+E18+E20+E24+E29+E35+E41+E44+E49+E55+E58+E60+E62+E65+E33</f>
        <v>17143.899999999994</v>
      </c>
      <c r="F67" s="41">
        <f>F9+F18+F20+F24+F29+F35+F41+F44+F49+F55+F58+F60+F62+F65+F33</f>
        <v>447707.92997000006</v>
      </c>
    </row>
  </sheetData>
  <mergeCells count="19">
    <mergeCell ref="B44:C44"/>
    <mergeCell ref="B24:C24"/>
    <mergeCell ref="B29:C29"/>
    <mergeCell ref="B33:C33"/>
    <mergeCell ref="B35:C35"/>
    <mergeCell ref="B41:C41"/>
    <mergeCell ref="B20:C20"/>
    <mergeCell ref="D1:F1"/>
    <mergeCell ref="D2:F2"/>
    <mergeCell ref="A4:F4"/>
    <mergeCell ref="A5:F5"/>
    <mergeCell ref="B8:C8"/>
    <mergeCell ref="B9:C9"/>
    <mergeCell ref="B18:C18"/>
    <mergeCell ref="B49:C49"/>
    <mergeCell ref="B55:C55"/>
    <mergeCell ref="B58:C58"/>
    <mergeCell ref="B60:C60"/>
    <mergeCell ref="B62:C62"/>
  </mergeCells>
  <pageMargins left="1.299212598425197" right="0" top="0" bottom="0" header="0" footer="0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8"/>
  <sheetViews>
    <sheetView tabSelected="1" view="pageBreakPreview" topLeftCell="A149" zoomScaleNormal="90" zoomScaleSheetLayoutView="100" workbookViewId="0">
      <selection activeCell="I44" sqref="I44"/>
    </sheetView>
  </sheetViews>
  <sheetFormatPr defaultRowHeight="12.75" x14ac:dyDescent="0.2"/>
  <cols>
    <col min="1" max="1" width="41.85546875" style="55" customWidth="1"/>
    <col min="2" max="2" width="9.7109375" style="55" customWidth="1"/>
    <col min="3" max="3" width="8.5703125" style="55" customWidth="1"/>
    <col min="4" max="4" width="8.42578125" style="55" customWidth="1"/>
    <col min="5" max="5" width="10.5703125" style="55" customWidth="1"/>
    <col min="6" max="6" width="7.5703125" style="55" customWidth="1"/>
    <col min="7" max="7" width="13" style="79" customWidth="1"/>
    <col min="8" max="8" width="11.85546875" style="79" customWidth="1"/>
    <col min="9" max="9" width="13.28515625" style="79" customWidth="1"/>
    <col min="10" max="10" width="10" style="55" bestFit="1" customWidth="1"/>
    <col min="11" max="11" width="13.28515625" style="55" customWidth="1"/>
    <col min="12" max="16384" width="9.140625" style="55"/>
  </cols>
  <sheetData>
    <row r="1" spans="1:11" ht="12" customHeight="1" x14ac:dyDescent="0.2">
      <c r="B1" s="74"/>
      <c r="C1" s="74"/>
      <c r="D1" s="74"/>
      <c r="E1" s="75"/>
      <c r="F1" s="134" t="s">
        <v>339</v>
      </c>
      <c r="G1" s="135"/>
      <c r="H1" s="135"/>
      <c r="I1" s="135"/>
    </row>
    <row r="2" spans="1:11" ht="63.75" customHeight="1" x14ac:dyDescent="0.2">
      <c r="B2" s="74"/>
      <c r="C2" s="74"/>
      <c r="D2" s="74"/>
      <c r="E2" s="76"/>
      <c r="F2" s="143" t="s">
        <v>506</v>
      </c>
      <c r="G2" s="144"/>
      <c r="H2" s="144"/>
      <c r="I2" s="144"/>
    </row>
    <row r="3" spans="1:11" ht="24.75" customHeight="1" x14ac:dyDescent="0.2">
      <c r="A3" s="138" t="s">
        <v>338</v>
      </c>
      <c r="B3" s="138"/>
      <c r="C3" s="138"/>
      <c r="D3" s="138"/>
      <c r="E3" s="138"/>
      <c r="F3" s="138"/>
      <c r="G3" s="138"/>
      <c r="H3" s="138"/>
      <c r="I3" s="140"/>
    </row>
    <row r="4" spans="1:11" ht="17.25" customHeight="1" x14ac:dyDescent="0.2">
      <c r="A4" s="138" t="s">
        <v>378</v>
      </c>
      <c r="B4" s="139"/>
      <c r="C4" s="139"/>
      <c r="D4" s="139"/>
      <c r="E4" s="139"/>
      <c r="F4" s="139"/>
      <c r="G4" s="139"/>
      <c r="H4" s="139"/>
      <c r="I4" s="139"/>
    </row>
    <row r="5" spans="1:11" ht="15" customHeight="1" x14ac:dyDescent="0.2">
      <c r="I5" s="79" t="s">
        <v>344</v>
      </c>
    </row>
    <row r="6" spans="1:11" s="56" customFormat="1" ht="12.75" customHeight="1" x14ac:dyDescent="0.2">
      <c r="A6" s="136" t="s">
        <v>0</v>
      </c>
      <c r="B6" s="136" t="s">
        <v>4</v>
      </c>
      <c r="C6" s="137"/>
      <c r="D6" s="137"/>
      <c r="E6" s="137"/>
      <c r="F6" s="137"/>
      <c r="G6" s="141" t="s">
        <v>1</v>
      </c>
      <c r="H6" s="141" t="s">
        <v>2</v>
      </c>
      <c r="I6" s="141" t="s">
        <v>3</v>
      </c>
    </row>
    <row r="7" spans="1:11" s="56" customFormat="1" ht="12" customHeight="1" x14ac:dyDescent="0.2">
      <c r="A7" s="137"/>
      <c r="B7" s="137"/>
      <c r="C7" s="137"/>
      <c r="D7" s="137"/>
      <c r="E7" s="137"/>
      <c r="F7" s="137"/>
      <c r="G7" s="141"/>
      <c r="H7" s="142"/>
      <c r="I7" s="142"/>
    </row>
    <row r="8" spans="1:11" s="56" customFormat="1" ht="36" customHeight="1" x14ac:dyDescent="0.2">
      <c r="A8" s="137"/>
      <c r="B8" s="64" t="s">
        <v>5</v>
      </c>
      <c r="C8" s="64" t="s">
        <v>6</v>
      </c>
      <c r="D8" s="64" t="s">
        <v>7</v>
      </c>
      <c r="E8" s="64" t="s">
        <v>8</v>
      </c>
      <c r="F8" s="64" t="s">
        <v>9</v>
      </c>
      <c r="G8" s="141"/>
      <c r="H8" s="142"/>
      <c r="I8" s="142"/>
    </row>
    <row r="9" spans="1:11" s="87" customFormat="1" ht="10.5" x14ac:dyDescent="0.2">
      <c r="A9" s="86">
        <v>1</v>
      </c>
      <c r="B9" s="86">
        <v>2</v>
      </c>
      <c r="C9" s="86">
        <v>3</v>
      </c>
      <c r="D9" s="86">
        <v>4</v>
      </c>
      <c r="E9" s="86">
        <v>5</v>
      </c>
      <c r="F9" s="86">
        <v>6</v>
      </c>
      <c r="G9" s="95">
        <v>7</v>
      </c>
      <c r="H9" s="95">
        <v>8</v>
      </c>
      <c r="I9" s="114">
        <v>9</v>
      </c>
    </row>
    <row r="10" spans="1:11" s="56" customFormat="1" x14ac:dyDescent="0.2">
      <c r="A10" s="1" t="s">
        <v>10</v>
      </c>
      <c r="B10" s="2" t="s">
        <v>11</v>
      </c>
      <c r="C10" s="3"/>
      <c r="D10" s="3"/>
      <c r="E10" s="3"/>
      <c r="F10" s="3"/>
      <c r="G10" s="109">
        <f>G11+G97</f>
        <v>278160.35558000003</v>
      </c>
      <c r="H10" s="109">
        <f>H11+H97</f>
        <v>942.67501999999945</v>
      </c>
      <c r="I10" s="109">
        <f>I11+I97</f>
        <v>279103.03060000006</v>
      </c>
    </row>
    <row r="11" spans="1:11" x14ac:dyDescent="0.2">
      <c r="A11" s="4" t="s">
        <v>12</v>
      </c>
      <c r="B11" s="3" t="s">
        <v>11</v>
      </c>
      <c r="C11" s="3" t="s">
        <v>13</v>
      </c>
      <c r="D11" s="3"/>
      <c r="E11" s="3"/>
      <c r="F11" s="3"/>
      <c r="G11" s="107">
        <f>G30+G64+G70+G78+G12</f>
        <v>276154.95558000001</v>
      </c>
      <c r="H11" s="107">
        <f>H30+H64+H70+H78+H12</f>
        <v>1027.8750199999995</v>
      </c>
      <c r="I11" s="107">
        <f>I30+I64+I70+I78+I12</f>
        <v>277182.83060000004</v>
      </c>
      <c r="J11" s="85"/>
    </row>
    <row r="12" spans="1:11" x14ac:dyDescent="0.2">
      <c r="A12" s="4" t="s">
        <v>14</v>
      </c>
      <c r="B12" s="3" t="s">
        <v>11</v>
      </c>
      <c r="C12" s="3" t="s">
        <v>13</v>
      </c>
      <c r="D12" s="3" t="s">
        <v>15</v>
      </c>
      <c r="E12" s="3"/>
      <c r="F12" s="3"/>
      <c r="G12" s="107">
        <f>G13+G23</f>
        <v>14768.101760000001</v>
      </c>
      <c r="H12" s="107">
        <f t="shared" ref="H12:I12" si="0">H13+H23</f>
        <v>909.24108000000012</v>
      </c>
      <c r="I12" s="107">
        <f t="shared" si="0"/>
        <v>15677.342840000001</v>
      </c>
    </row>
    <row r="13" spans="1:11" ht="38.25" x14ac:dyDescent="0.2">
      <c r="A13" s="5" t="s">
        <v>16</v>
      </c>
      <c r="B13" s="3" t="s">
        <v>11</v>
      </c>
      <c r="C13" s="3" t="s">
        <v>13</v>
      </c>
      <c r="D13" s="3" t="s">
        <v>15</v>
      </c>
      <c r="E13" s="6" t="s">
        <v>17</v>
      </c>
      <c r="F13" s="3"/>
      <c r="G13" s="107">
        <f t="shared" ref="G13:I13" si="1">G14</f>
        <v>14768.101760000001</v>
      </c>
      <c r="H13" s="107">
        <f t="shared" si="1"/>
        <v>866.19402000000014</v>
      </c>
      <c r="I13" s="107">
        <f t="shared" si="1"/>
        <v>15634.29578</v>
      </c>
    </row>
    <row r="14" spans="1:11" ht="38.25" x14ac:dyDescent="0.2">
      <c r="A14" s="7" t="s">
        <v>18</v>
      </c>
      <c r="B14" s="3" t="s">
        <v>11</v>
      </c>
      <c r="C14" s="3" t="s">
        <v>13</v>
      </c>
      <c r="D14" s="3" t="s">
        <v>15</v>
      </c>
      <c r="E14" s="3" t="s">
        <v>19</v>
      </c>
      <c r="F14" s="3"/>
      <c r="G14" s="107">
        <f>G15+G25+G28</f>
        <v>14768.101760000001</v>
      </c>
      <c r="H14" s="107">
        <f>H15+H25+H28</f>
        <v>866.19402000000014</v>
      </c>
      <c r="I14" s="107">
        <f>I15+I25+I28</f>
        <v>15634.29578</v>
      </c>
    </row>
    <row r="15" spans="1:11" ht="38.25" x14ac:dyDescent="0.2">
      <c r="A15" s="7" t="s">
        <v>20</v>
      </c>
      <c r="B15" s="3" t="s">
        <v>11</v>
      </c>
      <c r="C15" s="3" t="s">
        <v>13</v>
      </c>
      <c r="D15" s="3" t="s">
        <v>15</v>
      </c>
      <c r="E15" s="3" t="s">
        <v>21</v>
      </c>
      <c r="F15" s="3"/>
      <c r="G15" s="107">
        <f>G16+G17+G20+G18+G19</f>
        <v>10031.492760000001</v>
      </c>
      <c r="H15" s="107">
        <f>H16+H17+H20+H18+H19</f>
        <v>1097.5142700000001</v>
      </c>
      <c r="I15" s="107">
        <f>I16+I17+I20+I18+I19</f>
        <v>11129.007030000001</v>
      </c>
    </row>
    <row r="16" spans="1:11" ht="51" x14ac:dyDescent="0.2">
      <c r="A16" s="4" t="s">
        <v>388</v>
      </c>
      <c r="B16" s="3" t="s">
        <v>11</v>
      </c>
      <c r="C16" s="3" t="s">
        <v>13</v>
      </c>
      <c r="D16" s="3" t="s">
        <v>15</v>
      </c>
      <c r="E16" s="3" t="s">
        <v>23</v>
      </c>
      <c r="F16" s="3" t="s">
        <v>24</v>
      </c>
      <c r="G16" s="107">
        <v>112.08</v>
      </c>
      <c r="H16" s="107"/>
      <c r="I16" s="107">
        <f>G16+H16</f>
        <v>112.08</v>
      </c>
      <c r="J16" s="55">
        <v>112.08</v>
      </c>
      <c r="K16" s="85">
        <f>I16-J16</f>
        <v>0</v>
      </c>
    </row>
    <row r="17" spans="1:11" ht="25.5" hidden="1" x14ac:dyDescent="0.2">
      <c r="A17" s="4" t="s">
        <v>25</v>
      </c>
      <c r="B17" s="3" t="s">
        <v>11</v>
      </c>
      <c r="C17" s="3" t="s">
        <v>13</v>
      </c>
      <c r="D17" s="3" t="s">
        <v>15</v>
      </c>
      <c r="E17" s="3" t="s">
        <v>23</v>
      </c>
      <c r="F17" s="3" t="s">
        <v>26</v>
      </c>
      <c r="G17" s="107"/>
      <c r="H17" s="107"/>
      <c r="I17" s="107">
        <f>G17+H17</f>
        <v>0</v>
      </c>
      <c r="K17" s="85">
        <f t="shared" ref="K17:K19" si="2">I17-J17</f>
        <v>0</v>
      </c>
    </row>
    <row r="18" spans="1:11" ht="38.25" x14ac:dyDescent="0.2">
      <c r="A18" s="15" t="s">
        <v>191</v>
      </c>
      <c r="B18" s="3" t="s">
        <v>11</v>
      </c>
      <c r="C18" s="3" t="s">
        <v>13</v>
      </c>
      <c r="D18" s="3" t="s">
        <v>15</v>
      </c>
      <c r="E18" s="3" t="s">
        <v>23</v>
      </c>
      <c r="F18" s="3" t="s">
        <v>192</v>
      </c>
      <c r="G18" s="107">
        <v>910.48676</v>
      </c>
      <c r="H18" s="107">
        <v>628</v>
      </c>
      <c r="I18" s="107">
        <f>G18+H18</f>
        <v>1538.48676</v>
      </c>
      <c r="J18" s="55">
        <v>922.31475999999998</v>
      </c>
      <c r="K18" s="85">
        <f t="shared" si="2"/>
        <v>616.17200000000003</v>
      </c>
    </row>
    <row r="19" spans="1:11" ht="25.5" x14ac:dyDescent="0.2">
      <c r="A19" s="15" t="s">
        <v>217</v>
      </c>
      <c r="B19" s="3" t="s">
        <v>11</v>
      </c>
      <c r="C19" s="3" t="s">
        <v>13</v>
      </c>
      <c r="D19" s="3" t="s">
        <v>15</v>
      </c>
      <c r="E19" s="3" t="s">
        <v>23</v>
      </c>
      <c r="F19" s="3" t="s">
        <v>218</v>
      </c>
      <c r="G19" s="107">
        <v>282.73599999999999</v>
      </c>
      <c r="H19" s="107">
        <f>31.114</f>
        <v>31.114000000000001</v>
      </c>
      <c r="I19" s="107">
        <f>G19+H19</f>
        <v>313.84999999999997</v>
      </c>
      <c r="K19" s="85">
        <f t="shared" si="2"/>
        <v>313.84999999999997</v>
      </c>
    </row>
    <row r="20" spans="1:11" ht="63.75" x14ac:dyDescent="0.2">
      <c r="A20" s="67" t="s">
        <v>346</v>
      </c>
      <c r="B20" s="3" t="s">
        <v>11</v>
      </c>
      <c r="C20" s="3" t="s">
        <v>13</v>
      </c>
      <c r="D20" s="3" t="s">
        <v>15</v>
      </c>
      <c r="E20" s="3" t="s">
        <v>347</v>
      </c>
      <c r="F20" s="3"/>
      <c r="G20" s="107">
        <f>G21+G22</f>
        <v>8726.19</v>
      </c>
      <c r="H20" s="107">
        <f>H21+H22</f>
        <v>438.40026999999998</v>
      </c>
      <c r="I20" s="107">
        <f>I21+I22</f>
        <v>9164.5902700000006</v>
      </c>
      <c r="K20" s="85"/>
    </row>
    <row r="21" spans="1:11" ht="51" x14ac:dyDescent="0.2">
      <c r="A21" s="4" t="s">
        <v>387</v>
      </c>
      <c r="B21" s="3" t="s">
        <v>11</v>
      </c>
      <c r="C21" s="3" t="s">
        <v>13</v>
      </c>
      <c r="D21" s="3" t="s">
        <v>15</v>
      </c>
      <c r="E21" s="3" t="s">
        <v>347</v>
      </c>
      <c r="F21" s="3" t="s">
        <v>24</v>
      </c>
      <c r="G21" s="107">
        <v>7744.7683999999999</v>
      </c>
      <c r="H21" s="107">
        <f>438.40027</f>
        <v>438.40026999999998</v>
      </c>
      <c r="I21" s="107">
        <f>G21+H21</f>
        <v>8183.16867</v>
      </c>
      <c r="J21" s="55">
        <v>15143.5234</v>
      </c>
      <c r="K21" s="85">
        <f>I21-J21</f>
        <v>-6960.35473</v>
      </c>
    </row>
    <row r="22" spans="1:11" ht="38.25" x14ac:dyDescent="0.2">
      <c r="A22" s="15" t="s">
        <v>191</v>
      </c>
      <c r="B22" s="3" t="s">
        <v>11</v>
      </c>
      <c r="C22" s="3" t="s">
        <v>13</v>
      </c>
      <c r="D22" s="3" t="s">
        <v>15</v>
      </c>
      <c r="E22" s="3" t="s">
        <v>347</v>
      </c>
      <c r="F22" s="3" t="s">
        <v>192</v>
      </c>
      <c r="G22" s="107">
        <v>981.42160000000001</v>
      </c>
      <c r="H22" s="107"/>
      <c r="I22" s="107">
        <f>G22+H22</f>
        <v>981.42160000000001</v>
      </c>
      <c r="J22" s="55">
        <v>1898.4766</v>
      </c>
      <c r="K22" s="85">
        <f t="shared" ref="K22:K27" si="3">I22-J22</f>
        <v>-917.05499999999995</v>
      </c>
    </row>
    <row r="23" spans="1:11" ht="36" customHeight="1" x14ac:dyDescent="0.2">
      <c r="A23" s="7" t="s">
        <v>34</v>
      </c>
      <c r="B23" s="3" t="s">
        <v>11</v>
      </c>
      <c r="C23" s="3" t="s">
        <v>13</v>
      </c>
      <c r="D23" s="3" t="s">
        <v>15</v>
      </c>
      <c r="E23" s="3" t="s">
        <v>35</v>
      </c>
      <c r="F23" s="3"/>
      <c r="G23" s="107">
        <f>G24</f>
        <v>0</v>
      </c>
      <c r="H23" s="107">
        <f t="shared" ref="H23:I23" si="4">H24</f>
        <v>43.047060000000002</v>
      </c>
      <c r="I23" s="107">
        <f t="shared" si="4"/>
        <v>43.047060000000002</v>
      </c>
      <c r="K23" s="85"/>
    </row>
    <row r="24" spans="1:11" ht="38.25" x14ac:dyDescent="0.2">
      <c r="A24" s="15" t="s">
        <v>191</v>
      </c>
      <c r="B24" s="3" t="s">
        <v>11</v>
      </c>
      <c r="C24" s="3" t="s">
        <v>13</v>
      </c>
      <c r="D24" s="3" t="s">
        <v>15</v>
      </c>
      <c r="E24" s="3" t="s">
        <v>35</v>
      </c>
      <c r="F24" s="3" t="s">
        <v>192</v>
      </c>
      <c r="G24" s="107"/>
      <c r="H24" s="107">
        <v>43.047060000000002</v>
      </c>
      <c r="I24" s="107">
        <f>G24+H24</f>
        <v>43.047060000000002</v>
      </c>
      <c r="K24" s="85"/>
    </row>
    <row r="25" spans="1:11" ht="25.5" x14ac:dyDescent="0.2">
      <c r="A25" s="7" t="s">
        <v>470</v>
      </c>
      <c r="B25" s="3" t="s">
        <v>11</v>
      </c>
      <c r="C25" s="3" t="s">
        <v>13</v>
      </c>
      <c r="D25" s="3" t="s">
        <v>15</v>
      </c>
      <c r="E25" s="3" t="s">
        <v>469</v>
      </c>
      <c r="F25" s="3"/>
      <c r="G25" s="107">
        <f>SUM(G26:G27)</f>
        <v>545.45000000000005</v>
      </c>
      <c r="H25" s="107">
        <f t="shared" ref="H25:I25" si="5">SUM(H26:H27)</f>
        <v>0</v>
      </c>
      <c r="I25" s="107">
        <f t="shared" si="5"/>
        <v>545.45000000000005</v>
      </c>
      <c r="K25" s="85">
        <f t="shared" si="3"/>
        <v>545.45000000000005</v>
      </c>
    </row>
    <row r="26" spans="1:11" ht="51" x14ac:dyDescent="0.2">
      <c r="A26" s="4" t="s">
        <v>388</v>
      </c>
      <c r="B26" s="3" t="s">
        <v>11</v>
      </c>
      <c r="C26" s="3" t="s">
        <v>13</v>
      </c>
      <c r="D26" s="3" t="s">
        <v>15</v>
      </c>
      <c r="E26" s="3" t="s">
        <v>469</v>
      </c>
      <c r="F26" s="3" t="s">
        <v>26</v>
      </c>
      <c r="G26" s="107">
        <v>545.45000000000005</v>
      </c>
      <c r="H26" s="107">
        <v>-545.45000000000005</v>
      </c>
      <c r="I26" s="107">
        <f>G26+H26</f>
        <v>0</v>
      </c>
      <c r="K26" s="85">
        <f t="shared" si="3"/>
        <v>0</v>
      </c>
    </row>
    <row r="27" spans="1:11" ht="25.5" x14ac:dyDescent="0.2">
      <c r="A27" s="15" t="s">
        <v>217</v>
      </c>
      <c r="B27" s="3" t="s">
        <v>11</v>
      </c>
      <c r="C27" s="3" t="s">
        <v>13</v>
      </c>
      <c r="D27" s="3" t="s">
        <v>15</v>
      </c>
      <c r="E27" s="3" t="s">
        <v>469</v>
      </c>
      <c r="F27" s="3" t="s">
        <v>218</v>
      </c>
      <c r="G27" s="107"/>
      <c r="H27" s="107">
        <v>545.45000000000005</v>
      </c>
      <c r="I27" s="107">
        <f>G27+H27</f>
        <v>545.45000000000005</v>
      </c>
      <c r="K27" s="85">
        <f t="shared" si="3"/>
        <v>545.45000000000005</v>
      </c>
    </row>
    <row r="28" spans="1:11" ht="61.5" customHeight="1" x14ac:dyDescent="0.2">
      <c r="A28" s="5" t="s">
        <v>38</v>
      </c>
      <c r="B28" s="3" t="s">
        <v>11</v>
      </c>
      <c r="C28" s="3" t="s">
        <v>13</v>
      </c>
      <c r="D28" s="3" t="s">
        <v>15</v>
      </c>
      <c r="E28" s="5" t="s">
        <v>352</v>
      </c>
      <c r="F28" s="3"/>
      <c r="G28" s="107">
        <f>G29</f>
        <v>4191.1589999999997</v>
      </c>
      <c r="H28" s="107">
        <f>H29</f>
        <v>-231.32024999999999</v>
      </c>
      <c r="I28" s="107">
        <f>I29</f>
        <v>3959.8387499999999</v>
      </c>
      <c r="K28" s="85"/>
    </row>
    <row r="29" spans="1:11" ht="38.25" x14ac:dyDescent="0.2">
      <c r="A29" s="15" t="s">
        <v>191</v>
      </c>
      <c r="B29" s="3" t="s">
        <v>11</v>
      </c>
      <c r="C29" s="3" t="s">
        <v>13</v>
      </c>
      <c r="D29" s="3" t="s">
        <v>15</v>
      </c>
      <c r="E29" s="5" t="s">
        <v>352</v>
      </c>
      <c r="F29" s="3" t="s">
        <v>192</v>
      </c>
      <c r="G29" s="107">
        <v>4191.1589999999997</v>
      </c>
      <c r="H29" s="107">
        <f>-1343.89625+1112.576</f>
        <v>-231.32024999999999</v>
      </c>
      <c r="I29" s="107">
        <f>G29+H29</f>
        <v>3959.8387499999999</v>
      </c>
      <c r="J29" s="55">
        <v>3274.1039999999998</v>
      </c>
      <c r="K29" s="85">
        <f>J29-G29</f>
        <v>-917.05499999999984</v>
      </c>
    </row>
    <row r="30" spans="1:11" x14ac:dyDescent="0.2">
      <c r="A30" s="4" t="s">
        <v>28</v>
      </c>
      <c r="B30" s="3" t="s">
        <v>11</v>
      </c>
      <c r="C30" s="3" t="s">
        <v>13</v>
      </c>
      <c r="D30" s="3" t="s">
        <v>29</v>
      </c>
      <c r="E30" s="3"/>
      <c r="F30" s="3"/>
      <c r="G30" s="107">
        <f t="shared" ref="G30:I31" si="6">G31</f>
        <v>250164.16201999999</v>
      </c>
      <c r="H30" s="107">
        <f t="shared" si="6"/>
        <v>-857.4333000000006</v>
      </c>
      <c r="I30" s="107">
        <f t="shared" si="6"/>
        <v>249306.72872000001</v>
      </c>
      <c r="K30" s="85"/>
    </row>
    <row r="31" spans="1:11" ht="38.25" x14ac:dyDescent="0.2">
      <c r="A31" s="5" t="s">
        <v>16</v>
      </c>
      <c r="B31" s="3" t="s">
        <v>11</v>
      </c>
      <c r="C31" s="3" t="s">
        <v>13</v>
      </c>
      <c r="D31" s="3" t="s">
        <v>29</v>
      </c>
      <c r="E31" s="6" t="s">
        <v>17</v>
      </c>
      <c r="F31" s="3"/>
      <c r="G31" s="107">
        <f t="shared" si="6"/>
        <v>250164.16201999999</v>
      </c>
      <c r="H31" s="107">
        <f t="shared" si="6"/>
        <v>-857.4333000000006</v>
      </c>
      <c r="I31" s="107">
        <f t="shared" si="6"/>
        <v>249306.72872000001</v>
      </c>
      <c r="K31" s="85"/>
    </row>
    <row r="32" spans="1:11" ht="38.25" x14ac:dyDescent="0.2">
      <c r="A32" s="7" t="s">
        <v>18</v>
      </c>
      <c r="B32" s="3" t="s">
        <v>11</v>
      </c>
      <c r="C32" s="3" t="s">
        <v>13</v>
      </c>
      <c r="D32" s="3" t="s">
        <v>29</v>
      </c>
      <c r="E32" s="3" t="s">
        <v>19</v>
      </c>
      <c r="F32" s="3"/>
      <c r="G32" s="107">
        <f>G33+G51+G53+G55+G57+G59+G42+G47+G49+G61+G39</f>
        <v>250164.16201999999</v>
      </c>
      <c r="H32" s="107">
        <f>H33+H51+H53+H55+H57+H59+H42+H47+H49+H61+H39</f>
        <v>-857.4333000000006</v>
      </c>
      <c r="I32" s="107">
        <f>I33+I51+I53+I55+I57+I59+I42+I47+I49+I61+I39</f>
        <v>249306.72872000001</v>
      </c>
      <c r="K32" s="85"/>
    </row>
    <row r="33" spans="1:11" ht="38.25" x14ac:dyDescent="0.2">
      <c r="A33" s="7" t="s">
        <v>30</v>
      </c>
      <c r="B33" s="3" t="s">
        <v>11</v>
      </c>
      <c r="C33" s="3" t="s">
        <v>13</v>
      </c>
      <c r="D33" s="3" t="s">
        <v>29</v>
      </c>
      <c r="E33" s="3" t="s">
        <v>31</v>
      </c>
      <c r="F33" s="3"/>
      <c r="G33" s="107">
        <f>SUM(G35:G36)+G37+G34</f>
        <v>67130.852350000001</v>
      </c>
      <c r="H33" s="107">
        <f>SUM(H35:H36)+H37+H34</f>
        <v>-5988.549759999999</v>
      </c>
      <c r="I33" s="107">
        <f>SUM(I35:I36)+I37+I34</f>
        <v>61142.302589999999</v>
      </c>
      <c r="K33" s="85"/>
    </row>
    <row r="34" spans="1:11" ht="51" x14ac:dyDescent="0.2">
      <c r="A34" s="7" t="s">
        <v>404</v>
      </c>
      <c r="B34" s="3" t="s">
        <v>11</v>
      </c>
      <c r="C34" s="3" t="s">
        <v>13</v>
      </c>
      <c r="D34" s="3" t="s">
        <v>29</v>
      </c>
      <c r="E34" s="3" t="s">
        <v>31</v>
      </c>
      <c r="F34" s="3" t="s">
        <v>403</v>
      </c>
      <c r="G34" s="107">
        <v>962.57710999999995</v>
      </c>
      <c r="H34" s="107">
        <v>-35.94171</v>
      </c>
      <c r="I34" s="107">
        <f>G34+H34</f>
        <v>926.63539999999989</v>
      </c>
      <c r="J34" s="55">
        <v>962.57710999999995</v>
      </c>
      <c r="K34" s="85">
        <f t="shared" ref="K34:K97" si="7">I34-J34</f>
        <v>-35.941710000000057</v>
      </c>
    </row>
    <row r="35" spans="1:11" ht="51" x14ac:dyDescent="0.2">
      <c r="A35" s="4" t="s">
        <v>388</v>
      </c>
      <c r="B35" s="3" t="s">
        <v>11</v>
      </c>
      <c r="C35" s="3" t="s">
        <v>13</v>
      </c>
      <c r="D35" s="3" t="s">
        <v>29</v>
      </c>
      <c r="E35" s="3" t="s">
        <v>31</v>
      </c>
      <c r="F35" s="3" t="s">
        <v>24</v>
      </c>
      <c r="G35" s="107">
        <v>30640.985240000002</v>
      </c>
      <c r="H35" s="107">
        <f>-91.25628+900+10.96002+27+492.65849-386.5+28.37-42-623-900-27-3.472</f>
        <v>-614.23977000000002</v>
      </c>
      <c r="I35" s="115">
        <f>G35+H35</f>
        <v>30026.745470000002</v>
      </c>
      <c r="J35" s="55">
        <v>32210.785240000001</v>
      </c>
      <c r="K35" s="85">
        <f t="shared" si="7"/>
        <v>-2184.0397699999994</v>
      </c>
    </row>
    <row r="36" spans="1:11" ht="25.5" x14ac:dyDescent="0.2">
      <c r="A36" s="4" t="s">
        <v>25</v>
      </c>
      <c r="B36" s="3" t="s">
        <v>11</v>
      </c>
      <c r="C36" s="3" t="s">
        <v>13</v>
      </c>
      <c r="D36" s="3" t="s">
        <v>29</v>
      </c>
      <c r="E36" s="3" t="s">
        <v>31</v>
      </c>
      <c r="F36" s="3" t="s">
        <v>26</v>
      </c>
      <c r="G36" s="107">
        <v>4803.1899999999996</v>
      </c>
      <c r="H36" s="107">
        <f>500+91.25628+375+38-28.37+27</f>
        <v>1002.8862800000001</v>
      </c>
      <c r="I36" s="115">
        <f>G36+H36</f>
        <v>5806.0762799999993</v>
      </c>
      <c r="J36" s="55">
        <v>3518.5749999999998</v>
      </c>
      <c r="K36" s="85">
        <f t="shared" si="7"/>
        <v>2287.5012799999995</v>
      </c>
    </row>
    <row r="37" spans="1:11" ht="63.75" x14ac:dyDescent="0.2">
      <c r="A37" s="67" t="s">
        <v>348</v>
      </c>
      <c r="B37" s="3" t="s">
        <v>11</v>
      </c>
      <c r="C37" s="3" t="s">
        <v>13</v>
      </c>
      <c r="D37" s="3" t="s">
        <v>29</v>
      </c>
      <c r="E37" s="3" t="s">
        <v>349</v>
      </c>
      <c r="F37" s="3"/>
      <c r="G37" s="107">
        <f>G38</f>
        <v>30724.1</v>
      </c>
      <c r="H37" s="107">
        <f>H38</f>
        <v>-6341.2545599999994</v>
      </c>
      <c r="I37" s="107">
        <f>I38</f>
        <v>24382.845439999997</v>
      </c>
      <c r="K37" s="85">
        <f t="shared" si="7"/>
        <v>24382.845439999997</v>
      </c>
    </row>
    <row r="38" spans="1:11" ht="51" x14ac:dyDescent="0.2">
      <c r="A38" s="4" t="s">
        <v>388</v>
      </c>
      <c r="B38" s="3" t="s">
        <v>11</v>
      </c>
      <c r="C38" s="3" t="s">
        <v>13</v>
      </c>
      <c r="D38" s="3" t="s">
        <v>29</v>
      </c>
      <c r="E38" s="3" t="s">
        <v>349</v>
      </c>
      <c r="F38" s="3" t="s">
        <v>24</v>
      </c>
      <c r="G38" s="107">
        <v>30724.1</v>
      </c>
      <c r="H38" s="107">
        <f>-1377.92751-628-586.77249-700-3048.55456</f>
        <v>-6341.2545599999994</v>
      </c>
      <c r="I38" s="107">
        <f>G38+H38</f>
        <v>24382.845439999997</v>
      </c>
      <c r="J38" s="55">
        <v>30724.1</v>
      </c>
      <c r="K38" s="85">
        <f t="shared" si="7"/>
        <v>-6341.2545600000012</v>
      </c>
    </row>
    <row r="39" spans="1:11" ht="48" customHeight="1" x14ac:dyDescent="0.2">
      <c r="A39" s="98" t="s">
        <v>219</v>
      </c>
      <c r="B39" s="3" t="s">
        <v>11</v>
      </c>
      <c r="C39" s="3" t="s">
        <v>13</v>
      </c>
      <c r="D39" s="3" t="s">
        <v>29</v>
      </c>
      <c r="E39" s="3" t="s">
        <v>422</v>
      </c>
      <c r="F39" s="3"/>
      <c r="G39" s="107">
        <f>G40+G41</f>
        <v>10311.34</v>
      </c>
      <c r="H39" s="107">
        <f>H40+H41</f>
        <v>-3646.57341</v>
      </c>
      <c r="I39" s="107">
        <f>I40+I41</f>
        <v>6664.7665900000002</v>
      </c>
      <c r="K39" s="85">
        <f t="shared" si="7"/>
        <v>6664.7665900000002</v>
      </c>
    </row>
    <row r="40" spans="1:11" ht="38.25" x14ac:dyDescent="0.2">
      <c r="A40" s="15" t="s">
        <v>191</v>
      </c>
      <c r="B40" s="3" t="s">
        <v>11</v>
      </c>
      <c r="C40" s="3" t="s">
        <v>13</v>
      </c>
      <c r="D40" s="3" t="s">
        <v>29</v>
      </c>
      <c r="E40" s="3" t="s">
        <v>422</v>
      </c>
      <c r="F40" s="3" t="s">
        <v>192</v>
      </c>
      <c r="G40" s="107">
        <v>10220.34</v>
      </c>
      <c r="H40" s="110">
        <f>-3427.97042-218.60299</f>
        <v>-3646.57341</v>
      </c>
      <c r="I40" s="107">
        <f>G40+H40</f>
        <v>6573.7665900000002</v>
      </c>
      <c r="J40" s="55">
        <v>6792.3695799999996</v>
      </c>
      <c r="K40" s="85">
        <f t="shared" si="7"/>
        <v>-218.60298999999941</v>
      </c>
    </row>
    <row r="41" spans="1:11" ht="17.25" customHeight="1" x14ac:dyDescent="0.2">
      <c r="A41" s="4" t="s">
        <v>217</v>
      </c>
      <c r="B41" s="3" t="s">
        <v>11</v>
      </c>
      <c r="C41" s="3" t="s">
        <v>13</v>
      </c>
      <c r="D41" s="3" t="s">
        <v>29</v>
      </c>
      <c r="E41" s="3" t="s">
        <v>422</v>
      </c>
      <c r="F41" s="3" t="s">
        <v>218</v>
      </c>
      <c r="G41" s="107">
        <v>91</v>
      </c>
      <c r="H41" s="107"/>
      <c r="I41" s="107">
        <f>G41+H41</f>
        <v>91</v>
      </c>
      <c r="K41" s="85">
        <f t="shared" si="7"/>
        <v>91</v>
      </c>
    </row>
    <row r="42" spans="1:11" ht="38.25" x14ac:dyDescent="0.2">
      <c r="A42" s="7" t="s">
        <v>32</v>
      </c>
      <c r="B42" s="3" t="s">
        <v>11</v>
      </c>
      <c r="C42" s="3" t="s">
        <v>13</v>
      </c>
      <c r="D42" s="3" t="s">
        <v>29</v>
      </c>
      <c r="E42" s="3" t="s">
        <v>33</v>
      </c>
      <c r="F42" s="3"/>
      <c r="G42" s="107">
        <f>SUM(G43:G44)+G45</f>
        <v>5163.15967</v>
      </c>
      <c r="H42" s="107">
        <f>SUM(H43:H44)+H45</f>
        <v>-161.20529999999999</v>
      </c>
      <c r="I42" s="107">
        <f>SUM(I43:I44)+I45</f>
        <v>5001.9543700000004</v>
      </c>
      <c r="K42" s="85">
        <f t="shared" si="7"/>
        <v>5001.9543700000004</v>
      </c>
    </row>
    <row r="43" spans="1:11" ht="51" x14ac:dyDescent="0.2">
      <c r="A43" s="4" t="s">
        <v>388</v>
      </c>
      <c r="B43" s="3" t="s">
        <v>11</v>
      </c>
      <c r="C43" s="3" t="s">
        <v>13</v>
      </c>
      <c r="D43" s="3" t="s">
        <v>29</v>
      </c>
      <c r="E43" s="3" t="s">
        <v>33</v>
      </c>
      <c r="F43" s="3" t="s">
        <v>24</v>
      </c>
      <c r="G43" s="107">
        <v>4613.61967</v>
      </c>
      <c r="H43" s="107">
        <f>-145.4553+11.25</f>
        <v>-134.20529999999999</v>
      </c>
      <c r="I43" s="107">
        <f>G43+H43</f>
        <v>4479.4143700000004</v>
      </c>
      <c r="J43" s="55">
        <v>4799.04</v>
      </c>
      <c r="K43" s="85">
        <f t="shared" si="7"/>
        <v>-319.62562999999955</v>
      </c>
    </row>
    <row r="44" spans="1:11" ht="25.5" x14ac:dyDescent="0.2">
      <c r="A44" s="4" t="s">
        <v>25</v>
      </c>
      <c r="B44" s="3" t="s">
        <v>11</v>
      </c>
      <c r="C44" s="3" t="s">
        <v>13</v>
      </c>
      <c r="D44" s="3" t="s">
        <v>29</v>
      </c>
      <c r="E44" s="3" t="s">
        <v>33</v>
      </c>
      <c r="F44" s="3" t="s">
        <v>26</v>
      </c>
      <c r="G44" s="107">
        <v>133</v>
      </c>
      <c r="H44" s="107">
        <f>-27+11.25-11.25</f>
        <v>-27</v>
      </c>
      <c r="I44" s="107">
        <f>G44+H44</f>
        <v>106</v>
      </c>
      <c r="J44" s="97">
        <v>133</v>
      </c>
      <c r="K44" s="85">
        <f t="shared" si="7"/>
        <v>-27</v>
      </c>
    </row>
    <row r="45" spans="1:11" ht="39.75" customHeight="1" x14ac:dyDescent="0.2">
      <c r="A45" s="68" t="s">
        <v>350</v>
      </c>
      <c r="B45" s="3" t="s">
        <v>11</v>
      </c>
      <c r="C45" s="3" t="s">
        <v>13</v>
      </c>
      <c r="D45" s="3" t="s">
        <v>29</v>
      </c>
      <c r="E45" s="3" t="s">
        <v>351</v>
      </c>
      <c r="F45" s="3"/>
      <c r="G45" s="107">
        <f>G46</f>
        <v>416.54</v>
      </c>
      <c r="H45" s="107">
        <f>H46</f>
        <v>0</v>
      </c>
      <c r="I45" s="107">
        <f>I46</f>
        <v>416.54</v>
      </c>
      <c r="K45" s="85">
        <f t="shared" si="7"/>
        <v>416.54</v>
      </c>
    </row>
    <row r="46" spans="1:11" ht="51" x14ac:dyDescent="0.2">
      <c r="A46" s="4" t="s">
        <v>388</v>
      </c>
      <c r="B46" s="3" t="s">
        <v>11</v>
      </c>
      <c r="C46" s="3" t="s">
        <v>13</v>
      </c>
      <c r="D46" s="3" t="s">
        <v>29</v>
      </c>
      <c r="E46" s="3" t="s">
        <v>351</v>
      </c>
      <c r="F46" s="3" t="s">
        <v>24</v>
      </c>
      <c r="G46" s="107">
        <v>416.54</v>
      </c>
      <c r="H46" s="107"/>
      <c r="I46" s="107">
        <f>G46+H46</f>
        <v>416.54</v>
      </c>
      <c r="J46" s="55">
        <v>416.54</v>
      </c>
      <c r="K46" s="85">
        <f t="shared" si="7"/>
        <v>0</v>
      </c>
    </row>
    <row r="47" spans="1:11" ht="36" customHeight="1" x14ac:dyDescent="0.2">
      <c r="A47" s="99" t="s">
        <v>34</v>
      </c>
      <c r="B47" s="3" t="s">
        <v>11</v>
      </c>
      <c r="C47" s="3" t="s">
        <v>13</v>
      </c>
      <c r="D47" s="3" t="s">
        <v>29</v>
      </c>
      <c r="E47" s="3" t="s">
        <v>35</v>
      </c>
      <c r="F47" s="3"/>
      <c r="G47" s="107">
        <f>G48</f>
        <v>5081</v>
      </c>
      <c r="H47" s="107">
        <f>H48</f>
        <v>-43.047060000000002</v>
      </c>
      <c r="I47" s="107">
        <f>I48</f>
        <v>5037.9529400000001</v>
      </c>
      <c r="K47" s="85">
        <f t="shared" si="7"/>
        <v>5037.9529400000001</v>
      </c>
    </row>
    <row r="48" spans="1:11" ht="51" x14ac:dyDescent="0.2">
      <c r="A48" s="4" t="s">
        <v>388</v>
      </c>
      <c r="B48" s="3" t="s">
        <v>11</v>
      </c>
      <c r="C48" s="3" t="s">
        <v>13</v>
      </c>
      <c r="D48" s="3" t="s">
        <v>29</v>
      </c>
      <c r="E48" s="3" t="s">
        <v>35</v>
      </c>
      <c r="F48" s="3" t="s">
        <v>24</v>
      </c>
      <c r="G48" s="107">
        <v>5081</v>
      </c>
      <c r="H48" s="107">
        <v>-43.047060000000002</v>
      </c>
      <c r="I48" s="107">
        <f>G48+H48</f>
        <v>5037.9529400000001</v>
      </c>
      <c r="J48" s="55">
        <v>5081</v>
      </c>
      <c r="K48" s="85">
        <f t="shared" si="7"/>
        <v>-43.047059999999874</v>
      </c>
    </row>
    <row r="49" spans="1:11" ht="38.25" x14ac:dyDescent="0.2">
      <c r="A49" s="7" t="s">
        <v>36</v>
      </c>
      <c r="B49" s="3" t="s">
        <v>11</v>
      </c>
      <c r="C49" s="3" t="s">
        <v>13</v>
      </c>
      <c r="D49" s="3" t="s">
        <v>29</v>
      </c>
      <c r="E49" s="3" t="s">
        <v>37</v>
      </c>
      <c r="F49" s="3"/>
      <c r="G49" s="107">
        <f>G50</f>
        <v>820</v>
      </c>
      <c r="H49" s="107">
        <f>H50</f>
        <v>11.72198</v>
      </c>
      <c r="I49" s="107">
        <f>I50</f>
        <v>831.72198000000003</v>
      </c>
      <c r="K49" s="85">
        <f t="shared" si="7"/>
        <v>831.72198000000003</v>
      </c>
    </row>
    <row r="50" spans="1:11" ht="51" x14ac:dyDescent="0.2">
      <c r="A50" s="4" t="s">
        <v>388</v>
      </c>
      <c r="B50" s="3" t="s">
        <v>11</v>
      </c>
      <c r="C50" s="3" t="s">
        <v>13</v>
      </c>
      <c r="D50" s="3" t="s">
        <v>29</v>
      </c>
      <c r="E50" s="3" t="s">
        <v>37</v>
      </c>
      <c r="F50" s="3" t="s">
        <v>24</v>
      </c>
      <c r="G50" s="107">
        <v>820</v>
      </c>
      <c r="H50" s="107">
        <f>8.24998+3.472</f>
        <v>11.72198</v>
      </c>
      <c r="I50" s="115">
        <f>G50+H50</f>
        <v>831.72198000000003</v>
      </c>
      <c r="J50" s="55">
        <v>820</v>
      </c>
      <c r="K50" s="85">
        <f t="shared" si="7"/>
        <v>11.72198000000003</v>
      </c>
    </row>
    <row r="51" spans="1:11" ht="25.5" x14ac:dyDescent="0.2">
      <c r="A51" s="5" t="s">
        <v>503</v>
      </c>
      <c r="B51" s="3" t="s">
        <v>11</v>
      </c>
      <c r="C51" s="3" t="s">
        <v>13</v>
      </c>
      <c r="D51" s="3" t="s">
        <v>29</v>
      </c>
      <c r="E51" s="96" t="s">
        <v>502</v>
      </c>
      <c r="F51" s="3"/>
      <c r="G51" s="107">
        <f>G52</f>
        <v>0</v>
      </c>
      <c r="H51" s="107">
        <f>H52</f>
        <v>30</v>
      </c>
      <c r="I51" s="107">
        <f>I52</f>
        <v>30</v>
      </c>
      <c r="K51" s="85">
        <f t="shared" si="7"/>
        <v>30</v>
      </c>
    </row>
    <row r="52" spans="1:11" ht="25.5" x14ac:dyDescent="0.2">
      <c r="A52" s="4" t="s">
        <v>25</v>
      </c>
      <c r="B52" s="3" t="s">
        <v>11</v>
      </c>
      <c r="C52" s="3" t="s">
        <v>13</v>
      </c>
      <c r="D52" s="3" t="s">
        <v>29</v>
      </c>
      <c r="E52" s="96" t="s">
        <v>502</v>
      </c>
      <c r="F52" s="3" t="s">
        <v>26</v>
      </c>
      <c r="G52" s="107"/>
      <c r="H52" s="107">
        <v>30</v>
      </c>
      <c r="I52" s="107">
        <f>G52+H52</f>
        <v>30</v>
      </c>
      <c r="K52" s="85">
        <f t="shared" si="7"/>
        <v>30</v>
      </c>
    </row>
    <row r="53" spans="1:11" ht="60.75" customHeight="1" x14ac:dyDescent="0.2">
      <c r="A53" s="5" t="s">
        <v>38</v>
      </c>
      <c r="B53" s="3" t="s">
        <v>11</v>
      </c>
      <c r="C53" s="3" t="s">
        <v>13</v>
      </c>
      <c r="D53" s="3" t="s">
        <v>29</v>
      </c>
      <c r="E53" s="5" t="s">
        <v>352</v>
      </c>
      <c r="F53" s="3"/>
      <c r="G53" s="107">
        <f>G54</f>
        <v>155620.141</v>
      </c>
      <c r="H53" s="107">
        <f>H54</f>
        <v>8940.2202499999985</v>
      </c>
      <c r="I53" s="107">
        <f>I54</f>
        <v>164560.36125000002</v>
      </c>
      <c r="K53" s="85">
        <f t="shared" si="7"/>
        <v>164560.36125000002</v>
      </c>
    </row>
    <row r="54" spans="1:11" ht="51" x14ac:dyDescent="0.2">
      <c r="A54" s="4" t="s">
        <v>388</v>
      </c>
      <c r="B54" s="3" t="s">
        <v>11</v>
      </c>
      <c r="C54" s="3" t="s">
        <v>13</v>
      </c>
      <c r="D54" s="3" t="s">
        <v>29</v>
      </c>
      <c r="E54" s="5" t="s">
        <v>352</v>
      </c>
      <c r="F54" s="3" t="s">
        <v>24</v>
      </c>
      <c r="G54" s="107">
        <v>155620.141</v>
      </c>
      <c r="H54" s="107">
        <f>8708.9+1343.89625-1112.576</f>
        <v>8940.2202499999985</v>
      </c>
      <c r="I54" s="107">
        <f>G54+H54</f>
        <v>164560.36125000002</v>
      </c>
      <c r="J54" s="55">
        <v>148572.99600000001</v>
      </c>
      <c r="K54" s="85">
        <f t="shared" si="7"/>
        <v>15987.365250000003</v>
      </c>
    </row>
    <row r="55" spans="1:11" ht="63.75" x14ac:dyDescent="0.2">
      <c r="A55" s="5" t="s">
        <v>39</v>
      </c>
      <c r="B55" s="3" t="s">
        <v>11</v>
      </c>
      <c r="C55" s="3" t="s">
        <v>13</v>
      </c>
      <c r="D55" s="3" t="s">
        <v>29</v>
      </c>
      <c r="E55" s="5" t="s">
        <v>353</v>
      </c>
      <c r="F55" s="3"/>
      <c r="G55" s="107">
        <f>G56</f>
        <v>2369</v>
      </c>
      <c r="H55" s="107">
        <f>H56</f>
        <v>0</v>
      </c>
      <c r="I55" s="107">
        <f>I56</f>
        <v>2369</v>
      </c>
      <c r="K55" s="85">
        <f t="shared" si="7"/>
        <v>2369</v>
      </c>
    </row>
    <row r="56" spans="1:11" ht="51" x14ac:dyDescent="0.2">
      <c r="A56" s="4" t="s">
        <v>388</v>
      </c>
      <c r="B56" s="3" t="s">
        <v>11</v>
      </c>
      <c r="C56" s="3" t="s">
        <v>13</v>
      </c>
      <c r="D56" s="3" t="s">
        <v>29</v>
      </c>
      <c r="E56" s="5" t="s">
        <v>353</v>
      </c>
      <c r="F56" s="3" t="s">
        <v>24</v>
      </c>
      <c r="G56" s="107">
        <v>2369</v>
      </c>
      <c r="H56" s="107"/>
      <c r="I56" s="107">
        <f>G56+H56</f>
        <v>2369</v>
      </c>
      <c r="J56" s="55">
        <v>2369</v>
      </c>
      <c r="K56" s="85">
        <f t="shared" si="7"/>
        <v>0</v>
      </c>
    </row>
    <row r="57" spans="1:11" ht="76.5" x14ac:dyDescent="0.2">
      <c r="A57" s="5" t="s">
        <v>40</v>
      </c>
      <c r="B57" s="3" t="s">
        <v>11</v>
      </c>
      <c r="C57" s="3" t="s">
        <v>13</v>
      </c>
      <c r="D57" s="3" t="s">
        <v>29</v>
      </c>
      <c r="E57" s="5" t="s">
        <v>354</v>
      </c>
      <c r="F57" s="3"/>
      <c r="G57" s="107">
        <f>G58</f>
        <v>1419.5</v>
      </c>
      <c r="H57" s="107">
        <f>H58</f>
        <v>0</v>
      </c>
      <c r="I57" s="107">
        <f>I58</f>
        <v>1419.5</v>
      </c>
      <c r="J57" s="55">
        <v>1419.5</v>
      </c>
      <c r="K57" s="85">
        <f t="shared" si="7"/>
        <v>0</v>
      </c>
    </row>
    <row r="58" spans="1:11" ht="51" x14ac:dyDescent="0.2">
      <c r="A58" s="4" t="s">
        <v>388</v>
      </c>
      <c r="B58" s="3" t="s">
        <v>11</v>
      </c>
      <c r="C58" s="3" t="s">
        <v>13</v>
      </c>
      <c r="D58" s="3" t="s">
        <v>29</v>
      </c>
      <c r="E58" s="5" t="s">
        <v>354</v>
      </c>
      <c r="F58" s="3" t="s">
        <v>24</v>
      </c>
      <c r="G58" s="107">
        <v>1419.5</v>
      </c>
      <c r="H58" s="107"/>
      <c r="I58" s="107">
        <f>G58+H58</f>
        <v>1419.5</v>
      </c>
      <c r="K58" s="85">
        <f t="shared" si="7"/>
        <v>1419.5</v>
      </c>
    </row>
    <row r="59" spans="1:11" ht="66.75" customHeight="1" x14ac:dyDescent="0.2">
      <c r="A59" s="101" t="s">
        <v>459</v>
      </c>
      <c r="B59" s="3" t="s">
        <v>11</v>
      </c>
      <c r="C59" s="3" t="s">
        <v>13</v>
      </c>
      <c r="D59" s="3" t="s">
        <v>29</v>
      </c>
      <c r="E59" s="96" t="s">
        <v>458</v>
      </c>
      <c r="F59" s="3"/>
      <c r="G59" s="107">
        <f>G60</f>
        <v>1092</v>
      </c>
      <c r="H59" s="107">
        <f t="shared" ref="H59:I59" si="8">H60</f>
        <v>0</v>
      </c>
      <c r="I59" s="107">
        <f t="shared" si="8"/>
        <v>1092</v>
      </c>
      <c r="K59" s="85">
        <f t="shared" si="7"/>
        <v>1092</v>
      </c>
    </row>
    <row r="60" spans="1:11" ht="17.25" customHeight="1" x14ac:dyDescent="0.2">
      <c r="A60" s="4" t="s">
        <v>25</v>
      </c>
      <c r="B60" s="3" t="s">
        <v>11</v>
      </c>
      <c r="C60" s="3" t="s">
        <v>13</v>
      </c>
      <c r="D60" s="3" t="s">
        <v>29</v>
      </c>
      <c r="E60" s="96" t="s">
        <v>458</v>
      </c>
      <c r="F60" s="3" t="s">
        <v>26</v>
      </c>
      <c r="G60" s="107">
        <v>1092</v>
      </c>
      <c r="H60" s="107">
        <v>0</v>
      </c>
      <c r="I60" s="107">
        <f>G60+H60</f>
        <v>1092</v>
      </c>
      <c r="J60" s="55">
        <v>1092</v>
      </c>
      <c r="K60" s="85">
        <f t="shared" si="7"/>
        <v>0</v>
      </c>
    </row>
    <row r="61" spans="1:11" ht="54.75" customHeight="1" x14ac:dyDescent="0.2">
      <c r="A61" s="90" t="s">
        <v>457</v>
      </c>
      <c r="B61" s="3" t="s">
        <v>11</v>
      </c>
      <c r="C61" s="3" t="s">
        <v>13</v>
      </c>
      <c r="D61" s="3" t="s">
        <v>29</v>
      </c>
      <c r="E61" s="96" t="s">
        <v>421</v>
      </c>
      <c r="F61" s="3"/>
      <c r="G61" s="107">
        <f>G62+G63</f>
        <v>1157.1689999999999</v>
      </c>
      <c r="H61" s="107">
        <f t="shared" ref="H61:I61" si="9">H62+H63</f>
        <v>0</v>
      </c>
      <c r="I61" s="107">
        <f t="shared" si="9"/>
        <v>1157.1689999999999</v>
      </c>
      <c r="K61" s="85">
        <f t="shared" si="7"/>
        <v>1157.1689999999999</v>
      </c>
    </row>
    <row r="62" spans="1:11" ht="51" customHeight="1" x14ac:dyDescent="0.2">
      <c r="A62" s="4" t="s">
        <v>388</v>
      </c>
      <c r="B62" s="3" t="s">
        <v>11</v>
      </c>
      <c r="C62" s="3" t="s">
        <v>13</v>
      </c>
      <c r="D62" s="3" t="s">
        <v>29</v>
      </c>
      <c r="E62" s="96" t="s">
        <v>421</v>
      </c>
      <c r="F62" s="3" t="s">
        <v>24</v>
      </c>
      <c r="G62" s="107">
        <v>259.41800000000001</v>
      </c>
      <c r="H62" s="107"/>
      <c r="I62" s="107">
        <f>G62+H62</f>
        <v>259.41800000000001</v>
      </c>
      <c r="J62" s="55">
        <v>1721.3</v>
      </c>
      <c r="K62" s="85">
        <f t="shared" si="7"/>
        <v>-1461.8820000000001</v>
      </c>
    </row>
    <row r="63" spans="1:11" ht="51" customHeight="1" x14ac:dyDescent="0.2">
      <c r="A63" s="15" t="s">
        <v>191</v>
      </c>
      <c r="B63" s="3" t="s">
        <v>11</v>
      </c>
      <c r="C63" s="3" t="s">
        <v>13</v>
      </c>
      <c r="D63" s="3" t="s">
        <v>29</v>
      </c>
      <c r="E63" s="96" t="s">
        <v>421</v>
      </c>
      <c r="F63" s="3" t="s">
        <v>192</v>
      </c>
      <c r="G63" s="107">
        <v>897.75099999999998</v>
      </c>
      <c r="H63" s="107"/>
      <c r="I63" s="107">
        <f>G63+H63</f>
        <v>897.75099999999998</v>
      </c>
      <c r="K63" s="85">
        <f t="shared" si="7"/>
        <v>897.75099999999998</v>
      </c>
    </row>
    <row r="64" spans="1:11" x14ac:dyDescent="0.2">
      <c r="A64" s="4" t="s">
        <v>41</v>
      </c>
      <c r="B64" s="3" t="s">
        <v>11</v>
      </c>
      <c r="C64" s="3" t="s">
        <v>13</v>
      </c>
      <c r="D64" s="3" t="s">
        <v>42</v>
      </c>
      <c r="E64" s="3"/>
      <c r="F64" s="3"/>
      <c r="G64" s="107">
        <f t="shared" ref="G64:I66" si="10">G65</f>
        <v>635.49099999999999</v>
      </c>
      <c r="H64" s="107">
        <f t="shared" si="10"/>
        <v>-30.46</v>
      </c>
      <c r="I64" s="107">
        <f t="shared" si="10"/>
        <v>605.03099999999995</v>
      </c>
      <c r="K64" s="85">
        <f t="shared" si="7"/>
        <v>605.03099999999995</v>
      </c>
    </row>
    <row r="65" spans="1:11" ht="38.25" x14ac:dyDescent="0.2">
      <c r="A65" s="5" t="s">
        <v>16</v>
      </c>
      <c r="B65" s="3" t="s">
        <v>11</v>
      </c>
      <c r="C65" s="3" t="s">
        <v>13</v>
      </c>
      <c r="D65" s="3" t="s">
        <v>42</v>
      </c>
      <c r="E65" s="3" t="s">
        <v>43</v>
      </c>
      <c r="F65" s="3"/>
      <c r="G65" s="107">
        <f t="shared" si="10"/>
        <v>635.49099999999999</v>
      </c>
      <c r="H65" s="107">
        <f t="shared" si="10"/>
        <v>-30.46</v>
      </c>
      <c r="I65" s="107">
        <f t="shared" si="10"/>
        <v>605.03099999999995</v>
      </c>
      <c r="K65" s="85">
        <f t="shared" si="7"/>
        <v>605.03099999999995</v>
      </c>
    </row>
    <row r="66" spans="1:11" ht="38.25" x14ac:dyDescent="0.2">
      <c r="A66" s="7" t="s">
        <v>18</v>
      </c>
      <c r="B66" s="3" t="s">
        <v>11</v>
      </c>
      <c r="C66" s="3" t="s">
        <v>13</v>
      </c>
      <c r="D66" s="3" t="s">
        <v>42</v>
      </c>
      <c r="E66" s="3" t="s">
        <v>44</v>
      </c>
      <c r="F66" s="3"/>
      <c r="G66" s="107">
        <f t="shared" si="10"/>
        <v>635.49099999999999</v>
      </c>
      <c r="H66" s="107">
        <f t="shared" si="10"/>
        <v>-30.46</v>
      </c>
      <c r="I66" s="107">
        <f t="shared" si="10"/>
        <v>605.03099999999995</v>
      </c>
      <c r="K66" s="85">
        <f t="shared" si="7"/>
        <v>605.03099999999995</v>
      </c>
    </row>
    <row r="67" spans="1:11" ht="38.25" x14ac:dyDescent="0.2">
      <c r="A67" s="7" t="s">
        <v>30</v>
      </c>
      <c r="B67" s="3" t="s">
        <v>11</v>
      </c>
      <c r="C67" s="3" t="s">
        <v>13</v>
      </c>
      <c r="D67" s="3" t="s">
        <v>42</v>
      </c>
      <c r="E67" s="3" t="s">
        <v>23</v>
      </c>
      <c r="F67" s="3"/>
      <c r="G67" s="107">
        <f>G68+G69</f>
        <v>635.49099999999999</v>
      </c>
      <c r="H67" s="107">
        <f>H68+H69</f>
        <v>-30.46</v>
      </c>
      <c r="I67" s="107">
        <f>I68+I69</f>
        <v>605.03099999999995</v>
      </c>
      <c r="K67" s="85">
        <f t="shared" si="7"/>
        <v>605.03099999999995</v>
      </c>
    </row>
    <row r="68" spans="1:11" ht="63.75" x14ac:dyDescent="0.2">
      <c r="A68" s="4" t="s">
        <v>22</v>
      </c>
      <c r="B68" s="3" t="s">
        <v>11</v>
      </c>
      <c r="C68" s="3" t="s">
        <v>13</v>
      </c>
      <c r="D68" s="3" t="s">
        <v>42</v>
      </c>
      <c r="E68" s="3" t="s">
        <v>23</v>
      </c>
      <c r="F68" s="3" t="s">
        <v>24</v>
      </c>
      <c r="G68" s="107">
        <v>635.49099999999999</v>
      </c>
      <c r="H68" s="107">
        <f>-19.21-11.25</f>
        <v>-30.46</v>
      </c>
      <c r="I68" s="107">
        <f>G68+H68</f>
        <v>605.03099999999995</v>
      </c>
      <c r="J68" s="55">
        <v>605.03099999999995</v>
      </c>
      <c r="K68" s="85">
        <f t="shared" si="7"/>
        <v>0</v>
      </c>
    </row>
    <row r="69" spans="1:11" ht="25.5" hidden="1" x14ac:dyDescent="0.2">
      <c r="A69" s="4" t="s">
        <v>25</v>
      </c>
      <c r="B69" s="3" t="s">
        <v>11</v>
      </c>
      <c r="C69" s="3" t="s">
        <v>13</v>
      </c>
      <c r="D69" s="3" t="s">
        <v>42</v>
      </c>
      <c r="E69" s="3" t="s">
        <v>23</v>
      </c>
      <c r="F69" s="3" t="s">
        <v>26</v>
      </c>
      <c r="G69" s="107"/>
      <c r="H69" s="107"/>
      <c r="I69" s="107">
        <f>G69+H69</f>
        <v>0</v>
      </c>
      <c r="K69" s="85">
        <f t="shared" si="7"/>
        <v>0</v>
      </c>
    </row>
    <row r="70" spans="1:11" x14ac:dyDescent="0.2">
      <c r="A70" s="4" t="s">
        <v>45</v>
      </c>
      <c r="B70" s="3" t="s">
        <v>11</v>
      </c>
      <c r="C70" s="3" t="s">
        <v>13</v>
      </c>
      <c r="D70" s="3" t="s">
        <v>13</v>
      </c>
      <c r="E70" s="3"/>
      <c r="F70" s="3"/>
      <c r="G70" s="107">
        <f t="shared" ref="G70:I71" si="11">G71</f>
        <v>1782.0718000000002</v>
      </c>
      <c r="H70" s="107">
        <f t="shared" si="11"/>
        <v>0</v>
      </c>
      <c r="I70" s="107">
        <f t="shared" si="11"/>
        <v>1782.0718000000002</v>
      </c>
      <c r="K70" s="85">
        <f t="shared" si="7"/>
        <v>1782.0718000000002</v>
      </c>
    </row>
    <row r="71" spans="1:11" ht="38.25" x14ac:dyDescent="0.2">
      <c r="A71" s="5" t="s">
        <v>16</v>
      </c>
      <c r="B71" s="3" t="s">
        <v>11</v>
      </c>
      <c r="C71" s="3" t="s">
        <v>13</v>
      </c>
      <c r="D71" s="3" t="s">
        <v>13</v>
      </c>
      <c r="E71" s="3" t="s">
        <v>43</v>
      </c>
      <c r="F71" s="3"/>
      <c r="G71" s="107">
        <f t="shared" si="11"/>
        <v>1782.0718000000002</v>
      </c>
      <c r="H71" s="107">
        <f t="shared" si="11"/>
        <v>0</v>
      </c>
      <c r="I71" s="107">
        <f t="shared" si="11"/>
        <v>1782.0718000000002</v>
      </c>
      <c r="K71" s="85">
        <f t="shared" si="7"/>
        <v>1782.0718000000002</v>
      </c>
    </row>
    <row r="72" spans="1:11" ht="38.25" x14ac:dyDescent="0.2">
      <c r="A72" s="7" t="s">
        <v>18</v>
      </c>
      <c r="B72" s="3" t="s">
        <v>11</v>
      </c>
      <c r="C72" s="3" t="s">
        <v>13</v>
      </c>
      <c r="D72" s="3" t="s">
        <v>13</v>
      </c>
      <c r="E72" s="3" t="s">
        <v>44</v>
      </c>
      <c r="F72" s="3"/>
      <c r="G72" s="107">
        <f>G73+G75</f>
        <v>1782.0718000000002</v>
      </c>
      <c r="H72" s="107">
        <f>H73+H75</f>
        <v>0</v>
      </c>
      <c r="I72" s="107">
        <f>I73+I75</f>
        <v>1782.0718000000002</v>
      </c>
      <c r="K72" s="85">
        <f t="shared" si="7"/>
        <v>1782.0718000000002</v>
      </c>
    </row>
    <row r="73" spans="1:11" ht="63.75" x14ac:dyDescent="0.2">
      <c r="A73" s="7" t="s">
        <v>46</v>
      </c>
      <c r="B73" s="3" t="s">
        <v>11</v>
      </c>
      <c r="C73" s="3" t="s">
        <v>13</v>
      </c>
      <c r="D73" s="3" t="s">
        <v>13</v>
      </c>
      <c r="E73" s="3" t="s">
        <v>47</v>
      </c>
      <c r="F73" s="3"/>
      <c r="G73" s="107">
        <f>G74</f>
        <v>150</v>
      </c>
      <c r="H73" s="107">
        <f>H74</f>
        <v>0</v>
      </c>
      <c r="I73" s="107">
        <f>I74</f>
        <v>150</v>
      </c>
      <c r="K73" s="85">
        <f t="shared" si="7"/>
        <v>150</v>
      </c>
    </row>
    <row r="74" spans="1:11" ht="25.5" x14ac:dyDescent="0.2">
      <c r="A74" s="4" t="s">
        <v>25</v>
      </c>
      <c r="B74" s="3" t="s">
        <v>11</v>
      </c>
      <c r="C74" s="3" t="s">
        <v>13</v>
      </c>
      <c r="D74" s="3" t="s">
        <v>13</v>
      </c>
      <c r="E74" s="3" t="s">
        <v>47</v>
      </c>
      <c r="F74" s="3" t="s">
        <v>26</v>
      </c>
      <c r="G74" s="107">
        <v>150</v>
      </c>
      <c r="H74" s="107"/>
      <c r="I74" s="107">
        <f>G74+H74</f>
        <v>150</v>
      </c>
      <c r="J74" s="55">
        <v>1470.95</v>
      </c>
      <c r="K74" s="85">
        <f t="shared" si="7"/>
        <v>-1320.95</v>
      </c>
    </row>
    <row r="75" spans="1:11" ht="66.75" customHeight="1" x14ac:dyDescent="0.2">
      <c r="A75" s="12" t="s">
        <v>355</v>
      </c>
      <c r="B75" s="3" t="s">
        <v>11</v>
      </c>
      <c r="C75" s="3" t="s">
        <v>13</v>
      </c>
      <c r="D75" s="3" t="s">
        <v>13</v>
      </c>
      <c r="E75" s="3" t="s">
        <v>48</v>
      </c>
      <c r="F75" s="3"/>
      <c r="G75" s="107">
        <f>G77+G76</f>
        <v>1632.0718000000002</v>
      </c>
      <c r="H75" s="107">
        <f>H77+H76</f>
        <v>0</v>
      </c>
      <c r="I75" s="107">
        <f>I77+I76</f>
        <v>1632.0718000000002</v>
      </c>
      <c r="K75" s="85">
        <f t="shared" si="7"/>
        <v>1632.0718000000002</v>
      </c>
    </row>
    <row r="76" spans="1:11" ht="42.75" customHeight="1" x14ac:dyDescent="0.2">
      <c r="A76" s="12" t="s">
        <v>74</v>
      </c>
      <c r="B76" s="3" t="s">
        <v>11</v>
      </c>
      <c r="C76" s="3" t="s">
        <v>13</v>
      </c>
      <c r="D76" s="3" t="s">
        <v>13</v>
      </c>
      <c r="E76" s="3" t="s">
        <v>48</v>
      </c>
      <c r="F76" s="3" t="s">
        <v>75</v>
      </c>
      <c r="G76" s="107">
        <v>504.16180000000003</v>
      </c>
      <c r="H76" s="107"/>
      <c r="I76" s="107">
        <f>G76+H76</f>
        <v>504.16180000000003</v>
      </c>
      <c r="J76" s="55">
        <v>504.16180000000003</v>
      </c>
      <c r="K76" s="85">
        <f t="shared" si="7"/>
        <v>0</v>
      </c>
    </row>
    <row r="77" spans="1:11" ht="25.5" x14ac:dyDescent="0.2">
      <c r="A77" s="4" t="s">
        <v>25</v>
      </c>
      <c r="B77" s="3" t="s">
        <v>11</v>
      </c>
      <c r="C77" s="3" t="s">
        <v>13</v>
      </c>
      <c r="D77" s="3" t="s">
        <v>13</v>
      </c>
      <c r="E77" s="3" t="s">
        <v>48</v>
      </c>
      <c r="F77" s="3" t="s">
        <v>26</v>
      </c>
      <c r="G77" s="107">
        <v>1127.9100000000001</v>
      </c>
      <c r="H77" s="107"/>
      <c r="I77" s="107">
        <f>G77+H77</f>
        <v>1127.9100000000001</v>
      </c>
      <c r="J77" s="55">
        <v>1127.9100000000001</v>
      </c>
      <c r="K77" s="85">
        <f t="shared" si="7"/>
        <v>0</v>
      </c>
    </row>
    <row r="78" spans="1:11" x14ac:dyDescent="0.2">
      <c r="A78" s="4" t="s">
        <v>49</v>
      </c>
      <c r="B78" s="3" t="s">
        <v>11</v>
      </c>
      <c r="C78" s="3" t="s">
        <v>13</v>
      </c>
      <c r="D78" s="3" t="s">
        <v>50</v>
      </c>
      <c r="E78" s="3"/>
      <c r="F78" s="3"/>
      <c r="G78" s="107">
        <f>G79</f>
        <v>8805.1290000000008</v>
      </c>
      <c r="H78" s="107">
        <f>H79</f>
        <v>1006.5272399999999</v>
      </c>
      <c r="I78" s="107">
        <f>I79</f>
        <v>9811.6562399999984</v>
      </c>
      <c r="K78" s="85">
        <f t="shared" si="7"/>
        <v>9811.6562399999984</v>
      </c>
    </row>
    <row r="79" spans="1:11" ht="38.25" x14ac:dyDescent="0.2">
      <c r="A79" s="5" t="s">
        <v>16</v>
      </c>
      <c r="B79" s="3" t="s">
        <v>11</v>
      </c>
      <c r="C79" s="3" t="s">
        <v>13</v>
      </c>
      <c r="D79" s="3" t="s">
        <v>50</v>
      </c>
      <c r="E79" s="3" t="s">
        <v>43</v>
      </c>
      <c r="F79" s="3"/>
      <c r="G79" s="107">
        <f>G80+G89</f>
        <v>8805.1290000000008</v>
      </c>
      <c r="H79" s="107">
        <f>H80+H89</f>
        <v>1006.5272399999999</v>
      </c>
      <c r="I79" s="107">
        <f>I80+I89</f>
        <v>9811.6562399999984</v>
      </c>
      <c r="K79" s="85">
        <f t="shared" si="7"/>
        <v>9811.6562399999984</v>
      </c>
    </row>
    <row r="80" spans="1:11" ht="63.75" x14ac:dyDescent="0.2">
      <c r="A80" s="7" t="s">
        <v>51</v>
      </c>
      <c r="B80" s="3" t="s">
        <v>11</v>
      </c>
      <c r="C80" s="3" t="s">
        <v>13</v>
      </c>
      <c r="D80" s="3" t="s">
        <v>50</v>
      </c>
      <c r="E80" s="3" t="s">
        <v>52</v>
      </c>
      <c r="F80" s="3"/>
      <c r="G80" s="107">
        <f>SUM(G81:G87)</f>
        <v>1080.6600000000001</v>
      </c>
      <c r="H80" s="107">
        <f>SUM(H81:H87)</f>
        <v>-21</v>
      </c>
      <c r="I80" s="107">
        <f>SUM(I81:I87)</f>
        <v>1059.6600000000001</v>
      </c>
      <c r="K80" s="85">
        <f t="shared" si="7"/>
        <v>1059.6600000000001</v>
      </c>
    </row>
    <row r="81" spans="1:11" x14ac:dyDescent="0.2">
      <c r="A81" s="13" t="s">
        <v>53</v>
      </c>
      <c r="B81" s="3" t="s">
        <v>11</v>
      </c>
      <c r="C81" s="3" t="s">
        <v>13</v>
      </c>
      <c r="D81" s="3" t="s">
        <v>50</v>
      </c>
      <c r="E81" s="3" t="s">
        <v>52</v>
      </c>
      <c r="F81" s="3" t="s">
        <v>54</v>
      </c>
      <c r="G81" s="107">
        <v>1080.6600000000001</v>
      </c>
      <c r="H81" s="107">
        <f>-21</f>
        <v>-21</v>
      </c>
      <c r="I81" s="107">
        <f t="shared" ref="I81:I87" si="12">G81+H81</f>
        <v>1059.6600000000001</v>
      </c>
      <c r="J81" s="55">
        <v>1080.6600000000001</v>
      </c>
      <c r="K81" s="85">
        <f t="shared" si="7"/>
        <v>-21</v>
      </c>
    </row>
    <row r="82" spans="1:11" ht="38.25" hidden="1" x14ac:dyDescent="0.2">
      <c r="A82" s="4" t="s">
        <v>55</v>
      </c>
      <c r="B82" s="3" t="s">
        <v>11</v>
      </c>
      <c r="C82" s="3" t="s">
        <v>13</v>
      </c>
      <c r="D82" s="3" t="s">
        <v>50</v>
      </c>
      <c r="E82" s="3" t="s">
        <v>52</v>
      </c>
      <c r="F82" s="3" t="s">
        <v>56</v>
      </c>
      <c r="G82" s="107"/>
      <c r="H82" s="107"/>
      <c r="I82" s="107">
        <f t="shared" si="12"/>
        <v>0</v>
      </c>
      <c r="K82" s="85">
        <f t="shared" si="7"/>
        <v>0</v>
      </c>
    </row>
    <row r="83" spans="1:11" ht="63.75" hidden="1" x14ac:dyDescent="0.2">
      <c r="A83" s="4" t="s">
        <v>57</v>
      </c>
      <c r="B83" s="3" t="s">
        <v>11</v>
      </c>
      <c r="C83" s="3" t="s">
        <v>13</v>
      </c>
      <c r="D83" s="3" t="s">
        <v>50</v>
      </c>
      <c r="E83" s="3" t="s">
        <v>52</v>
      </c>
      <c r="F83" s="3" t="s">
        <v>58</v>
      </c>
      <c r="G83" s="107"/>
      <c r="H83" s="107"/>
      <c r="I83" s="107">
        <f t="shared" si="12"/>
        <v>0</v>
      </c>
      <c r="K83" s="85">
        <f t="shared" si="7"/>
        <v>0</v>
      </c>
    </row>
    <row r="84" spans="1:11" ht="25.5" hidden="1" x14ac:dyDescent="0.2">
      <c r="A84" s="14" t="s">
        <v>59</v>
      </c>
      <c r="B84" s="3" t="s">
        <v>11</v>
      </c>
      <c r="C84" s="3" t="s">
        <v>13</v>
      </c>
      <c r="D84" s="3" t="s">
        <v>50</v>
      </c>
      <c r="E84" s="3" t="s">
        <v>52</v>
      </c>
      <c r="F84" s="3" t="s">
        <v>60</v>
      </c>
      <c r="G84" s="107"/>
      <c r="H84" s="107"/>
      <c r="I84" s="107">
        <f t="shared" si="12"/>
        <v>0</v>
      </c>
      <c r="K84" s="85">
        <f t="shared" si="7"/>
        <v>0</v>
      </c>
    </row>
    <row r="85" spans="1:11" ht="38.25" hidden="1" x14ac:dyDescent="0.2">
      <c r="A85" s="4" t="s">
        <v>61</v>
      </c>
      <c r="B85" s="3" t="s">
        <v>11</v>
      </c>
      <c r="C85" s="3" t="s">
        <v>13</v>
      </c>
      <c r="D85" s="3" t="s">
        <v>50</v>
      </c>
      <c r="E85" s="3" t="s">
        <v>52</v>
      </c>
      <c r="F85" s="3" t="s">
        <v>62</v>
      </c>
      <c r="G85" s="107"/>
      <c r="H85" s="107"/>
      <c r="I85" s="107">
        <f t="shared" si="12"/>
        <v>0</v>
      </c>
      <c r="K85" s="85">
        <f t="shared" si="7"/>
        <v>0</v>
      </c>
    </row>
    <row r="86" spans="1:11" ht="38.25" hidden="1" x14ac:dyDescent="0.2">
      <c r="A86" s="10" t="s">
        <v>63</v>
      </c>
      <c r="B86" s="3" t="s">
        <v>11</v>
      </c>
      <c r="C86" s="3" t="s">
        <v>13</v>
      </c>
      <c r="D86" s="3" t="s">
        <v>50</v>
      </c>
      <c r="E86" s="3" t="s">
        <v>52</v>
      </c>
      <c r="F86" s="3" t="s">
        <v>64</v>
      </c>
      <c r="G86" s="107"/>
      <c r="H86" s="107"/>
      <c r="I86" s="107">
        <f t="shared" si="12"/>
        <v>0</v>
      </c>
      <c r="K86" s="85">
        <f t="shared" si="7"/>
        <v>0</v>
      </c>
    </row>
    <row r="87" spans="1:11" hidden="1" x14ac:dyDescent="0.2">
      <c r="A87" s="10" t="s">
        <v>65</v>
      </c>
      <c r="B87" s="3" t="s">
        <v>11</v>
      </c>
      <c r="C87" s="3" t="s">
        <v>13</v>
      </c>
      <c r="D87" s="3" t="s">
        <v>50</v>
      </c>
      <c r="E87" s="3" t="s">
        <v>52</v>
      </c>
      <c r="F87" s="3" t="s">
        <v>66</v>
      </c>
      <c r="G87" s="107"/>
      <c r="H87" s="107"/>
      <c r="I87" s="107">
        <f t="shared" si="12"/>
        <v>0</v>
      </c>
      <c r="K87" s="85">
        <f t="shared" si="7"/>
        <v>0</v>
      </c>
    </row>
    <row r="88" spans="1:11" ht="38.25" x14ac:dyDescent="0.2">
      <c r="A88" s="7" t="s">
        <v>18</v>
      </c>
      <c r="B88" s="3" t="s">
        <v>11</v>
      </c>
      <c r="C88" s="3" t="s">
        <v>13</v>
      </c>
      <c r="D88" s="3" t="s">
        <v>50</v>
      </c>
      <c r="E88" s="3" t="s">
        <v>19</v>
      </c>
      <c r="F88" s="3"/>
      <c r="G88" s="107">
        <f>G89</f>
        <v>7724.4690000000001</v>
      </c>
      <c r="H88" s="107">
        <f>H89</f>
        <v>1027.5272399999999</v>
      </c>
      <c r="I88" s="107">
        <f>I89</f>
        <v>8751.9962399999986</v>
      </c>
      <c r="K88" s="85">
        <f t="shared" si="7"/>
        <v>8751.9962399999986</v>
      </c>
    </row>
    <row r="89" spans="1:11" ht="63.75" x14ac:dyDescent="0.2">
      <c r="A89" s="4" t="s">
        <v>67</v>
      </c>
      <c r="B89" s="3" t="s">
        <v>11</v>
      </c>
      <c r="C89" s="3" t="s">
        <v>13</v>
      </c>
      <c r="D89" s="3" t="s">
        <v>50</v>
      </c>
      <c r="E89" s="3" t="s">
        <v>68</v>
      </c>
      <c r="F89" s="3"/>
      <c r="G89" s="107">
        <f>SUM(G90:G96)</f>
        <v>7724.4690000000001</v>
      </c>
      <c r="H89" s="107">
        <f>SUM(H90:H96)</f>
        <v>1027.5272399999999</v>
      </c>
      <c r="I89" s="107">
        <f>SUM(I90:I96)</f>
        <v>8751.9962399999986</v>
      </c>
      <c r="K89" s="85">
        <f t="shared" si="7"/>
        <v>8751.9962399999986</v>
      </c>
    </row>
    <row r="90" spans="1:11" x14ac:dyDescent="0.2">
      <c r="A90" s="13" t="s">
        <v>53</v>
      </c>
      <c r="B90" s="3" t="s">
        <v>11</v>
      </c>
      <c r="C90" s="3" t="s">
        <v>13</v>
      </c>
      <c r="D90" s="3" t="s">
        <v>50</v>
      </c>
      <c r="E90" s="3" t="s">
        <v>68</v>
      </c>
      <c r="F90" s="3" t="s">
        <v>54</v>
      </c>
      <c r="G90" s="107">
        <v>5562.2839999999997</v>
      </c>
      <c r="H90" s="107">
        <f>59+21+939.52724</f>
        <v>1019.52724</v>
      </c>
      <c r="I90" s="107">
        <f t="shared" ref="I90:I96" si="13">G90+H90</f>
        <v>6581.81124</v>
      </c>
      <c r="J90" s="55">
        <v>5468.4</v>
      </c>
      <c r="K90" s="85">
        <f t="shared" si="7"/>
        <v>1113.4112400000004</v>
      </c>
    </row>
    <row r="91" spans="1:11" ht="38.25" x14ac:dyDescent="0.2">
      <c r="A91" s="4" t="s">
        <v>55</v>
      </c>
      <c r="B91" s="3" t="s">
        <v>11</v>
      </c>
      <c r="C91" s="3" t="s">
        <v>13</v>
      </c>
      <c r="D91" s="3" t="s">
        <v>50</v>
      </c>
      <c r="E91" s="3" t="s">
        <v>68</v>
      </c>
      <c r="F91" s="3" t="s">
        <v>56</v>
      </c>
      <c r="G91" s="107">
        <v>25</v>
      </c>
      <c r="H91" s="107"/>
      <c r="I91" s="107">
        <f t="shared" si="13"/>
        <v>25</v>
      </c>
      <c r="J91" s="55">
        <v>25</v>
      </c>
      <c r="K91" s="85">
        <f t="shared" si="7"/>
        <v>0</v>
      </c>
    </row>
    <row r="92" spans="1:11" ht="63.75" hidden="1" x14ac:dyDescent="0.2">
      <c r="A92" s="4" t="s">
        <v>57</v>
      </c>
      <c r="B92" s="3" t="s">
        <v>11</v>
      </c>
      <c r="C92" s="3" t="s">
        <v>13</v>
      </c>
      <c r="D92" s="3" t="s">
        <v>50</v>
      </c>
      <c r="E92" s="3" t="s">
        <v>68</v>
      </c>
      <c r="F92" s="3" t="s">
        <v>58</v>
      </c>
      <c r="G92" s="107"/>
      <c r="H92" s="107"/>
      <c r="I92" s="107">
        <f t="shared" si="13"/>
        <v>0</v>
      </c>
      <c r="K92" s="85">
        <f t="shared" si="7"/>
        <v>0</v>
      </c>
    </row>
    <row r="93" spans="1:11" ht="25.5" x14ac:dyDescent="0.2">
      <c r="A93" s="14" t="s">
        <v>59</v>
      </c>
      <c r="B93" s="3" t="s">
        <v>11</v>
      </c>
      <c r="C93" s="3" t="s">
        <v>13</v>
      </c>
      <c r="D93" s="3" t="s">
        <v>50</v>
      </c>
      <c r="E93" s="3" t="s">
        <v>68</v>
      </c>
      <c r="F93" s="3" t="s">
        <v>60</v>
      </c>
      <c r="G93" s="107">
        <v>164</v>
      </c>
      <c r="H93" s="107">
        <f>-31+5</f>
        <v>-26</v>
      </c>
      <c r="I93" s="107">
        <f t="shared" si="13"/>
        <v>138</v>
      </c>
      <c r="J93" s="55">
        <v>145</v>
      </c>
      <c r="K93" s="85">
        <f t="shared" si="7"/>
        <v>-7</v>
      </c>
    </row>
    <row r="94" spans="1:11" ht="38.25" x14ac:dyDescent="0.2">
      <c r="A94" s="4" t="s">
        <v>61</v>
      </c>
      <c r="B94" s="3" t="s">
        <v>11</v>
      </c>
      <c r="C94" s="3" t="s">
        <v>13</v>
      </c>
      <c r="D94" s="3" t="s">
        <v>50</v>
      </c>
      <c r="E94" s="3" t="s">
        <v>68</v>
      </c>
      <c r="F94" s="3" t="s">
        <v>62</v>
      </c>
      <c r="G94" s="107">
        <v>1957.54</v>
      </c>
      <c r="H94" s="107">
        <f>-59-15.8-10+12+39.8+25+42</f>
        <v>34</v>
      </c>
      <c r="I94" s="107">
        <f t="shared" si="13"/>
        <v>1991.54</v>
      </c>
      <c r="J94" s="55">
        <v>1567.0250000000001</v>
      </c>
      <c r="K94" s="85">
        <f t="shared" si="7"/>
        <v>424.51499999999987</v>
      </c>
    </row>
    <row r="95" spans="1:11" ht="38.25" x14ac:dyDescent="0.2">
      <c r="A95" s="10" t="s">
        <v>63</v>
      </c>
      <c r="B95" s="3" t="s">
        <v>11</v>
      </c>
      <c r="C95" s="3" t="s">
        <v>13</v>
      </c>
      <c r="D95" s="3" t="s">
        <v>50</v>
      </c>
      <c r="E95" s="3" t="s">
        <v>68</v>
      </c>
      <c r="F95" s="3" t="s">
        <v>64</v>
      </c>
      <c r="G95" s="107">
        <v>1.55</v>
      </c>
      <c r="H95" s="107"/>
      <c r="I95" s="107">
        <f t="shared" si="13"/>
        <v>1.55</v>
      </c>
      <c r="J95" s="55">
        <v>1.55</v>
      </c>
      <c r="K95" s="85">
        <f t="shared" si="7"/>
        <v>0</v>
      </c>
    </row>
    <row r="96" spans="1:11" x14ac:dyDescent="0.2">
      <c r="A96" s="10" t="s">
        <v>65</v>
      </c>
      <c r="B96" s="3" t="s">
        <v>11</v>
      </c>
      <c r="C96" s="3" t="s">
        <v>13</v>
      </c>
      <c r="D96" s="3" t="s">
        <v>50</v>
      </c>
      <c r="E96" s="3" t="s">
        <v>68</v>
      </c>
      <c r="F96" s="3" t="s">
        <v>66</v>
      </c>
      <c r="G96" s="107">
        <v>14.095000000000001</v>
      </c>
      <c r="H96" s="107"/>
      <c r="I96" s="107">
        <f t="shared" si="13"/>
        <v>14.095000000000001</v>
      </c>
      <c r="J96" s="55">
        <v>10.345000000000001</v>
      </c>
      <c r="K96" s="85">
        <f t="shared" si="7"/>
        <v>3.75</v>
      </c>
    </row>
    <row r="97" spans="1:11" x14ac:dyDescent="0.2">
      <c r="A97" s="4" t="s">
        <v>69</v>
      </c>
      <c r="B97" s="3" t="s">
        <v>11</v>
      </c>
      <c r="C97" s="3" t="s">
        <v>70</v>
      </c>
      <c r="D97" s="3"/>
      <c r="E97" s="3"/>
      <c r="F97" s="3"/>
      <c r="G97" s="107">
        <f t="shared" ref="G97:I98" si="14">G98</f>
        <v>2005.4</v>
      </c>
      <c r="H97" s="107">
        <f t="shared" si="14"/>
        <v>-85.2</v>
      </c>
      <c r="I97" s="107">
        <f t="shared" si="14"/>
        <v>1920.2</v>
      </c>
      <c r="K97" s="85">
        <f t="shared" si="7"/>
        <v>1920.2</v>
      </c>
    </row>
    <row r="98" spans="1:11" x14ac:dyDescent="0.2">
      <c r="A98" s="4" t="s">
        <v>71</v>
      </c>
      <c r="B98" s="3" t="s">
        <v>11</v>
      </c>
      <c r="C98" s="3" t="s">
        <v>70</v>
      </c>
      <c r="D98" s="3" t="s">
        <v>72</v>
      </c>
      <c r="E98" s="3"/>
      <c r="F98" s="3"/>
      <c r="G98" s="107">
        <f t="shared" si="14"/>
        <v>2005.4</v>
      </c>
      <c r="H98" s="107">
        <f t="shared" si="14"/>
        <v>-85.2</v>
      </c>
      <c r="I98" s="107">
        <f t="shared" si="14"/>
        <v>1920.2</v>
      </c>
      <c r="K98" s="85">
        <f t="shared" ref="K98:K163" si="15">I98-J98</f>
        <v>1920.2</v>
      </c>
    </row>
    <row r="99" spans="1:11" ht="38.25" x14ac:dyDescent="0.2">
      <c r="A99" s="5" t="s">
        <v>16</v>
      </c>
      <c r="B99" s="3" t="s">
        <v>11</v>
      </c>
      <c r="C99" s="3" t="s">
        <v>70</v>
      </c>
      <c r="D99" s="3" t="s">
        <v>72</v>
      </c>
      <c r="E99" s="3" t="s">
        <v>43</v>
      </c>
      <c r="F99" s="3"/>
      <c r="G99" s="107">
        <f>G100</f>
        <v>2005.4</v>
      </c>
      <c r="H99" s="107">
        <f t="shared" ref="H99:I101" si="16">H100</f>
        <v>-85.2</v>
      </c>
      <c r="I99" s="107">
        <f t="shared" si="16"/>
        <v>1920.2</v>
      </c>
      <c r="K99" s="85">
        <f t="shared" si="15"/>
        <v>1920.2</v>
      </c>
    </row>
    <row r="100" spans="1:11" ht="38.25" x14ac:dyDescent="0.2">
      <c r="A100" s="7" t="s">
        <v>18</v>
      </c>
      <c r="B100" s="3" t="s">
        <v>11</v>
      </c>
      <c r="C100" s="3" t="s">
        <v>70</v>
      </c>
      <c r="D100" s="3" t="s">
        <v>72</v>
      </c>
      <c r="E100" s="3" t="s">
        <v>44</v>
      </c>
      <c r="F100" s="3"/>
      <c r="G100" s="107">
        <f>G101</f>
        <v>2005.4</v>
      </c>
      <c r="H100" s="107">
        <f t="shared" si="16"/>
        <v>-85.2</v>
      </c>
      <c r="I100" s="107">
        <f t="shared" si="16"/>
        <v>1920.2</v>
      </c>
      <c r="K100" s="85">
        <f t="shared" si="15"/>
        <v>1920.2</v>
      </c>
    </row>
    <row r="101" spans="1:11" ht="71.25" customHeight="1" x14ac:dyDescent="0.2">
      <c r="A101" s="5" t="s">
        <v>73</v>
      </c>
      <c r="B101" s="3" t="s">
        <v>11</v>
      </c>
      <c r="C101" s="3" t="s">
        <v>70</v>
      </c>
      <c r="D101" s="3" t="s">
        <v>72</v>
      </c>
      <c r="E101" s="3" t="s">
        <v>356</v>
      </c>
      <c r="F101" s="3"/>
      <c r="G101" s="107">
        <f>G102</f>
        <v>2005.4</v>
      </c>
      <c r="H101" s="107">
        <f t="shared" si="16"/>
        <v>-85.2</v>
      </c>
      <c r="I101" s="107">
        <f t="shared" si="16"/>
        <v>1920.2</v>
      </c>
      <c r="K101" s="85">
        <f t="shared" si="15"/>
        <v>1920.2</v>
      </c>
    </row>
    <row r="102" spans="1:11" ht="38.25" x14ac:dyDescent="0.2">
      <c r="A102" s="4" t="s">
        <v>74</v>
      </c>
      <c r="B102" s="3" t="s">
        <v>11</v>
      </c>
      <c r="C102" s="3" t="s">
        <v>70</v>
      </c>
      <c r="D102" s="3" t="s">
        <v>72</v>
      </c>
      <c r="E102" s="3" t="s">
        <v>356</v>
      </c>
      <c r="F102" s="3" t="s">
        <v>75</v>
      </c>
      <c r="G102" s="107">
        <v>2005.4</v>
      </c>
      <c r="H102" s="107">
        <v>-85.2</v>
      </c>
      <c r="I102" s="107">
        <f>G102+H102</f>
        <v>1920.2</v>
      </c>
      <c r="J102" s="55">
        <v>2005.4</v>
      </c>
      <c r="K102" s="85">
        <f t="shared" si="15"/>
        <v>-85.200000000000045</v>
      </c>
    </row>
    <row r="103" spans="1:11" ht="25.5" x14ac:dyDescent="0.2">
      <c r="A103" s="1" t="s">
        <v>76</v>
      </c>
      <c r="B103" s="2" t="s">
        <v>77</v>
      </c>
      <c r="C103" s="2"/>
      <c r="D103" s="2"/>
      <c r="E103" s="2"/>
      <c r="F103" s="2"/>
      <c r="G103" s="109">
        <f>G104+G145+G151+G137</f>
        <v>39971.02188</v>
      </c>
      <c r="H103" s="109">
        <f t="shared" ref="H103:I103" si="17">H104+H145+H151+H137</f>
        <v>2720.6869999999999</v>
      </c>
      <c r="I103" s="109">
        <f t="shared" si="17"/>
        <v>42691.708879999998</v>
      </c>
      <c r="K103" s="85">
        <f t="shared" si="15"/>
        <v>42691.708879999998</v>
      </c>
    </row>
    <row r="104" spans="1:11" x14ac:dyDescent="0.2">
      <c r="A104" s="4" t="s">
        <v>78</v>
      </c>
      <c r="B104" s="3" t="s">
        <v>77</v>
      </c>
      <c r="C104" s="3" t="s">
        <v>15</v>
      </c>
      <c r="D104" s="3"/>
      <c r="E104" s="3"/>
      <c r="F104" s="3"/>
      <c r="G104" s="107">
        <f>G105+G110+G126+G132</f>
        <v>5588.3739999999998</v>
      </c>
      <c r="H104" s="107">
        <f>H105+H110+H126+H132</f>
        <v>-183.11229</v>
      </c>
      <c r="I104" s="107">
        <f>I105+I110+I126+I132</f>
        <v>5405.2617100000007</v>
      </c>
      <c r="J104" s="85"/>
      <c r="K104" s="85">
        <f t="shared" si="15"/>
        <v>5405.2617100000007</v>
      </c>
    </row>
    <row r="105" spans="1:11" ht="51" x14ac:dyDescent="0.2">
      <c r="A105" s="15" t="s">
        <v>79</v>
      </c>
      <c r="B105" s="3" t="s">
        <v>77</v>
      </c>
      <c r="C105" s="3" t="s">
        <v>15</v>
      </c>
      <c r="D105" s="3" t="s">
        <v>72</v>
      </c>
      <c r="E105" s="3"/>
      <c r="F105" s="3"/>
      <c r="G105" s="107">
        <f t="shared" ref="G105:I106" si="18">G106</f>
        <v>1620.7</v>
      </c>
      <c r="H105" s="107">
        <f t="shared" si="18"/>
        <v>-289.25</v>
      </c>
      <c r="I105" s="107">
        <f t="shared" si="18"/>
        <v>1331.45</v>
      </c>
      <c r="K105" s="85">
        <f t="shared" si="15"/>
        <v>1331.45</v>
      </c>
    </row>
    <row r="106" spans="1:11" ht="51" x14ac:dyDescent="0.2">
      <c r="A106" s="5" t="s">
        <v>80</v>
      </c>
      <c r="B106" s="3" t="s">
        <v>77</v>
      </c>
      <c r="C106" s="3" t="s">
        <v>15</v>
      </c>
      <c r="D106" s="3" t="s">
        <v>72</v>
      </c>
      <c r="E106" s="3" t="s">
        <v>81</v>
      </c>
      <c r="F106" s="3"/>
      <c r="G106" s="107">
        <f t="shared" si="18"/>
        <v>1620.7</v>
      </c>
      <c r="H106" s="107">
        <f t="shared" si="18"/>
        <v>-289.25</v>
      </c>
      <c r="I106" s="107">
        <f t="shared" si="18"/>
        <v>1331.45</v>
      </c>
      <c r="K106" s="85">
        <f t="shared" si="15"/>
        <v>1331.45</v>
      </c>
    </row>
    <row r="107" spans="1:11" ht="38.25" x14ac:dyDescent="0.2">
      <c r="A107" s="7" t="s">
        <v>82</v>
      </c>
      <c r="B107" s="3" t="s">
        <v>77</v>
      </c>
      <c r="C107" s="3" t="s">
        <v>15</v>
      </c>
      <c r="D107" s="3" t="s">
        <v>72</v>
      </c>
      <c r="E107" s="3" t="s">
        <v>83</v>
      </c>
      <c r="F107" s="3"/>
      <c r="G107" s="107">
        <f>G108+G109</f>
        <v>1620.7</v>
      </c>
      <c r="H107" s="107">
        <f>H108+H109</f>
        <v>-289.25</v>
      </c>
      <c r="I107" s="107">
        <f>I108+I109</f>
        <v>1331.45</v>
      </c>
      <c r="K107" s="85">
        <f t="shared" si="15"/>
        <v>1331.45</v>
      </c>
    </row>
    <row r="108" spans="1:11" hidden="1" x14ac:dyDescent="0.2">
      <c r="A108" s="13" t="s">
        <v>53</v>
      </c>
      <c r="B108" s="3" t="s">
        <v>77</v>
      </c>
      <c r="C108" s="3" t="s">
        <v>15</v>
      </c>
      <c r="D108" s="3" t="s">
        <v>72</v>
      </c>
      <c r="E108" s="3" t="s">
        <v>357</v>
      </c>
      <c r="F108" s="3" t="s">
        <v>54</v>
      </c>
      <c r="G108" s="107">
        <v>0</v>
      </c>
      <c r="H108" s="107"/>
      <c r="I108" s="107">
        <f>G108+H108</f>
        <v>0</v>
      </c>
      <c r="K108" s="85">
        <f t="shared" si="15"/>
        <v>0</v>
      </c>
    </row>
    <row r="109" spans="1:11" x14ac:dyDescent="0.2">
      <c r="A109" s="13" t="s">
        <v>53</v>
      </c>
      <c r="B109" s="3" t="s">
        <v>77</v>
      </c>
      <c r="C109" s="3" t="s">
        <v>15</v>
      </c>
      <c r="D109" s="3" t="s">
        <v>72</v>
      </c>
      <c r="E109" s="3" t="s">
        <v>83</v>
      </c>
      <c r="F109" s="3" t="s">
        <v>54</v>
      </c>
      <c r="G109" s="107">
        <v>1620.7</v>
      </c>
      <c r="H109" s="107">
        <f>-100-189.25</f>
        <v>-289.25</v>
      </c>
      <c r="I109" s="107">
        <f>G109+H109</f>
        <v>1331.45</v>
      </c>
      <c r="J109" s="55">
        <v>1331.45</v>
      </c>
      <c r="K109" s="85">
        <f t="shared" si="15"/>
        <v>0</v>
      </c>
    </row>
    <row r="110" spans="1:11" ht="38.25" x14ac:dyDescent="0.2">
      <c r="A110" s="16" t="s">
        <v>84</v>
      </c>
      <c r="B110" s="3" t="s">
        <v>77</v>
      </c>
      <c r="C110" s="3" t="s">
        <v>15</v>
      </c>
      <c r="D110" s="3" t="s">
        <v>85</v>
      </c>
      <c r="E110" s="3"/>
      <c r="F110" s="3"/>
      <c r="G110" s="107">
        <f>G111+G121</f>
        <v>3778.56</v>
      </c>
      <c r="H110" s="107">
        <f>H111+H121</f>
        <v>295.25171</v>
      </c>
      <c r="I110" s="107">
        <f>I111+I121</f>
        <v>4073.8117100000004</v>
      </c>
      <c r="K110" s="85">
        <f t="shared" si="15"/>
        <v>4073.8117100000004</v>
      </c>
    </row>
    <row r="111" spans="1:11" ht="51" x14ac:dyDescent="0.2">
      <c r="A111" s="5" t="s">
        <v>80</v>
      </c>
      <c r="B111" s="3" t="s">
        <v>77</v>
      </c>
      <c r="C111" s="3" t="s">
        <v>15</v>
      </c>
      <c r="D111" s="3" t="s">
        <v>85</v>
      </c>
      <c r="E111" s="3" t="s">
        <v>81</v>
      </c>
      <c r="F111" s="3"/>
      <c r="G111" s="107">
        <f>G112</f>
        <v>3360.56</v>
      </c>
      <c r="H111" s="107">
        <f>H112</f>
        <v>305.35171000000003</v>
      </c>
      <c r="I111" s="107">
        <f>I112</f>
        <v>3665.9117100000003</v>
      </c>
      <c r="K111" s="85">
        <f t="shared" si="15"/>
        <v>3665.9117100000003</v>
      </c>
    </row>
    <row r="112" spans="1:11" ht="38.25" x14ac:dyDescent="0.2">
      <c r="A112" s="7" t="s">
        <v>82</v>
      </c>
      <c r="B112" s="3" t="s">
        <v>77</v>
      </c>
      <c r="C112" s="3" t="s">
        <v>15</v>
      </c>
      <c r="D112" s="3" t="s">
        <v>85</v>
      </c>
      <c r="E112" s="3" t="s">
        <v>83</v>
      </c>
      <c r="F112" s="3"/>
      <c r="G112" s="107">
        <f>SUM(G113:G120)</f>
        <v>3360.56</v>
      </c>
      <c r="H112" s="107">
        <f>SUM(H113:H120)</f>
        <v>305.35171000000003</v>
      </c>
      <c r="I112" s="107">
        <f>SUM(I113:I120)</f>
        <v>3665.9117100000003</v>
      </c>
      <c r="K112" s="85">
        <f t="shared" si="15"/>
        <v>3665.9117100000003</v>
      </c>
    </row>
    <row r="113" spans="1:11" hidden="1" x14ac:dyDescent="0.2">
      <c r="A113" s="13" t="s">
        <v>53</v>
      </c>
      <c r="B113" s="3" t="s">
        <v>77</v>
      </c>
      <c r="C113" s="3" t="s">
        <v>15</v>
      </c>
      <c r="D113" s="3" t="s">
        <v>85</v>
      </c>
      <c r="E113" s="3" t="s">
        <v>357</v>
      </c>
      <c r="F113" s="3" t="s">
        <v>54</v>
      </c>
      <c r="G113" s="107">
        <v>0</v>
      </c>
      <c r="H113" s="107"/>
      <c r="I113" s="107">
        <f t="shared" ref="I113:I119" si="19">G113+H113</f>
        <v>0</v>
      </c>
      <c r="K113" s="85">
        <f t="shared" si="15"/>
        <v>0</v>
      </c>
    </row>
    <row r="114" spans="1:11" ht="38.25" hidden="1" x14ac:dyDescent="0.2">
      <c r="A114" s="4" t="s">
        <v>55</v>
      </c>
      <c r="B114" s="3" t="s">
        <v>77</v>
      </c>
      <c r="C114" s="3" t="s">
        <v>15</v>
      </c>
      <c r="D114" s="3" t="s">
        <v>85</v>
      </c>
      <c r="E114" s="3" t="s">
        <v>357</v>
      </c>
      <c r="F114" s="3" t="s">
        <v>56</v>
      </c>
      <c r="G114" s="107">
        <v>0</v>
      </c>
      <c r="H114" s="107"/>
      <c r="I114" s="107">
        <f t="shared" si="19"/>
        <v>0</v>
      </c>
      <c r="K114" s="85">
        <f t="shared" si="15"/>
        <v>0</v>
      </c>
    </row>
    <row r="115" spans="1:11" x14ac:dyDescent="0.2">
      <c r="A115" s="13" t="s">
        <v>53</v>
      </c>
      <c r="B115" s="3" t="s">
        <v>77</v>
      </c>
      <c r="C115" s="3" t="s">
        <v>15</v>
      </c>
      <c r="D115" s="3" t="s">
        <v>85</v>
      </c>
      <c r="E115" s="3" t="s">
        <v>83</v>
      </c>
      <c r="F115" s="3" t="s">
        <v>54</v>
      </c>
      <c r="G115" s="107">
        <v>2747.51</v>
      </c>
      <c r="H115" s="107">
        <f>100+291.03361</f>
        <v>391.03361000000001</v>
      </c>
      <c r="I115" s="107">
        <f>G115+H115</f>
        <v>3138.5436100000002</v>
      </c>
      <c r="J115" s="55">
        <v>3138.5436100000002</v>
      </c>
      <c r="K115" s="85">
        <f t="shared" si="15"/>
        <v>0</v>
      </c>
    </row>
    <row r="116" spans="1:11" ht="38.25" x14ac:dyDescent="0.2">
      <c r="A116" s="4" t="s">
        <v>55</v>
      </c>
      <c r="B116" s="3" t="s">
        <v>77</v>
      </c>
      <c r="C116" s="3" t="s">
        <v>15</v>
      </c>
      <c r="D116" s="3" t="s">
        <v>85</v>
      </c>
      <c r="E116" s="3" t="s">
        <v>83</v>
      </c>
      <c r="F116" s="3" t="s">
        <v>56</v>
      </c>
      <c r="G116" s="107">
        <v>16</v>
      </c>
      <c r="H116" s="107">
        <f>-9.7</f>
        <v>-9.6999999999999993</v>
      </c>
      <c r="I116" s="107">
        <f>G116+H116</f>
        <v>6.3000000000000007</v>
      </c>
      <c r="J116" s="55">
        <v>6.3</v>
      </c>
      <c r="K116" s="85">
        <f t="shared" si="15"/>
        <v>0</v>
      </c>
    </row>
    <row r="117" spans="1:11" ht="25.5" x14ac:dyDescent="0.2">
      <c r="A117" s="14" t="s">
        <v>59</v>
      </c>
      <c r="B117" s="3" t="s">
        <v>77</v>
      </c>
      <c r="C117" s="3" t="s">
        <v>15</v>
      </c>
      <c r="D117" s="3" t="s">
        <v>85</v>
      </c>
      <c r="E117" s="3" t="s">
        <v>83</v>
      </c>
      <c r="F117" s="3" t="s">
        <v>60</v>
      </c>
      <c r="G117" s="107">
        <v>156.49</v>
      </c>
      <c r="H117" s="107">
        <f>-3.52-42.43386-1.746+3.491</f>
        <v>-44.208860000000008</v>
      </c>
      <c r="I117" s="107">
        <f t="shared" si="19"/>
        <v>112.28113999999999</v>
      </c>
      <c r="J117" s="55">
        <v>112.28113999999999</v>
      </c>
      <c r="K117" s="85">
        <f t="shared" si="15"/>
        <v>0</v>
      </c>
    </row>
    <row r="118" spans="1:11" ht="38.25" x14ac:dyDescent="0.2">
      <c r="A118" s="4" t="s">
        <v>61</v>
      </c>
      <c r="B118" s="3" t="s">
        <v>77</v>
      </c>
      <c r="C118" s="3" t="s">
        <v>15</v>
      </c>
      <c r="D118" s="3" t="s">
        <v>85</v>
      </c>
      <c r="E118" s="3" t="s">
        <v>83</v>
      </c>
      <c r="F118" s="3" t="s">
        <v>62</v>
      </c>
      <c r="G118" s="107">
        <v>425.42</v>
      </c>
      <c r="H118" s="107">
        <f>1.76-28.8611-1.745+1.76+6.00171</f>
        <v>-21.084389999999999</v>
      </c>
      <c r="I118" s="107">
        <f t="shared" si="19"/>
        <v>404.33561000000003</v>
      </c>
      <c r="J118" s="55">
        <v>398.33390000000003</v>
      </c>
      <c r="K118" s="85">
        <f t="shared" si="15"/>
        <v>6.0017100000000028</v>
      </c>
    </row>
    <row r="119" spans="1:11" ht="38.25" x14ac:dyDescent="0.2">
      <c r="A119" s="10" t="s">
        <v>63</v>
      </c>
      <c r="B119" s="3" t="s">
        <v>77</v>
      </c>
      <c r="C119" s="3" t="s">
        <v>15</v>
      </c>
      <c r="D119" s="3" t="s">
        <v>85</v>
      </c>
      <c r="E119" s="3" t="s">
        <v>83</v>
      </c>
      <c r="F119" s="3" t="s">
        <v>64</v>
      </c>
      <c r="G119" s="107">
        <v>10</v>
      </c>
      <c r="H119" s="107">
        <f>-9.565</f>
        <v>-9.5649999999999995</v>
      </c>
      <c r="I119" s="107">
        <f t="shared" si="19"/>
        <v>0.4350000000000005</v>
      </c>
      <c r="J119" s="55">
        <v>0.435</v>
      </c>
      <c r="K119" s="85">
        <f t="shared" si="15"/>
        <v>4.9960036108132044E-16</v>
      </c>
    </row>
    <row r="120" spans="1:11" x14ac:dyDescent="0.2">
      <c r="A120" s="10" t="s">
        <v>65</v>
      </c>
      <c r="B120" s="3" t="s">
        <v>77</v>
      </c>
      <c r="C120" s="3" t="s">
        <v>15</v>
      </c>
      <c r="D120" s="3" t="s">
        <v>85</v>
      </c>
      <c r="E120" s="3" t="s">
        <v>83</v>
      </c>
      <c r="F120" s="3" t="s">
        <v>66</v>
      </c>
      <c r="G120" s="107">
        <v>5.14</v>
      </c>
      <c r="H120" s="107">
        <v>-1.12365</v>
      </c>
      <c r="I120" s="107">
        <f>G120+H120</f>
        <v>4.0163499999999992</v>
      </c>
      <c r="J120" s="55">
        <v>4.0163500000000001</v>
      </c>
      <c r="K120" s="85">
        <f t="shared" si="15"/>
        <v>0</v>
      </c>
    </row>
    <row r="121" spans="1:11" ht="51" x14ac:dyDescent="0.2">
      <c r="A121" s="5" t="s">
        <v>80</v>
      </c>
      <c r="B121" s="3" t="s">
        <v>77</v>
      </c>
      <c r="C121" s="3" t="s">
        <v>15</v>
      </c>
      <c r="D121" s="3" t="s">
        <v>85</v>
      </c>
      <c r="E121" s="3" t="s">
        <v>81</v>
      </c>
      <c r="F121" s="3"/>
      <c r="G121" s="107">
        <f t="shared" ref="G121:I122" si="20">G122</f>
        <v>418</v>
      </c>
      <c r="H121" s="107">
        <f t="shared" si="20"/>
        <v>-10.100000000000001</v>
      </c>
      <c r="I121" s="107">
        <f t="shared" si="20"/>
        <v>407.9</v>
      </c>
      <c r="K121" s="85">
        <f t="shared" si="15"/>
        <v>407.9</v>
      </c>
    </row>
    <row r="122" spans="1:11" ht="42.75" customHeight="1" x14ac:dyDescent="0.2">
      <c r="A122" s="7" t="s">
        <v>103</v>
      </c>
      <c r="B122" s="3" t="s">
        <v>77</v>
      </c>
      <c r="C122" s="3" t="s">
        <v>15</v>
      </c>
      <c r="D122" s="3" t="s">
        <v>85</v>
      </c>
      <c r="E122" s="3" t="s">
        <v>104</v>
      </c>
      <c r="F122" s="3"/>
      <c r="G122" s="107">
        <f t="shared" si="20"/>
        <v>418</v>
      </c>
      <c r="H122" s="107">
        <f t="shared" si="20"/>
        <v>-10.100000000000001</v>
      </c>
      <c r="I122" s="107">
        <f t="shared" si="20"/>
        <v>407.9</v>
      </c>
      <c r="K122" s="85">
        <f t="shared" si="15"/>
        <v>407.9</v>
      </c>
    </row>
    <row r="123" spans="1:11" ht="51" x14ac:dyDescent="0.2">
      <c r="A123" s="69" t="s">
        <v>358</v>
      </c>
      <c r="B123" s="3" t="s">
        <v>77</v>
      </c>
      <c r="C123" s="3" t="s">
        <v>15</v>
      </c>
      <c r="D123" s="3" t="s">
        <v>85</v>
      </c>
      <c r="E123" s="3" t="s">
        <v>359</v>
      </c>
      <c r="F123" s="3"/>
      <c r="G123" s="107">
        <f>G124+G125</f>
        <v>418</v>
      </c>
      <c r="H123" s="107">
        <f>H124+H125</f>
        <v>-10.100000000000001</v>
      </c>
      <c r="I123" s="107">
        <f>I124+I125</f>
        <v>407.9</v>
      </c>
      <c r="K123" s="85">
        <f t="shared" si="15"/>
        <v>407.9</v>
      </c>
    </row>
    <row r="124" spans="1:11" ht="25.5" x14ac:dyDescent="0.2">
      <c r="A124" s="14" t="s">
        <v>59</v>
      </c>
      <c r="B124" s="3" t="s">
        <v>77</v>
      </c>
      <c r="C124" s="3" t="s">
        <v>15</v>
      </c>
      <c r="D124" s="3" t="s">
        <v>85</v>
      </c>
      <c r="E124" s="3" t="s">
        <v>359</v>
      </c>
      <c r="F124" s="3" t="s">
        <v>60</v>
      </c>
      <c r="G124" s="107">
        <v>418</v>
      </c>
      <c r="H124" s="107">
        <f>-48.20496+3.1</f>
        <v>-45.104959999999998</v>
      </c>
      <c r="I124" s="107">
        <f>G124+H124</f>
        <v>372.89503999999999</v>
      </c>
      <c r="J124" s="55">
        <v>372.89503999999999</v>
      </c>
      <c r="K124" s="85">
        <f t="shared" si="15"/>
        <v>0</v>
      </c>
    </row>
    <row r="125" spans="1:11" ht="38.25" x14ac:dyDescent="0.2">
      <c r="A125" s="4" t="s">
        <v>61</v>
      </c>
      <c r="B125" s="3" t="s">
        <v>77</v>
      </c>
      <c r="C125" s="3" t="s">
        <v>15</v>
      </c>
      <c r="D125" s="3" t="s">
        <v>85</v>
      </c>
      <c r="E125" s="3" t="s">
        <v>360</v>
      </c>
      <c r="F125" s="3" t="s">
        <v>62</v>
      </c>
      <c r="G125" s="107"/>
      <c r="H125" s="107">
        <f>38.10496-3.1</f>
        <v>35.004959999999997</v>
      </c>
      <c r="I125" s="107">
        <f>G125+H125</f>
        <v>35.004959999999997</v>
      </c>
      <c r="J125" s="55">
        <v>35.004959999999997</v>
      </c>
      <c r="K125" s="85">
        <f t="shared" si="15"/>
        <v>0</v>
      </c>
    </row>
    <row r="126" spans="1:11" x14ac:dyDescent="0.2">
      <c r="A126" s="16" t="s">
        <v>86</v>
      </c>
      <c r="B126" s="3" t="s">
        <v>77</v>
      </c>
      <c r="C126" s="3" t="s">
        <v>15</v>
      </c>
      <c r="D126" s="3" t="s">
        <v>87</v>
      </c>
      <c r="E126" s="3"/>
      <c r="F126" s="3"/>
      <c r="G126" s="107">
        <f>G127</f>
        <v>189.114</v>
      </c>
      <c r="H126" s="107">
        <f t="shared" ref="H126:I130" si="21">H127</f>
        <v>-189.114</v>
      </c>
      <c r="I126" s="107">
        <f t="shared" si="21"/>
        <v>0</v>
      </c>
      <c r="K126" s="85">
        <f t="shared" si="15"/>
        <v>0</v>
      </c>
    </row>
    <row r="127" spans="1:11" x14ac:dyDescent="0.2">
      <c r="A127" s="12" t="s">
        <v>88</v>
      </c>
      <c r="B127" s="3" t="s">
        <v>77</v>
      </c>
      <c r="C127" s="3" t="s">
        <v>15</v>
      </c>
      <c r="D127" s="3" t="s">
        <v>87</v>
      </c>
      <c r="E127" s="3" t="s">
        <v>89</v>
      </c>
      <c r="F127" s="3"/>
      <c r="G127" s="107">
        <f>G130+G128</f>
        <v>189.114</v>
      </c>
      <c r="H127" s="107">
        <f>H130+H128</f>
        <v>-189.114</v>
      </c>
      <c r="I127" s="107">
        <f>I130+I128</f>
        <v>0</v>
      </c>
      <c r="K127" s="85">
        <f t="shared" si="15"/>
        <v>0</v>
      </c>
    </row>
    <row r="128" spans="1:11" ht="38.25" x14ac:dyDescent="0.2">
      <c r="A128" s="67" t="s">
        <v>462</v>
      </c>
      <c r="B128" s="3" t="s">
        <v>77</v>
      </c>
      <c r="C128" s="3" t="s">
        <v>15</v>
      </c>
      <c r="D128" s="3" t="s">
        <v>87</v>
      </c>
      <c r="E128" s="12" t="s">
        <v>461</v>
      </c>
      <c r="F128" s="3"/>
      <c r="G128" s="107">
        <f>G129</f>
        <v>189.114</v>
      </c>
      <c r="H128" s="107">
        <f t="shared" si="21"/>
        <v>-189.114</v>
      </c>
      <c r="I128" s="107">
        <f t="shared" si="21"/>
        <v>0</v>
      </c>
      <c r="K128" s="85">
        <f t="shared" si="15"/>
        <v>0</v>
      </c>
    </row>
    <row r="129" spans="1:11" x14ac:dyDescent="0.2">
      <c r="A129" s="16" t="s">
        <v>91</v>
      </c>
      <c r="B129" s="3" t="s">
        <v>77</v>
      </c>
      <c r="C129" s="3" t="s">
        <v>15</v>
      </c>
      <c r="D129" s="3" t="s">
        <v>87</v>
      </c>
      <c r="E129" s="12" t="s">
        <v>461</v>
      </c>
      <c r="F129" s="3" t="s">
        <v>92</v>
      </c>
      <c r="G129" s="107">
        <v>189.114</v>
      </c>
      <c r="H129" s="107">
        <f>-20-15-34.28-119.834</f>
        <v>-189.114</v>
      </c>
      <c r="I129" s="107">
        <f>G129+H129</f>
        <v>0</v>
      </c>
      <c r="J129" s="55">
        <v>119.834</v>
      </c>
      <c r="K129" s="85">
        <f t="shared" si="15"/>
        <v>-119.834</v>
      </c>
    </row>
    <row r="130" spans="1:11" x14ac:dyDescent="0.2">
      <c r="A130" s="12" t="s">
        <v>90</v>
      </c>
      <c r="B130" s="3" t="s">
        <v>77</v>
      </c>
      <c r="C130" s="3" t="s">
        <v>15</v>
      </c>
      <c r="D130" s="3" t="s">
        <v>87</v>
      </c>
      <c r="E130" s="12" t="s">
        <v>389</v>
      </c>
      <c r="F130" s="3"/>
      <c r="G130" s="107">
        <f>G131</f>
        <v>0</v>
      </c>
      <c r="H130" s="107">
        <f t="shared" si="21"/>
        <v>0</v>
      </c>
      <c r="I130" s="107">
        <f t="shared" si="21"/>
        <v>0</v>
      </c>
      <c r="K130" s="85">
        <f t="shared" si="15"/>
        <v>0</v>
      </c>
    </row>
    <row r="131" spans="1:11" x14ac:dyDescent="0.2">
      <c r="A131" s="16" t="s">
        <v>91</v>
      </c>
      <c r="B131" s="3" t="s">
        <v>77</v>
      </c>
      <c r="C131" s="3" t="s">
        <v>15</v>
      </c>
      <c r="D131" s="3" t="s">
        <v>87</v>
      </c>
      <c r="E131" s="12" t="s">
        <v>389</v>
      </c>
      <c r="F131" s="3" t="s">
        <v>92</v>
      </c>
      <c r="G131" s="107">
        <v>0</v>
      </c>
      <c r="H131" s="107"/>
      <c r="I131" s="107">
        <f>G131+H131</f>
        <v>0</v>
      </c>
      <c r="J131" s="55">
        <v>0</v>
      </c>
      <c r="K131" s="85">
        <f t="shared" si="15"/>
        <v>0</v>
      </c>
    </row>
    <row r="132" spans="1:11" hidden="1" x14ac:dyDescent="0.2">
      <c r="A132" s="16" t="s">
        <v>93</v>
      </c>
      <c r="B132" s="3" t="s">
        <v>77</v>
      </c>
      <c r="C132" s="3" t="s">
        <v>15</v>
      </c>
      <c r="D132" s="3" t="s">
        <v>94</v>
      </c>
      <c r="E132" s="12"/>
      <c r="F132" s="3"/>
      <c r="G132" s="107">
        <f>G133</f>
        <v>0</v>
      </c>
      <c r="H132" s="107">
        <f t="shared" ref="H132:I134" si="22">H133</f>
        <v>0</v>
      </c>
      <c r="I132" s="107">
        <f t="shared" si="22"/>
        <v>0</v>
      </c>
      <c r="K132" s="85">
        <f t="shared" si="15"/>
        <v>0</v>
      </c>
    </row>
    <row r="133" spans="1:11" ht="51" hidden="1" x14ac:dyDescent="0.2">
      <c r="A133" s="5" t="s">
        <v>80</v>
      </c>
      <c r="B133" s="3" t="s">
        <v>77</v>
      </c>
      <c r="C133" s="3" t="s">
        <v>15</v>
      </c>
      <c r="D133" s="3" t="s">
        <v>94</v>
      </c>
      <c r="E133" s="3" t="s">
        <v>81</v>
      </c>
      <c r="F133" s="3"/>
      <c r="G133" s="107">
        <f>G134</f>
        <v>0</v>
      </c>
      <c r="H133" s="107">
        <f t="shared" si="22"/>
        <v>0</v>
      </c>
      <c r="I133" s="107">
        <f t="shared" si="22"/>
        <v>0</v>
      </c>
      <c r="K133" s="85">
        <f t="shared" si="15"/>
        <v>0</v>
      </c>
    </row>
    <row r="134" spans="1:11" ht="51" hidden="1" x14ac:dyDescent="0.2">
      <c r="A134" s="7" t="s">
        <v>103</v>
      </c>
      <c r="B134" s="3" t="s">
        <v>77</v>
      </c>
      <c r="C134" s="3" t="s">
        <v>15</v>
      </c>
      <c r="D134" s="3" t="s">
        <v>94</v>
      </c>
      <c r="E134" s="3" t="s">
        <v>104</v>
      </c>
      <c r="F134" s="3"/>
      <c r="G134" s="107">
        <f>G135</f>
        <v>0</v>
      </c>
      <c r="H134" s="107">
        <f t="shared" si="22"/>
        <v>0</v>
      </c>
      <c r="I134" s="107">
        <f t="shared" si="22"/>
        <v>0</v>
      </c>
      <c r="K134" s="85">
        <f t="shared" si="15"/>
        <v>0</v>
      </c>
    </row>
    <row r="135" spans="1:11" ht="51" hidden="1" x14ac:dyDescent="0.2">
      <c r="A135" s="69" t="s">
        <v>358</v>
      </c>
      <c r="B135" s="3" t="s">
        <v>77</v>
      </c>
      <c r="C135" s="3" t="s">
        <v>15</v>
      </c>
      <c r="D135" s="3" t="s">
        <v>94</v>
      </c>
      <c r="E135" s="3" t="s">
        <v>359</v>
      </c>
      <c r="F135" s="3"/>
      <c r="G135" s="107">
        <f>G136</f>
        <v>0</v>
      </c>
      <c r="H135" s="107">
        <f>H136</f>
        <v>0</v>
      </c>
      <c r="I135" s="107">
        <f>I136</f>
        <v>0</v>
      </c>
      <c r="K135" s="85">
        <f t="shared" si="15"/>
        <v>0</v>
      </c>
    </row>
    <row r="136" spans="1:11" ht="25.5" hidden="1" x14ac:dyDescent="0.2">
      <c r="A136" s="14" t="s">
        <v>59</v>
      </c>
      <c r="B136" s="3" t="s">
        <v>77</v>
      </c>
      <c r="C136" s="3" t="s">
        <v>15</v>
      </c>
      <c r="D136" s="3" t="s">
        <v>94</v>
      </c>
      <c r="E136" s="3" t="s">
        <v>359</v>
      </c>
      <c r="F136" s="3" t="s">
        <v>60</v>
      </c>
      <c r="G136" s="107"/>
      <c r="H136" s="107"/>
      <c r="I136" s="107">
        <f>G136+H136</f>
        <v>0</v>
      </c>
      <c r="K136" s="85">
        <f t="shared" si="15"/>
        <v>0</v>
      </c>
    </row>
    <row r="137" spans="1:11" s="108" customFormat="1" x14ac:dyDescent="0.2">
      <c r="A137" s="14" t="s">
        <v>96</v>
      </c>
      <c r="B137" s="3" t="s">
        <v>77</v>
      </c>
      <c r="C137" s="3" t="s">
        <v>72</v>
      </c>
      <c r="D137" s="3"/>
      <c r="E137" s="3"/>
      <c r="F137" s="3"/>
      <c r="G137" s="107">
        <f>G138</f>
        <v>0</v>
      </c>
      <c r="H137" s="107">
        <f t="shared" ref="H137:I143" si="23">H138</f>
        <v>1301.3009999999999</v>
      </c>
      <c r="I137" s="107">
        <f t="shared" si="23"/>
        <v>1301.3009999999999</v>
      </c>
      <c r="K137" s="85">
        <f t="shared" si="15"/>
        <v>1301.3009999999999</v>
      </c>
    </row>
    <row r="138" spans="1:11" s="108" customFormat="1" ht="25.5" x14ac:dyDescent="0.2">
      <c r="A138" s="15" t="s">
        <v>178</v>
      </c>
      <c r="B138" s="3" t="s">
        <v>77</v>
      </c>
      <c r="C138" s="3" t="s">
        <v>72</v>
      </c>
      <c r="D138" s="3" t="s">
        <v>98</v>
      </c>
      <c r="E138" s="3"/>
      <c r="F138" s="3"/>
      <c r="G138" s="110">
        <f>G139</f>
        <v>0</v>
      </c>
      <c r="H138" s="110">
        <f t="shared" si="23"/>
        <v>1301.3009999999999</v>
      </c>
      <c r="I138" s="110">
        <f t="shared" si="23"/>
        <v>1301.3009999999999</v>
      </c>
      <c r="K138" s="85">
        <f t="shared" si="15"/>
        <v>1301.3009999999999</v>
      </c>
    </row>
    <row r="139" spans="1:11" s="108" customFormat="1" ht="38.25" x14ac:dyDescent="0.2">
      <c r="A139" s="5" t="s">
        <v>137</v>
      </c>
      <c r="B139" s="3" t="s">
        <v>77</v>
      </c>
      <c r="C139" s="3" t="s">
        <v>72</v>
      </c>
      <c r="D139" s="3" t="s">
        <v>98</v>
      </c>
      <c r="E139" s="3" t="s">
        <v>138</v>
      </c>
      <c r="F139" s="3"/>
      <c r="G139" s="110">
        <f>G140</f>
        <v>0</v>
      </c>
      <c r="H139" s="110">
        <f t="shared" si="23"/>
        <v>1301.3009999999999</v>
      </c>
      <c r="I139" s="110">
        <f t="shared" si="23"/>
        <v>1301.3009999999999</v>
      </c>
      <c r="K139" s="85">
        <f t="shared" si="15"/>
        <v>1301.3009999999999</v>
      </c>
    </row>
    <row r="140" spans="1:11" s="108" customFormat="1" ht="51" x14ac:dyDescent="0.2">
      <c r="A140" s="7" t="s">
        <v>179</v>
      </c>
      <c r="B140" s="3" t="s">
        <v>77</v>
      </c>
      <c r="C140" s="3" t="s">
        <v>72</v>
      </c>
      <c r="D140" s="3" t="s">
        <v>98</v>
      </c>
      <c r="E140" s="3" t="s">
        <v>180</v>
      </c>
      <c r="F140" s="3"/>
      <c r="G140" s="110">
        <f>G141+G143</f>
        <v>0</v>
      </c>
      <c r="H140" s="110">
        <f>H141+H143</f>
        <v>1301.3009999999999</v>
      </c>
      <c r="I140" s="110">
        <f t="shared" ref="I140" si="24">I141+I143</f>
        <v>1301.3009999999999</v>
      </c>
      <c r="K140" s="85">
        <f t="shared" si="15"/>
        <v>1301.3009999999999</v>
      </c>
    </row>
    <row r="141" spans="1:11" s="108" customFormat="1" ht="38.25" x14ac:dyDescent="0.2">
      <c r="A141" s="7" t="s">
        <v>181</v>
      </c>
      <c r="B141" s="3" t="s">
        <v>77</v>
      </c>
      <c r="C141" s="3" t="s">
        <v>72</v>
      </c>
      <c r="D141" s="3" t="s">
        <v>98</v>
      </c>
      <c r="E141" s="3" t="s">
        <v>182</v>
      </c>
      <c r="F141" s="3"/>
      <c r="G141" s="110">
        <f>G142</f>
        <v>0</v>
      </c>
      <c r="H141" s="110">
        <f t="shared" ref="H141:I141" si="25">H142</f>
        <v>1.3009999999999999</v>
      </c>
      <c r="I141" s="110">
        <f t="shared" si="25"/>
        <v>1.3009999999999999</v>
      </c>
      <c r="K141" s="85"/>
    </row>
    <row r="142" spans="1:11" s="108" customFormat="1" ht="38.25" x14ac:dyDescent="0.2">
      <c r="A142" s="15" t="s">
        <v>99</v>
      </c>
      <c r="B142" s="3" t="s">
        <v>77</v>
      </c>
      <c r="C142" s="3" t="s">
        <v>72</v>
      </c>
      <c r="D142" s="3" t="s">
        <v>98</v>
      </c>
      <c r="E142" s="3" t="s">
        <v>500</v>
      </c>
      <c r="F142" s="3" t="s">
        <v>100</v>
      </c>
      <c r="G142" s="110"/>
      <c r="H142" s="110">
        <v>1.3009999999999999</v>
      </c>
      <c r="I142" s="110">
        <f>G142+H142</f>
        <v>1.3009999999999999</v>
      </c>
      <c r="K142" s="85"/>
    </row>
    <row r="143" spans="1:11" s="108" customFormat="1" ht="25.5" x14ac:dyDescent="0.2">
      <c r="A143" s="14" t="s">
        <v>501</v>
      </c>
      <c r="B143" s="3" t="s">
        <v>77</v>
      </c>
      <c r="C143" s="3" t="s">
        <v>72</v>
      </c>
      <c r="D143" s="3" t="s">
        <v>98</v>
      </c>
      <c r="E143" s="3" t="s">
        <v>500</v>
      </c>
      <c r="F143" s="3"/>
      <c r="G143" s="107">
        <f>G144</f>
        <v>0</v>
      </c>
      <c r="H143" s="107">
        <f t="shared" si="23"/>
        <v>1300</v>
      </c>
      <c r="I143" s="107">
        <f t="shared" si="23"/>
        <v>1300</v>
      </c>
      <c r="K143" s="85">
        <f t="shared" si="15"/>
        <v>1300</v>
      </c>
    </row>
    <row r="144" spans="1:11" s="108" customFormat="1" ht="38.25" x14ac:dyDescent="0.2">
      <c r="A144" s="15" t="s">
        <v>99</v>
      </c>
      <c r="B144" s="3" t="s">
        <v>77</v>
      </c>
      <c r="C144" s="3" t="s">
        <v>72</v>
      </c>
      <c r="D144" s="3" t="s">
        <v>98</v>
      </c>
      <c r="E144" s="3" t="s">
        <v>500</v>
      </c>
      <c r="F144" s="3" t="s">
        <v>100</v>
      </c>
      <c r="G144" s="110"/>
      <c r="H144" s="110">
        <v>1300</v>
      </c>
      <c r="I144" s="110">
        <f>G144+H144</f>
        <v>1300</v>
      </c>
      <c r="J144" s="108">
        <v>1300</v>
      </c>
      <c r="K144" s="85">
        <f t="shared" si="15"/>
        <v>0</v>
      </c>
    </row>
    <row r="145" spans="1:11" ht="25.5" x14ac:dyDescent="0.2">
      <c r="A145" s="16" t="s">
        <v>101</v>
      </c>
      <c r="B145" s="3" t="s">
        <v>77</v>
      </c>
      <c r="C145" s="3" t="s">
        <v>94</v>
      </c>
      <c r="D145" s="3"/>
      <c r="E145" s="3"/>
      <c r="F145" s="3"/>
      <c r="G145" s="107">
        <f t="shared" ref="G145:I149" si="26">G146</f>
        <v>227</v>
      </c>
      <c r="H145" s="107">
        <f t="shared" si="26"/>
        <v>-6.0017100000000001</v>
      </c>
      <c r="I145" s="107">
        <f t="shared" si="26"/>
        <v>220.99829</v>
      </c>
      <c r="K145" s="85">
        <f t="shared" si="15"/>
        <v>220.99829</v>
      </c>
    </row>
    <row r="146" spans="1:11" ht="25.5" x14ac:dyDescent="0.2">
      <c r="A146" s="16" t="s">
        <v>102</v>
      </c>
      <c r="B146" s="3" t="s">
        <v>77</v>
      </c>
      <c r="C146" s="3" t="s">
        <v>94</v>
      </c>
      <c r="D146" s="3" t="s">
        <v>15</v>
      </c>
      <c r="E146" s="3"/>
      <c r="F146" s="3"/>
      <c r="G146" s="107">
        <f t="shared" si="26"/>
        <v>227</v>
      </c>
      <c r="H146" s="107">
        <f t="shared" si="26"/>
        <v>-6.0017100000000001</v>
      </c>
      <c r="I146" s="107">
        <f t="shared" si="26"/>
        <v>220.99829</v>
      </c>
      <c r="K146" s="85">
        <f t="shared" si="15"/>
        <v>220.99829</v>
      </c>
    </row>
    <row r="147" spans="1:11" ht="51" x14ac:dyDescent="0.2">
      <c r="A147" s="5" t="s">
        <v>80</v>
      </c>
      <c r="B147" s="3" t="s">
        <v>77</v>
      </c>
      <c r="C147" s="3" t="s">
        <v>94</v>
      </c>
      <c r="D147" s="3" t="s">
        <v>15</v>
      </c>
      <c r="E147" s="3" t="s">
        <v>81</v>
      </c>
      <c r="F147" s="3"/>
      <c r="G147" s="107">
        <f t="shared" si="26"/>
        <v>227</v>
      </c>
      <c r="H147" s="107">
        <f t="shared" si="26"/>
        <v>-6.0017100000000001</v>
      </c>
      <c r="I147" s="107">
        <f t="shared" si="26"/>
        <v>220.99829</v>
      </c>
      <c r="K147" s="85">
        <f t="shared" si="15"/>
        <v>220.99829</v>
      </c>
    </row>
    <row r="148" spans="1:11" ht="43.5" customHeight="1" x14ac:dyDescent="0.2">
      <c r="A148" s="7" t="s">
        <v>103</v>
      </c>
      <c r="B148" s="3" t="s">
        <v>77</v>
      </c>
      <c r="C148" s="3" t="s">
        <v>94</v>
      </c>
      <c r="D148" s="3" t="s">
        <v>15</v>
      </c>
      <c r="E148" s="3" t="s">
        <v>104</v>
      </c>
      <c r="F148" s="3"/>
      <c r="G148" s="107">
        <f t="shared" si="26"/>
        <v>227</v>
      </c>
      <c r="H148" s="107">
        <f t="shared" si="26"/>
        <v>-6.0017100000000001</v>
      </c>
      <c r="I148" s="107">
        <f t="shared" si="26"/>
        <v>220.99829</v>
      </c>
      <c r="K148" s="85">
        <f t="shared" si="15"/>
        <v>220.99829</v>
      </c>
    </row>
    <row r="149" spans="1:11" ht="41.25" customHeight="1" x14ac:dyDescent="0.2">
      <c r="A149" s="7" t="s">
        <v>105</v>
      </c>
      <c r="B149" s="3" t="s">
        <v>77</v>
      </c>
      <c r="C149" s="3" t="s">
        <v>94</v>
      </c>
      <c r="D149" s="3" t="s">
        <v>15</v>
      </c>
      <c r="E149" s="3" t="s">
        <v>106</v>
      </c>
      <c r="F149" s="3"/>
      <c r="G149" s="107">
        <f>G150</f>
        <v>227</v>
      </c>
      <c r="H149" s="107">
        <f t="shared" si="26"/>
        <v>-6.0017100000000001</v>
      </c>
      <c r="I149" s="107">
        <f t="shared" si="26"/>
        <v>220.99829</v>
      </c>
      <c r="K149" s="85">
        <f t="shared" si="15"/>
        <v>220.99829</v>
      </c>
    </row>
    <row r="150" spans="1:11" x14ac:dyDescent="0.2">
      <c r="A150" s="10" t="s">
        <v>390</v>
      </c>
      <c r="B150" s="3" t="s">
        <v>77</v>
      </c>
      <c r="C150" s="3" t="s">
        <v>94</v>
      </c>
      <c r="D150" s="3" t="s">
        <v>15</v>
      </c>
      <c r="E150" s="3" t="s">
        <v>106</v>
      </c>
      <c r="F150" s="3" t="s">
        <v>391</v>
      </c>
      <c r="G150" s="107">
        <v>227</v>
      </c>
      <c r="H150" s="107">
        <v>-6.0017100000000001</v>
      </c>
      <c r="I150" s="107">
        <f>G150+H150</f>
        <v>220.99829</v>
      </c>
      <c r="J150" s="55">
        <v>227</v>
      </c>
      <c r="K150" s="85">
        <f t="shared" si="15"/>
        <v>-6.0017100000000028</v>
      </c>
    </row>
    <row r="151" spans="1:11" x14ac:dyDescent="0.2">
      <c r="A151" s="10" t="s">
        <v>107</v>
      </c>
      <c r="B151" s="3" t="s">
        <v>77</v>
      </c>
      <c r="C151" s="3"/>
      <c r="D151" s="3"/>
      <c r="E151" s="3"/>
      <c r="F151" s="3"/>
      <c r="G151" s="107">
        <f>G157+G224+G163+G172+G186+G152+G207</f>
        <v>34155.647880000004</v>
      </c>
      <c r="H151" s="107">
        <f>H157+H224+H163+H172+H186+H152+H207</f>
        <v>1608.5</v>
      </c>
      <c r="I151" s="107">
        <f>I157+I224+I163+I172+I186+I152+I207</f>
        <v>35764.147879999997</v>
      </c>
      <c r="K151" s="85">
        <f t="shared" si="15"/>
        <v>35764.147879999997</v>
      </c>
    </row>
    <row r="152" spans="1:11" hidden="1" x14ac:dyDescent="0.2">
      <c r="A152" s="4" t="s">
        <v>78</v>
      </c>
      <c r="B152" s="3" t="s">
        <v>77</v>
      </c>
      <c r="C152" s="3" t="s">
        <v>15</v>
      </c>
      <c r="D152" s="3"/>
      <c r="E152" s="3"/>
      <c r="F152" s="3"/>
      <c r="G152" s="107">
        <f>G153</f>
        <v>0</v>
      </c>
      <c r="H152" s="107">
        <f t="shared" ref="H152:I155" si="27">H153</f>
        <v>0</v>
      </c>
      <c r="I152" s="107">
        <f t="shared" si="27"/>
        <v>0</v>
      </c>
      <c r="K152" s="85">
        <f t="shared" si="15"/>
        <v>0</v>
      </c>
    </row>
    <row r="153" spans="1:11" ht="51" hidden="1" x14ac:dyDescent="0.2">
      <c r="A153" s="15" t="s">
        <v>79</v>
      </c>
      <c r="B153" s="3" t="s">
        <v>77</v>
      </c>
      <c r="C153" s="3" t="s">
        <v>15</v>
      </c>
      <c r="D153" s="3" t="s">
        <v>72</v>
      </c>
      <c r="E153" s="3"/>
      <c r="F153" s="3"/>
      <c r="G153" s="107">
        <f>G154</f>
        <v>0</v>
      </c>
      <c r="H153" s="107">
        <f t="shared" si="27"/>
        <v>0</v>
      </c>
      <c r="I153" s="107">
        <f t="shared" si="27"/>
        <v>0</v>
      </c>
      <c r="K153" s="85">
        <f t="shared" si="15"/>
        <v>0</v>
      </c>
    </row>
    <row r="154" spans="1:11" hidden="1" x14ac:dyDescent="0.2">
      <c r="A154" s="12" t="s">
        <v>88</v>
      </c>
      <c r="B154" s="3" t="s">
        <v>77</v>
      </c>
      <c r="C154" s="3" t="s">
        <v>15</v>
      </c>
      <c r="D154" s="3" t="s">
        <v>72</v>
      </c>
      <c r="E154" s="3" t="s">
        <v>89</v>
      </c>
      <c r="F154" s="3"/>
      <c r="G154" s="107">
        <f>G155</f>
        <v>0</v>
      </c>
      <c r="H154" s="107">
        <f t="shared" si="27"/>
        <v>0</v>
      </c>
      <c r="I154" s="107">
        <f t="shared" si="27"/>
        <v>0</v>
      </c>
      <c r="K154" s="85">
        <f t="shared" si="15"/>
        <v>0</v>
      </c>
    </row>
    <row r="155" spans="1:11" ht="63.75" hidden="1" x14ac:dyDescent="0.2">
      <c r="A155" s="90" t="s">
        <v>418</v>
      </c>
      <c r="B155" s="3" t="s">
        <v>77</v>
      </c>
      <c r="C155" s="3" t="s">
        <v>15</v>
      </c>
      <c r="D155" s="3" t="s">
        <v>72</v>
      </c>
      <c r="E155" s="3" t="s">
        <v>417</v>
      </c>
      <c r="F155" s="3"/>
      <c r="G155" s="107">
        <f>G156</f>
        <v>0</v>
      </c>
      <c r="H155" s="107">
        <f t="shared" si="27"/>
        <v>0</v>
      </c>
      <c r="I155" s="107">
        <f t="shared" si="27"/>
        <v>0</v>
      </c>
      <c r="K155" s="85">
        <f t="shared" si="15"/>
        <v>0</v>
      </c>
    </row>
    <row r="156" spans="1:11" hidden="1" x14ac:dyDescent="0.2">
      <c r="A156" s="39" t="s">
        <v>406</v>
      </c>
      <c r="B156" s="3" t="s">
        <v>77</v>
      </c>
      <c r="C156" s="3" t="s">
        <v>15</v>
      </c>
      <c r="D156" s="3" t="s">
        <v>72</v>
      </c>
      <c r="E156" s="3" t="s">
        <v>417</v>
      </c>
      <c r="F156" s="3" t="s">
        <v>407</v>
      </c>
      <c r="G156" s="107"/>
      <c r="H156" s="107">
        <f>10-10</f>
        <v>0</v>
      </c>
      <c r="I156" s="107">
        <f>G156+H156</f>
        <v>0</v>
      </c>
      <c r="K156" s="85">
        <f t="shared" si="15"/>
        <v>0</v>
      </c>
    </row>
    <row r="157" spans="1:11" x14ac:dyDescent="0.2">
      <c r="A157" s="16" t="s">
        <v>108</v>
      </c>
      <c r="B157" s="3" t="s">
        <v>77</v>
      </c>
      <c r="C157" s="3" t="s">
        <v>29</v>
      </c>
      <c r="D157" s="3" t="s">
        <v>109</v>
      </c>
      <c r="E157" s="3"/>
      <c r="F157" s="3"/>
      <c r="G157" s="107">
        <f t="shared" ref="G157:I158" si="28">G158</f>
        <v>465.2</v>
      </c>
      <c r="H157" s="107">
        <f t="shared" si="28"/>
        <v>52</v>
      </c>
      <c r="I157" s="107">
        <f t="shared" si="28"/>
        <v>517.20000000000005</v>
      </c>
      <c r="K157" s="85">
        <f t="shared" si="15"/>
        <v>517.20000000000005</v>
      </c>
    </row>
    <row r="158" spans="1:11" x14ac:dyDescent="0.2">
      <c r="A158" s="4" t="s">
        <v>110</v>
      </c>
      <c r="B158" s="3" t="s">
        <v>77</v>
      </c>
      <c r="C158" s="3" t="s">
        <v>29</v>
      </c>
      <c r="D158" s="3" t="s">
        <v>111</v>
      </c>
      <c r="E158" s="3"/>
      <c r="F158" s="3"/>
      <c r="G158" s="107">
        <f t="shared" si="28"/>
        <v>465.2</v>
      </c>
      <c r="H158" s="107">
        <f t="shared" si="28"/>
        <v>52</v>
      </c>
      <c r="I158" s="107">
        <f t="shared" si="28"/>
        <v>517.20000000000005</v>
      </c>
      <c r="K158" s="85">
        <f t="shared" si="15"/>
        <v>517.20000000000005</v>
      </c>
    </row>
    <row r="159" spans="1:11" ht="51" x14ac:dyDescent="0.2">
      <c r="A159" s="5" t="s">
        <v>80</v>
      </c>
      <c r="B159" s="3" t="s">
        <v>77</v>
      </c>
      <c r="C159" s="3" t="s">
        <v>29</v>
      </c>
      <c r="D159" s="3" t="s">
        <v>111</v>
      </c>
      <c r="E159" s="3" t="s">
        <v>81</v>
      </c>
      <c r="F159" s="3"/>
      <c r="G159" s="107">
        <f>G160</f>
        <v>465.2</v>
      </c>
      <c r="H159" s="107">
        <f t="shared" ref="H159:I161" si="29">H160</f>
        <v>52</v>
      </c>
      <c r="I159" s="107">
        <f t="shared" si="29"/>
        <v>517.20000000000005</v>
      </c>
      <c r="K159" s="85">
        <f t="shared" si="15"/>
        <v>517.20000000000005</v>
      </c>
    </row>
    <row r="160" spans="1:11" ht="45" customHeight="1" x14ac:dyDescent="0.2">
      <c r="A160" s="7" t="s">
        <v>103</v>
      </c>
      <c r="B160" s="3" t="s">
        <v>77</v>
      </c>
      <c r="C160" s="3" t="s">
        <v>29</v>
      </c>
      <c r="D160" s="3" t="s">
        <v>111</v>
      </c>
      <c r="E160" s="3" t="s">
        <v>104</v>
      </c>
      <c r="F160" s="3"/>
      <c r="G160" s="107">
        <f>G161</f>
        <v>465.2</v>
      </c>
      <c r="H160" s="107">
        <f t="shared" si="29"/>
        <v>52</v>
      </c>
      <c r="I160" s="107">
        <f t="shared" si="29"/>
        <v>517.20000000000005</v>
      </c>
      <c r="K160" s="85">
        <f t="shared" si="15"/>
        <v>517.20000000000005</v>
      </c>
    </row>
    <row r="161" spans="1:11" ht="38.25" x14ac:dyDescent="0.2">
      <c r="A161" s="17" t="s">
        <v>361</v>
      </c>
      <c r="B161" s="3" t="s">
        <v>77</v>
      </c>
      <c r="C161" s="3" t="s">
        <v>29</v>
      </c>
      <c r="D161" s="3" t="s">
        <v>111</v>
      </c>
      <c r="E161" s="3" t="s">
        <v>112</v>
      </c>
      <c r="F161" s="3"/>
      <c r="G161" s="107">
        <f>G162</f>
        <v>465.2</v>
      </c>
      <c r="H161" s="107">
        <f t="shared" si="29"/>
        <v>52</v>
      </c>
      <c r="I161" s="107">
        <f t="shared" si="29"/>
        <v>517.20000000000005</v>
      </c>
      <c r="K161" s="85">
        <f t="shared" si="15"/>
        <v>517.20000000000005</v>
      </c>
    </row>
    <row r="162" spans="1:11" x14ac:dyDescent="0.2">
      <c r="A162" s="18" t="s">
        <v>113</v>
      </c>
      <c r="B162" s="3" t="s">
        <v>77</v>
      </c>
      <c r="C162" s="3" t="s">
        <v>29</v>
      </c>
      <c r="D162" s="3" t="s">
        <v>111</v>
      </c>
      <c r="E162" s="3" t="s">
        <v>114</v>
      </c>
      <c r="F162" s="3" t="s">
        <v>115</v>
      </c>
      <c r="G162" s="107">
        <v>465.2</v>
      </c>
      <c r="H162" s="107">
        <v>52</v>
      </c>
      <c r="I162" s="107">
        <f>G162+H162</f>
        <v>517.20000000000005</v>
      </c>
      <c r="J162" s="55">
        <v>517.20000000000005</v>
      </c>
      <c r="K162" s="85">
        <f t="shared" si="15"/>
        <v>0</v>
      </c>
    </row>
    <row r="163" spans="1:11" ht="25.5" x14ac:dyDescent="0.2">
      <c r="A163" s="15" t="s">
        <v>152</v>
      </c>
      <c r="B163" s="92" t="s">
        <v>77</v>
      </c>
      <c r="C163" s="92" t="s">
        <v>111</v>
      </c>
      <c r="D163" s="92" t="s">
        <v>109</v>
      </c>
      <c r="E163" s="92"/>
      <c r="F163" s="92"/>
      <c r="G163" s="107">
        <f>G164</f>
        <v>10</v>
      </c>
      <c r="H163" s="107">
        <f t="shared" ref="H163:I166" si="30">H164</f>
        <v>0</v>
      </c>
      <c r="I163" s="107">
        <f t="shared" si="30"/>
        <v>10</v>
      </c>
      <c r="K163" s="85">
        <f t="shared" si="15"/>
        <v>10</v>
      </c>
    </row>
    <row r="164" spans="1:11" ht="38.25" x14ac:dyDescent="0.2">
      <c r="A164" s="15" t="s">
        <v>153</v>
      </c>
      <c r="B164" s="92" t="s">
        <v>77</v>
      </c>
      <c r="C164" s="92" t="s">
        <v>111</v>
      </c>
      <c r="D164" s="92" t="s">
        <v>50</v>
      </c>
      <c r="E164" s="92"/>
      <c r="F164" s="92"/>
      <c r="G164" s="107">
        <f>G165+G169</f>
        <v>10</v>
      </c>
      <c r="H164" s="107">
        <f t="shared" ref="H164:I164" si="31">H165+H169</f>
        <v>0</v>
      </c>
      <c r="I164" s="107">
        <f t="shared" si="31"/>
        <v>10</v>
      </c>
      <c r="K164" s="85">
        <f t="shared" ref="K164:K230" si="32">I164-J164</f>
        <v>10</v>
      </c>
    </row>
    <row r="165" spans="1:11" ht="51" x14ac:dyDescent="0.2">
      <c r="A165" s="5" t="s">
        <v>154</v>
      </c>
      <c r="B165" s="3" t="s">
        <v>77</v>
      </c>
      <c r="C165" s="3" t="s">
        <v>111</v>
      </c>
      <c r="D165" s="3" t="s">
        <v>50</v>
      </c>
      <c r="E165" s="6" t="s">
        <v>155</v>
      </c>
      <c r="F165" s="3"/>
      <c r="G165" s="107">
        <f>G166</f>
        <v>10</v>
      </c>
      <c r="H165" s="107">
        <f t="shared" si="30"/>
        <v>-10</v>
      </c>
      <c r="I165" s="107">
        <f t="shared" si="30"/>
        <v>0</v>
      </c>
      <c r="K165" s="85">
        <f t="shared" si="32"/>
        <v>0</v>
      </c>
    </row>
    <row r="166" spans="1:11" ht="38.25" x14ac:dyDescent="0.2">
      <c r="A166" s="7" t="s">
        <v>156</v>
      </c>
      <c r="B166" s="3" t="s">
        <v>77</v>
      </c>
      <c r="C166" s="3" t="s">
        <v>111</v>
      </c>
      <c r="D166" s="3" t="s">
        <v>50</v>
      </c>
      <c r="E166" s="6" t="s">
        <v>157</v>
      </c>
      <c r="F166" s="3"/>
      <c r="G166" s="107">
        <f>G167</f>
        <v>10</v>
      </c>
      <c r="H166" s="107">
        <f t="shared" si="30"/>
        <v>-10</v>
      </c>
      <c r="I166" s="107">
        <f t="shared" si="30"/>
        <v>0</v>
      </c>
      <c r="K166" s="85">
        <f t="shared" si="32"/>
        <v>0</v>
      </c>
    </row>
    <row r="167" spans="1:11" ht="63.75" x14ac:dyDescent="0.2">
      <c r="A167" s="7" t="s">
        <v>158</v>
      </c>
      <c r="B167" s="3" t="s">
        <v>77</v>
      </c>
      <c r="C167" s="3" t="s">
        <v>111</v>
      </c>
      <c r="D167" s="3" t="s">
        <v>50</v>
      </c>
      <c r="E167" s="20" t="s">
        <v>159</v>
      </c>
      <c r="F167" s="3"/>
      <c r="G167" s="107">
        <f>G168</f>
        <v>10</v>
      </c>
      <c r="H167" s="107">
        <f>H168</f>
        <v>-10</v>
      </c>
      <c r="I167" s="107">
        <f>I168</f>
        <v>0</v>
      </c>
      <c r="K167" s="85">
        <f t="shared" si="32"/>
        <v>0</v>
      </c>
    </row>
    <row r="168" spans="1:11" x14ac:dyDescent="0.2">
      <c r="A168" s="39" t="s">
        <v>406</v>
      </c>
      <c r="B168" s="3" t="s">
        <v>77</v>
      </c>
      <c r="C168" s="3" t="s">
        <v>111</v>
      </c>
      <c r="D168" s="3" t="s">
        <v>50</v>
      </c>
      <c r="E168" s="20" t="s">
        <v>159</v>
      </c>
      <c r="F168" s="3" t="s">
        <v>407</v>
      </c>
      <c r="G168" s="107">
        <v>10</v>
      </c>
      <c r="H168" s="107">
        <v>-10</v>
      </c>
      <c r="I168" s="107">
        <f>G168+H168</f>
        <v>0</v>
      </c>
      <c r="J168" s="55">
        <v>10</v>
      </c>
      <c r="K168" s="85">
        <f t="shared" si="32"/>
        <v>-10</v>
      </c>
    </row>
    <row r="169" spans="1:11" x14ac:dyDescent="0.2">
      <c r="A169" s="12" t="s">
        <v>88</v>
      </c>
      <c r="B169" s="3" t="s">
        <v>77</v>
      </c>
      <c r="C169" s="3" t="s">
        <v>111</v>
      </c>
      <c r="D169" s="3" t="s">
        <v>50</v>
      </c>
      <c r="E169" s="20" t="s">
        <v>89</v>
      </c>
      <c r="F169" s="3"/>
      <c r="G169" s="107">
        <f>G170</f>
        <v>0</v>
      </c>
      <c r="H169" s="107">
        <f t="shared" ref="H169:I170" si="33">H170</f>
        <v>10</v>
      </c>
      <c r="I169" s="107">
        <f t="shared" si="33"/>
        <v>10</v>
      </c>
      <c r="K169" s="85"/>
    </row>
    <row r="170" spans="1:11" x14ac:dyDescent="0.2">
      <c r="A170" s="102" t="s">
        <v>456</v>
      </c>
      <c r="B170" s="3" t="s">
        <v>77</v>
      </c>
      <c r="C170" s="3" t="s">
        <v>111</v>
      </c>
      <c r="D170" s="3" t="s">
        <v>50</v>
      </c>
      <c r="E170" s="20" t="s">
        <v>399</v>
      </c>
      <c r="F170" s="3"/>
      <c r="G170" s="107">
        <f>G171</f>
        <v>0</v>
      </c>
      <c r="H170" s="107">
        <f t="shared" si="33"/>
        <v>10</v>
      </c>
      <c r="I170" s="107">
        <f t="shared" si="33"/>
        <v>10</v>
      </c>
      <c r="K170" s="85"/>
    </row>
    <row r="171" spans="1:11" x14ac:dyDescent="0.2">
      <c r="A171" s="39" t="s">
        <v>406</v>
      </c>
      <c r="B171" s="3" t="s">
        <v>77</v>
      </c>
      <c r="C171" s="3" t="s">
        <v>111</v>
      </c>
      <c r="D171" s="3" t="s">
        <v>50</v>
      </c>
      <c r="E171" s="20" t="s">
        <v>399</v>
      </c>
      <c r="F171" s="3" t="s">
        <v>407</v>
      </c>
      <c r="G171" s="107"/>
      <c r="H171" s="107">
        <v>10</v>
      </c>
      <c r="I171" s="107">
        <f>G171+H171</f>
        <v>10</v>
      </c>
      <c r="K171" s="85"/>
    </row>
    <row r="172" spans="1:11" x14ac:dyDescent="0.2">
      <c r="A172" s="18" t="s">
        <v>96</v>
      </c>
      <c r="B172" s="92" t="s">
        <v>77</v>
      </c>
      <c r="C172" s="92" t="s">
        <v>72</v>
      </c>
      <c r="D172" s="92" t="s">
        <v>109</v>
      </c>
      <c r="E172" s="92"/>
      <c r="F172" s="92"/>
      <c r="G172" s="107">
        <f>G173+G182</f>
        <v>454.35710999999998</v>
      </c>
      <c r="H172" s="107">
        <f>H173+H182</f>
        <v>300</v>
      </c>
      <c r="I172" s="107">
        <f>I173+I182</f>
        <v>754.35710999999992</v>
      </c>
      <c r="K172" s="85">
        <f t="shared" si="32"/>
        <v>754.35710999999992</v>
      </c>
    </row>
    <row r="173" spans="1:11" x14ac:dyDescent="0.2">
      <c r="A173" s="18" t="s">
        <v>408</v>
      </c>
      <c r="B173" s="92" t="s">
        <v>77</v>
      </c>
      <c r="C173" s="92" t="s">
        <v>72</v>
      </c>
      <c r="D173" s="92" t="s">
        <v>50</v>
      </c>
      <c r="E173" s="92"/>
      <c r="F173" s="92"/>
      <c r="G173" s="107">
        <f>G174+G179</f>
        <v>386.35710999999998</v>
      </c>
      <c r="H173" s="107">
        <f>H174+H179</f>
        <v>300</v>
      </c>
      <c r="I173" s="107">
        <f>I174+I179</f>
        <v>686.35710999999992</v>
      </c>
      <c r="K173" s="85">
        <f t="shared" si="32"/>
        <v>686.35710999999992</v>
      </c>
    </row>
    <row r="174" spans="1:11" ht="51" x14ac:dyDescent="0.2">
      <c r="A174" s="23" t="s">
        <v>154</v>
      </c>
      <c r="B174" s="3" t="s">
        <v>77</v>
      </c>
      <c r="C174" s="3" t="s">
        <v>72</v>
      </c>
      <c r="D174" s="3" t="s">
        <v>50</v>
      </c>
      <c r="E174" s="3" t="s">
        <v>174</v>
      </c>
      <c r="F174" s="3"/>
      <c r="G174" s="107">
        <f t="shared" ref="G174:G184" si="34">G175</f>
        <v>0</v>
      </c>
      <c r="H174" s="107">
        <f t="shared" ref="H174:I177" si="35">H175</f>
        <v>300</v>
      </c>
      <c r="I174" s="107">
        <f t="shared" si="35"/>
        <v>300</v>
      </c>
      <c r="K174" s="85">
        <f t="shared" si="32"/>
        <v>300</v>
      </c>
    </row>
    <row r="175" spans="1:11" ht="25.5" x14ac:dyDescent="0.2">
      <c r="A175" s="23" t="s">
        <v>175</v>
      </c>
      <c r="B175" s="3" t="s">
        <v>77</v>
      </c>
      <c r="C175" s="3" t="s">
        <v>72</v>
      </c>
      <c r="D175" s="3" t="s">
        <v>50</v>
      </c>
      <c r="E175" s="3" t="s">
        <v>176</v>
      </c>
      <c r="F175" s="3"/>
      <c r="G175" s="107">
        <f t="shared" si="34"/>
        <v>0</v>
      </c>
      <c r="H175" s="107">
        <f t="shared" si="35"/>
        <v>300</v>
      </c>
      <c r="I175" s="107">
        <f t="shared" si="35"/>
        <v>300</v>
      </c>
      <c r="K175" s="85">
        <f t="shared" si="32"/>
        <v>300</v>
      </c>
    </row>
    <row r="176" spans="1:11" ht="51" x14ac:dyDescent="0.2">
      <c r="A176" s="7" t="s">
        <v>206</v>
      </c>
      <c r="B176" s="3" t="s">
        <v>77</v>
      </c>
      <c r="C176" s="3" t="s">
        <v>72</v>
      </c>
      <c r="D176" s="3" t="s">
        <v>50</v>
      </c>
      <c r="E176" s="3" t="s">
        <v>177</v>
      </c>
      <c r="F176" s="3"/>
      <c r="G176" s="107">
        <f t="shared" si="34"/>
        <v>0</v>
      </c>
      <c r="H176" s="107">
        <f t="shared" si="35"/>
        <v>300</v>
      </c>
      <c r="I176" s="107">
        <f t="shared" si="35"/>
        <v>300</v>
      </c>
      <c r="K176" s="85">
        <f t="shared" si="32"/>
        <v>300</v>
      </c>
    </row>
    <row r="177" spans="1:11" ht="25.5" x14ac:dyDescent="0.2">
      <c r="A177" s="22" t="s">
        <v>340</v>
      </c>
      <c r="B177" s="3" t="s">
        <v>77</v>
      </c>
      <c r="C177" s="3" t="s">
        <v>72</v>
      </c>
      <c r="D177" s="3" t="s">
        <v>50</v>
      </c>
      <c r="E177" s="3" t="s">
        <v>341</v>
      </c>
      <c r="F177" s="3"/>
      <c r="G177" s="107">
        <f t="shared" si="34"/>
        <v>0</v>
      </c>
      <c r="H177" s="107">
        <f t="shared" si="35"/>
        <v>300</v>
      </c>
      <c r="I177" s="107">
        <f t="shared" si="35"/>
        <v>300</v>
      </c>
      <c r="K177" s="85">
        <f t="shared" si="32"/>
        <v>300</v>
      </c>
    </row>
    <row r="178" spans="1:11" x14ac:dyDescent="0.2">
      <c r="A178" s="39" t="s">
        <v>406</v>
      </c>
      <c r="B178" s="3" t="s">
        <v>77</v>
      </c>
      <c r="C178" s="3" t="s">
        <v>72</v>
      </c>
      <c r="D178" s="3" t="s">
        <v>50</v>
      </c>
      <c r="E178" s="3" t="s">
        <v>341</v>
      </c>
      <c r="F178" s="3" t="s">
        <v>407</v>
      </c>
      <c r="G178" s="107"/>
      <c r="H178" s="107">
        <f>285+15</f>
        <v>300</v>
      </c>
      <c r="I178" s="107">
        <f>G178+H178</f>
        <v>300</v>
      </c>
      <c r="K178" s="85">
        <f t="shared" si="32"/>
        <v>300</v>
      </c>
    </row>
    <row r="179" spans="1:11" x14ac:dyDescent="0.2">
      <c r="A179" s="12" t="s">
        <v>88</v>
      </c>
      <c r="B179" s="3" t="s">
        <v>77</v>
      </c>
      <c r="C179" s="3" t="s">
        <v>72</v>
      </c>
      <c r="D179" s="3" t="s">
        <v>50</v>
      </c>
      <c r="E179" s="3" t="s">
        <v>89</v>
      </c>
      <c r="F179" s="3"/>
      <c r="G179" s="107">
        <f t="shared" ref="G179:I180" si="36">G180</f>
        <v>386.35710999999998</v>
      </c>
      <c r="H179" s="107">
        <f t="shared" si="36"/>
        <v>0</v>
      </c>
      <c r="I179" s="107">
        <f t="shared" si="36"/>
        <v>386.35710999999998</v>
      </c>
      <c r="K179" s="85">
        <f t="shared" si="32"/>
        <v>386.35710999999998</v>
      </c>
    </row>
    <row r="180" spans="1:11" ht="76.5" x14ac:dyDescent="0.2">
      <c r="A180" s="103" t="s">
        <v>464</v>
      </c>
      <c r="B180" s="3" t="s">
        <v>77</v>
      </c>
      <c r="C180" s="3" t="s">
        <v>72</v>
      </c>
      <c r="D180" s="3" t="s">
        <v>50</v>
      </c>
      <c r="E180" s="3" t="s">
        <v>463</v>
      </c>
      <c r="F180" s="3"/>
      <c r="G180" s="107">
        <f t="shared" si="36"/>
        <v>386.35710999999998</v>
      </c>
      <c r="H180" s="107">
        <f t="shared" si="36"/>
        <v>0</v>
      </c>
      <c r="I180" s="107">
        <f t="shared" si="36"/>
        <v>386.35710999999998</v>
      </c>
      <c r="K180" s="85">
        <f t="shared" si="32"/>
        <v>386.35710999999998</v>
      </c>
    </row>
    <row r="181" spans="1:11" x14ac:dyDescent="0.2">
      <c r="A181" s="39" t="s">
        <v>406</v>
      </c>
      <c r="B181" s="3" t="s">
        <v>77</v>
      </c>
      <c r="C181" s="3" t="s">
        <v>72</v>
      </c>
      <c r="D181" s="3" t="s">
        <v>50</v>
      </c>
      <c r="E181" s="3" t="s">
        <v>463</v>
      </c>
      <c r="F181" s="3" t="s">
        <v>407</v>
      </c>
      <c r="G181" s="107">
        <v>386.35710999999998</v>
      </c>
      <c r="H181" s="107"/>
      <c r="I181" s="107">
        <f>G181+H181</f>
        <v>386.35710999999998</v>
      </c>
      <c r="J181" s="55">
        <v>386.35710999999998</v>
      </c>
      <c r="K181" s="85">
        <f t="shared" si="32"/>
        <v>0</v>
      </c>
    </row>
    <row r="182" spans="1:11" ht="25.5" x14ac:dyDescent="0.2">
      <c r="A182" s="15" t="s">
        <v>178</v>
      </c>
      <c r="B182" s="3" t="s">
        <v>77</v>
      </c>
      <c r="C182" s="3" t="s">
        <v>72</v>
      </c>
      <c r="D182" s="3" t="s">
        <v>98</v>
      </c>
      <c r="E182" s="3"/>
      <c r="F182" s="3"/>
      <c r="G182" s="107">
        <f t="shared" ref="G182:I183" si="37">G183</f>
        <v>68</v>
      </c>
      <c r="H182" s="107">
        <f t="shared" si="37"/>
        <v>0</v>
      </c>
      <c r="I182" s="107">
        <f t="shared" si="37"/>
        <v>68</v>
      </c>
      <c r="K182" s="85">
        <f t="shared" si="32"/>
        <v>68</v>
      </c>
    </row>
    <row r="183" spans="1:11" x14ac:dyDescent="0.2">
      <c r="A183" s="12" t="s">
        <v>88</v>
      </c>
      <c r="B183" s="3" t="s">
        <v>77</v>
      </c>
      <c r="C183" s="3" t="s">
        <v>72</v>
      </c>
      <c r="D183" s="3" t="s">
        <v>98</v>
      </c>
      <c r="E183" s="3" t="s">
        <v>89</v>
      </c>
      <c r="F183" s="3"/>
      <c r="G183" s="107">
        <f t="shared" si="37"/>
        <v>68</v>
      </c>
      <c r="H183" s="107">
        <f t="shared" si="37"/>
        <v>0</v>
      </c>
      <c r="I183" s="107">
        <f t="shared" si="37"/>
        <v>68</v>
      </c>
      <c r="K183" s="85">
        <f t="shared" si="32"/>
        <v>68</v>
      </c>
    </row>
    <row r="184" spans="1:11" ht="25.5" x14ac:dyDescent="0.2">
      <c r="A184" s="39" t="s">
        <v>420</v>
      </c>
      <c r="B184" s="3" t="s">
        <v>77</v>
      </c>
      <c r="C184" s="3" t="s">
        <v>72</v>
      </c>
      <c r="D184" s="3" t="s">
        <v>98</v>
      </c>
      <c r="E184" s="3" t="s">
        <v>419</v>
      </c>
      <c r="F184" s="3"/>
      <c r="G184" s="107">
        <f t="shared" si="34"/>
        <v>68</v>
      </c>
      <c r="H184" s="107">
        <f>H185</f>
        <v>0</v>
      </c>
      <c r="I184" s="107">
        <f>I185</f>
        <v>68</v>
      </c>
      <c r="K184" s="85">
        <f t="shared" si="32"/>
        <v>68</v>
      </c>
    </row>
    <row r="185" spans="1:11" x14ac:dyDescent="0.2">
      <c r="A185" s="39" t="s">
        <v>406</v>
      </c>
      <c r="B185" s="3" t="s">
        <v>77</v>
      </c>
      <c r="C185" s="3" t="s">
        <v>72</v>
      </c>
      <c r="D185" s="3" t="s">
        <v>98</v>
      </c>
      <c r="E185" s="3" t="s">
        <v>419</v>
      </c>
      <c r="F185" s="3" t="s">
        <v>407</v>
      </c>
      <c r="G185" s="107">
        <v>68</v>
      </c>
      <c r="H185" s="107"/>
      <c r="I185" s="107">
        <f>G185+H185</f>
        <v>68</v>
      </c>
      <c r="J185" s="55">
        <v>68</v>
      </c>
      <c r="K185" s="85">
        <f t="shared" si="32"/>
        <v>0</v>
      </c>
    </row>
    <row r="186" spans="1:11" x14ac:dyDescent="0.2">
      <c r="A186" s="39" t="s">
        <v>194</v>
      </c>
      <c r="B186" s="92" t="s">
        <v>77</v>
      </c>
      <c r="C186" s="92" t="s">
        <v>42</v>
      </c>
      <c r="D186" s="3" t="s">
        <v>109</v>
      </c>
      <c r="E186" s="3"/>
      <c r="F186" s="3"/>
      <c r="G186" s="107">
        <f>G187+G195</f>
        <v>353</v>
      </c>
      <c r="H186" s="107">
        <f>H187+H195</f>
        <v>0</v>
      </c>
      <c r="I186" s="107">
        <f>I187+I195</f>
        <v>353</v>
      </c>
      <c r="K186" s="85">
        <f t="shared" si="32"/>
        <v>353</v>
      </c>
    </row>
    <row r="187" spans="1:11" x14ac:dyDescent="0.2">
      <c r="A187" s="15" t="s">
        <v>198</v>
      </c>
      <c r="B187" s="3" t="s">
        <v>77</v>
      </c>
      <c r="C187" s="3" t="s">
        <v>42</v>
      </c>
      <c r="D187" s="3" t="s">
        <v>29</v>
      </c>
      <c r="E187" s="3"/>
      <c r="F187" s="3"/>
      <c r="G187" s="107">
        <f>G188+G192</f>
        <v>67</v>
      </c>
      <c r="H187" s="107">
        <f>H188+H192</f>
        <v>0</v>
      </c>
      <c r="I187" s="107">
        <f>I188+I192</f>
        <v>67</v>
      </c>
      <c r="K187" s="85">
        <f t="shared" si="32"/>
        <v>67</v>
      </c>
    </row>
    <row r="188" spans="1:11" ht="51" x14ac:dyDescent="0.2">
      <c r="A188" s="5" t="s">
        <v>154</v>
      </c>
      <c r="B188" s="3" t="s">
        <v>77</v>
      </c>
      <c r="C188" s="3" t="s">
        <v>42</v>
      </c>
      <c r="D188" s="3" t="s">
        <v>29</v>
      </c>
      <c r="E188" s="6" t="s">
        <v>155</v>
      </c>
      <c r="F188" s="3"/>
      <c r="G188" s="107">
        <f t="shared" ref="G188:I190" si="38">G189</f>
        <v>67</v>
      </c>
      <c r="H188" s="107">
        <f t="shared" si="38"/>
        <v>0</v>
      </c>
      <c r="I188" s="107">
        <f t="shared" si="38"/>
        <v>67</v>
      </c>
      <c r="K188" s="85">
        <f t="shared" si="32"/>
        <v>67</v>
      </c>
    </row>
    <row r="189" spans="1:11" ht="25.5" x14ac:dyDescent="0.2">
      <c r="A189" s="5" t="s">
        <v>175</v>
      </c>
      <c r="B189" s="3" t="s">
        <v>77</v>
      </c>
      <c r="C189" s="3" t="s">
        <v>42</v>
      </c>
      <c r="D189" s="3" t="s">
        <v>29</v>
      </c>
      <c r="E189" s="6" t="s">
        <v>176</v>
      </c>
      <c r="F189" s="3"/>
      <c r="G189" s="107">
        <f>G190</f>
        <v>67</v>
      </c>
      <c r="H189" s="107">
        <f t="shared" si="38"/>
        <v>0</v>
      </c>
      <c r="I189" s="107">
        <f t="shared" si="38"/>
        <v>67</v>
      </c>
      <c r="K189" s="85">
        <f t="shared" si="32"/>
        <v>67</v>
      </c>
    </row>
    <row r="190" spans="1:11" ht="51" x14ac:dyDescent="0.2">
      <c r="A190" s="12" t="s">
        <v>447</v>
      </c>
      <c r="B190" s="3" t="s">
        <v>77</v>
      </c>
      <c r="C190" s="3" t="s">
        <v>42</v>
      </c>
      <c r="D190" s="3" t="s">
        <v>29</v>
      </c>
      <c r="E190" s="3" t="s">
        <v>405</v>
      </c>
      <c r="F190" s="3"/>
      <c r="G190" s="107">
        <f>G191</f>
        <v>67</v>
      </c>
      <c r="H190" s="107">
        <f t="shared" si="38"/>
        <v>0</v>
      </c>
      <c r="I190" s="107">
        <f t="shared" si="38"/>
        <v>67</v>
      </c>
      <c r="K190" s="85">
        <f t="shared" si="32"/>
        <v>67</v>
      </c>
    </row>
    <row r="191" spans="1:11" x14ac:dyDescent="0.2">
      <c r="A191" s="39" t="s">
        <v>406</v>
      </c>
      <c r="B191" s="3" t="s">
        <v>77</v>
      </c>
      <c r="C191" s="3" t="s">
        <v>42</v>
      </c>
      <c r="D191" s="3" t="s">
        <v>29</v>
      </c>
      <c r="E191" s="3" t="s">
        <v>405</v>
      </c>
      <c r="F191" s="3" t="s">
        <v>407</v>
      </c>
      <c r="G191" s="107">
        <v>67</v>
      </c>
      <c r="H191" s="107"/>
      <c r="I191" s="107">
        <f>G191+H191</f>
        <v>67</v>
      </c>
      <c r="J191" s="55">
        <v>67</v>
      </c>
      <c r="K191" s="85">
        <f t="shared" si="32"/>
        <v>0</v>
      </c>
    </row>
    <row r="192" spans="1:11" hidden="1" x14ac:dyDescent="0.2">
      <c r="A192" s="12" t="s">
        <v>88</v>
      </c>
      <c r="B192" s="3" t="s">
        <v>77</v>
      </c>
      <c r="C192" s="3" t="s">
        <v>42</v>
      </c>
      <c r="D192" s="3" t="s">
        <v>29</v>
      </c>
      <c r="E192" s="3" t="s">
        <v>89</v>
      </c>
      <c r="F192" s="3"/>
      <c r="G192" s="107">
        <f t="shared" ref="G192:I193" si="39">G193</f>
        <v>0</v>
      </c>
      <c r="H192" s="107">
        <f t="shared" si="39"/>
        <v>0</v>
      </c>
      <c r="I192" s="107">
        <f t="shared" si="39"/>
        <v>0</v>
      </c>
      <c r="K192" s="85">
        <f t="shared" si="32"/>
        <v>0</v>
      </c>
    </row>
    <row r="193" spans="1:11" hidden="1" x14ac:dyDescent="0.2">
      <c r="A193" s="102" t="s">
        <v>456</v>
      </c>
      <c r="B193" s="3" t="s">
        <v>77</v>
      </c>
      <c r="C193" s="3" t="s">
        <v>42</v>
      </c>
      <c r="D193" s="3" t="s">
        <v>29</v>
      </c>
      <c r="E193" s="3" t="s">
        <v>399</v>
      </c>
      <c r="F193" s="3"/>
      <c r="G193" s="107">
        <f t="shared" si="39"/>
        <v>0</v>
      </c>
      <c r="H193" s="107">
        <f t="shared" si="39"/>
        <v>0</v>
      </c>
      <c r="I193" s="107">
        <f t="shared" si="39"/>
        <v>0</v>
      </c>
      <c r="K193" s="85">
        <f t="shared" si="32"/>
        <v>0</v>
      </c>
    </row>
    <row r="194" spans="1:11" hidden="1" x14ac:dyDescent="0.2">
      <c r="A194" s="39" t="s">
        <v>406</v>
      </c>
      <c r="B194" s="3" t="s">
        <v>77</v>
      </c>
      <c r="C194" s="3" t="s">
        <v>42</v>
      </c>
      <c r="D194" s="3" t="s">
        <v>29</v>
      </c>
      <c r="E194" s="3" t="s">
        <v>399</v>
      </c>
      <c r="F194" s="3" t="s">
        <v>407</v>
      </c>
      <c r="G194" s="107"/>
      <c r="H194" s="107"/>
      <c r="I194" s="107">
        <f>G194+H194</f>
        <v>0</v>
      </c>
      <c r="J194" s="55">
        <v>401</v>
      </c>
      <c r="K194" s="85">
        <f t="shared" si="32"/>
        <v>-401</v>
      </c>
    </row>
    <row r="195" spans="1:11" x14ac:dyDescent="0.2">
      <c r="A195" s="15" t="s">
        <v>207</v>
      </c>
      <c r="B195" s="9" t="s">
        <v>77</v>
      </c>
      <c r="C195" s="9" t="s">
        <v>42</v>
      </c>
      <c r="D195" s="9" t="s">
        <v>111</v>
      </c>
      <c r="E195" s="9"/>
      <c r="F195" s="9"/>
      <c r="G195" s="107">
        <f>G201+G196</f>
        <v>286</v>
      </c>
      <c r="H195" s="107">
        <f t="shared" ref="H195:I195" si="40">H201+H196</f>
        <v>0</v>
      </c>
      <c r="I195" s="107">
        <f t="shared" si="40"/>
        <v>286</v>
      </c>
      <c r="K195" s="85">
        <f t="shared" si="32"/>
        <v>286</v>
      </c>
    </row>
    <row r="196" spans="1:11" ht="51" x14ac:dyDescent="0.2">
      <c r="A196" s="69" t="s">
        <v>80</v>
      </c>
      <c r="B196" s="9" t="s">
        <v>77</v>
      </c>
      <c r="C196" s="9" t="s">
        <v>42</v>
      </c>
      <c r="D196" s="9" t="s">
        <v>111</v>
      </c>
      <c r="E196" s="9" t="s">
        <v>81</v>
      </c>
      <c r="F196" s="9"/>
      <c r="G196" s="107">
        <f>G197</f>
        <v>286</v>
      </c>
      <c r="H196" s="107">
        <f t="shared" ref="H196:I199" si="41">H197</f>
        <v>0</v>
      </c>
      <c r="I196" s="107">
        <f t="shared" si="41"/>
        <v>286</v>
      </c>
      <c r="K196" s="85">
        <f t="shared" si="32"/>
        <v>286</v>
      </c>
    </row>
    <row r="197" spans="1:11" ht="51" x14ac:dyDescent="0.2">
      <c r="A197" s="69" t="s">
        <v>103</v>
      </c>
      <c r="B197" s="9" t="s">
        <v>77</v>
      </c>
      <c r="C197" s="9" t="s">
        <v>42</v>
      </c>
      <c r="D197" s="9" t="s">
        <v>111</v>
      </c>
      <c r="E197" s="9" t="s">
        <v>104</v>
      </c>
      <c r="F197" s="9"/>
      <c r="G197" s="107">
        <f>G198</f>
        <v>286</v>
      </c>
      <c r="H197" s="107">
        <f t="shared" si="41"/>
        <v>0</v>
      </c>
      <c r="I197" s="107">
        <f t="shared" si="41"/>
        <v>286</v>
      </c>
      <c r="K197" s="85">
        <f t="shared" si="32"/>
        <v>286</v>
      </c>
    </row>
    <row r="198" spans="1:11" ht="51" x14ac:dyDescent="0.2">
      <c r="A198" s="69" t="s">
        <v>362</v>
      </c>
      <c r="B198" s="9" t="s">
        <v>77</v>
      </c>
      <c r="C198" s="9" t="s">
        <v>42</v>
      </c>
      <c r="D198" s="9" t="s">
        <v>111</v>
      </c>
      <c r="E198" s="9" t="s">
        <v>106</v>
      </c>
      <c r="F198" s="9"/>
      <c r="G198" s="107">
        <f>G199</f>
        <v>286</v>
      </c>
      <c r="H198" s="107">
        <f t="shared" si="41"/>
        <v>0</v>
      </c>
      <c r="I198" s="107">
        <f t="shared" si="41"/>
        <v>286</v>
      </c>
      <c r="K198" s="85">
        <f t="shared" si="32"/>
        <v>286</v>
      </c>
    </row>
    <row r="199" spans="1:11" ht="38.25" x14ac:dyDescent="0.2">
      <c r="A199" s="70" t="s">
        <v>496</v>
      </c>
      <c r="B199" s="9" t="s">
        <v>77</v>
      </c>
      <c r="C199" s="9" t="s">
        <v>42</v>
      </c>
      <c r="D199" s="9" t="s">
        <v>111</v>
      </c>
      <c r="E199" s="9" t="s">
        <v>495</v>
      </c>
      <c r="F199" s="9"/>
      <c r="G199" s="107">
        <f>G200</f>
        <v>286</v>
      </c>
      <c r="H199" s="107">
        <f t="shared" si="41"/>
        <v>0</v>
      </c>
      <c r="I199" s="107">
        <f t="shared" si="41"/>
        <v>286</v>
      </c>
      <c r="K199" s="85">
        <f t="shared" si="32"/>
        <v>286</v>
      </c>
    </row>
    <row r="200" spans="1:11" x14ac:dyDescent="0.2">
      <c r="A200" s="39" t="s">
        <v>406</v>
      </c>
      <c r="B200" s="9" t="s">
        <v>77</v>
      </c>
      <c r="C200" s="9" t="s">
        <v>42</v>
      </c>
      <c r="D200" s="9" t="s">
        <v>111</v>
      </c>
      <c r="E200" s="9" t="s">
        <v>495</v>
      </c>
      <c r="F200" s="9" t="s">
        <v>407</v>
      </c>
      <c r="G200" s="107">
        <v>286</v>
      </c>
      <c r="H200" s="107"/>
      <c r="I200" s="107">
        <f>G200+H200</f>
        <v>286</v>
      </c>
      <c r="J200" s="55">
        <v>286</v>
      </c>
      <c r="K200" s="85">
        <f t="shared" si="32"/>
        <v>0</v>
      </c>
    </row>
    <row r="201" spans="1:11" ht="51" hidden="1" x14ac:dyDescent="0.2">
      <c r="A201" s="5" t="s">
        <v>154</v>
      </c>
      <c r="B201" s="9" t="s">
        <v>77</v>
      </c>
      <c r="C201" s="9" t="s">
        <v>42</v>
      </c>
      <c r="D201" s="9" t="s">
        <v>111</v>
      </c>
      <c r="E201" s="9" t="s">
        <v>174</v>
      </c>
      <c r="F201" s="9"/>
      <c r="G201" s="107">
        <f>G202</f>
        <v>0</v>
      </c>
      <c r="H201" s="107">
        <f t="shared" ref="H201:I205" si="42">H202</f>
        <v>0</v>
      </c>
      <c r="I201" s="107">
        <f t="shared" si="42"/>
        <v>0</v>
      </c>
      <c r="K201" s="85">
        <f t="shared" si="32"/>
        <v>0</v>
      </c>
    </row>
    <row r="202" spans="1:11" ht="25.5" hidden="1" x14ac:dyDescent="0.2">
      <c r="A202" s="5" t="s">
        <v>175</v>
      </c>
      <c r="B202" s="9" t="s">
        <v>77</v>
      </c>
      <c r="C202" s="9" t="s">
        <v>42</v>
      </c>
      <c r="D202" s="9" t="s">
        <v>111</v>
      </c>
      <c r="E202" s="9" t="s">
        <v>176</v>
      </c>
      <c r="F202" s="9"/>
      <c r="G202" s="107">
        <f>G205+G203</f>
        <v>0</v>
      </c>
      <c r="H202" s="107">
        <f>H205+H203</f>
        <v>0</v>
      </c>
      <c r="I202" s="107">
        <f>I205+I203</f>
        <v>0</v>
      </c>
      <c r="K202" s="85">
        <f t="shared" si="32"/>
        <v>0</v>
      </c>
    </row>
    <row r="203" spans="1:11" ht="38.25" hidden="1" x14ac:dyDescent="0.2">
      <c r="A203" s="22" t="s">
        <v>208</v>
      </c>
      <c r="B203" s="9" t="s">
        <v>77</v>
      </c>
      <c r="C203" s="9" t="s">
        <v>42</v>
      </c>
      <c r="D203" s="9" t="s">
        <v>111</v>
      </c>
      <c r="E203" s="9" t="s">
        <v>209</v>
      </c>
      <c r="F203" s="9"/>
      <c r="G203" s="110">
        <f>G204</f>
        <v>0</v>
      </c>
      <c r="H203" s="110">
        <f>H204</f>
        <v>0</v>
      </c>
      <c r="I203" s="110">
        <f>I204</f>
        <v>0</v>
      </c>
      <c r="K203" s="85">
        <f t="shared" si="32"/>
        <v>0</v>
      </c>
    </row>
    <row r="204" spans="1:11" hidden="1" x14ac:dyDescent="0.2">
      <c r="A204" s="39" t="s">
        <v>406</v>
      </c>
      <c r="B204" s="3" t="s">
        <v>77</v>
      </c>
      <c r="C204" s="3" t="s">
        <v>42</v>
      </c>
      <c r="D204" s="3" t="s">
        <v>111</v>
      </c>
      <c r="E204" s="9" t="s">
        <v>209</v>
      </c>
      <c r="F204" s="3" t="s">
        <v>407</v>
      </c>
      <c r="G204" s="107"/>
      <c r="H204" s="107">
        <f>62-62</f>
        <v>0</v>
      </c>
      <c r="I204" s="107">
        <f>G204+H204</f>
        <v>0</v>
      </c>
      <c r="K204" s="85">
        <f t="shared" si="32"/>
        <v>0</v>
      </c>
    </row>
    <row r="205" spans="1:11" ht="25.5" hidden="1" x14ac:dyDescent="0.2">
      <c r="A205" s="22" t="s">
        <v>210</v>
      </c>
      <c r="B205" s="9" t="s">
        <v>77</v>
      </c>
      <c r="C205" s="9" t="s">
        <v>42</v>
      </c>
      <c r="D205" s="9" t="s">
        <v>111</v>
      </c>
      <c r="E205" s="9" t="s">
        <v>211</v>
      </c>
      <c r="F205" s="9"/>
      <c r="G205" s="107">
        <f>G206</f>
        <v>0</v>
      </c>
      <c r="H205" s="107">
        <f t="shared" si="42"/>
        <v>0</v>
      </c>
      <c r="I205" s="107">
        <f t="shared" si="42"/>
        <v>0</v>
      </c>
      <c r="K205" s="85">
        <f t="shared" si="32"/>
        <v>0</v>
      </c>
    </row>
    <row r="206" spans="1:11" hidden="1" x14ac:dyDescent="0.2">
      <c r="A206" s="39" t="s">
        <v>406</v>
      </c>
      <c r="B206" s="3" t="s">
        <v>77</v>
      </c>
      <c r="C206" s="3" t="s">
        <v>42</v>
      </c>
      <c r="D206" s="3" t="s">
        <v>111</v>
      </c>
      <c r="E206" s="9" t="s">
        <v>211</v>
      </c>
      <c r="F206" s="3" t="s">
        <v>407</v>
      </c>
      <c r="G206" s="107"/>
      <c r="H206" s="107">
        <f>1566.507-1566.507</f>
        <v>0</v>
      </c>
      <c r="I206" s="107">
        <f>G206+H206</f>
        <v>0</v>
      </c>
      <c r="K206" s="85">
        <f t="shared" si="32"/>
        <v>0</v>
      </c>
    </row>
    <row r="207" spans="1:11" x14ac:dyDescent="0.2">
      <c r="A207" s="15" t="s">
        <v>259</v>
      </c>
      <c r="B207" s="3" t="s">
        <v>77</v>
      </c>
      <c r="C207" s="3" t="s">
        <v>260</v>
      </c>
      <c r="D207" s="3"/>
      <c r="E207" s="9"/>
      <c r="F207" s="3"/>
      <c r="G207" s="107">
        <f t="shared" ref="G207:I207" si="43">G208</f>
        <v>2316.5597699999998</v>
      </c>
      <c r="H207" s="107">
        <f t="shared" si="43"/>
        <v>0</v>
      </c>
      <c r="I207" s="107">
        <f t="shared" si="43"/>
        <v>2316.5597699999998</v>
      </c>
      <c r="K207" s="85">
        <f t="shared" si="32"/>
        <v>2316.5597699999998</v>
      </c>
    </row>
    <row r="208" spans="1:11" x14ac:dyDescent="0.2">
      <c r="A208" s="15" t="s">
        <v>261</v>
      </c>
      <c r="B208" s="3" t="s">
        <v>77</v>
      </c>
      <c r="C208" s="3" t="s">
        <v>260</v>
      </c>
      <c r="D208" s="3" t="s">
        <v>15</v>
      </c>
      <c r="E208" s="9"/>
      <c r="F208" s="3"/>
      <c r="G208" s="107">
        <f>G219+G215+G209</f>
        <v>2316.5597699999998</v>
      </c>
      <c r="H208" s="107">
        <f t="shared" ref="H208:I208" si="44">H219+H215+H209</f>
        <v>0</v>
      </c>
      <c r="I208" s="107">
        <f t="shared" si="44"/>
        <v>2316.5597699999998</v>
      </c>
      <c r="K208" s="85">
        <f t="shared" si="32"/>
        <v>2316.5597699999998</v>
      </c>
    </row>
    <row r="209" spans="1:11" ht="38.25" x14ac:dyDescent="0.2">
      <c r="A209" s="69" t="s">
        <v>484</v>
      </c>
      <c r="B209" s="3" t="s">
        <v>77</v>
      </c>
      <c r="C209" s="3" t="s">
        <v>260</v>
      </c>
      <c r="D209" s="3" t="s">
        <v>15</v>
      </c>
      <c r="E209" s="9" t="s">
        <v>138</v>
      </c>
      <c r="F209" s="3"/>
      <c r="G209" s="107">
        <f>G210</f>
        <v>302.32</v>
      </c>
      <c r="H209" s="107">
        <f t="shared" ref="H209:I209" si="45">H210</f>
        <v>0</v>
      </c>
      <c r="I209" s="107">
        <f t="shared" si="45"/>
        <v>302.32</v>
      </c>
      <c r="K209" s="85">
        <f t="shared" si="32"/>
        <v>302.32</v>
      </c>
    </row>
    <row r="210" spans="1:11" ht="25.5" x14ac:dyDescent="0.2">
      <c r="A210" s="69" t="s">
        <v>485</v>
      </c>
      <c r="B210" s="3" t="s">
        <v>77</v>
      </c>
      <c r="C210" s="3" t="s">
        <v>260</v>
      </c>
      <c r="D210" s="3" t="s">
        <v>15</v>
      </c>
      <c r="E210" s="9" t="s">
        <v>171</v>
      </c>
      <c r="F210" s="3"/>
      <c r="G210" s="107">
        <f>G211+G213</f>
        <v>302.32</v>
      </c>
      <c r="H210" s="107">
        <f t="shared" ref="H210:I210" si="46">H211+H213</f>
        <v>0</v>
      </c>
      <c r="I210" s="107">
        <f t="shared" si="46"/>
        <v>302.32</v>
      </c>
      <c r="K210" s="85">
        <f t="shared" si="32"/>
        <v>302.32</v>
      </c>
    </row>
    <row r="211" spans="1:11" ht="63.75" x14ac:dyDescent="0.2">
      <c r="A211" s="106" t="s">
        <v>493</v>
      </c>
      <c r="B211" s="3" t="s">
        <v>77</v>
      </c>
      <c r="C211" s="3" t="s">
        <v>260</v>
      </c>
      <c r="D211" s="3" t="s">
        <v>15</v>
      </c>
      <c r="E211" s="9" t="s">
        <v>467</v>
      </c>
      <c r="F211" s="3"/>
      <c r="G211" s="107">
        <f>G212</f>
        <v>15.116</v>
      </c>
      <c r="H211" s="107">
        <f t="shared" ref="H211:I211" si="47">H212</f>
        <v>0</v>
      </c>
      <c r="I211" s="107">
        <f t="shared" si="47"/>
        <v>15.116</v>
      </c>
      <c r="K211" s="85">
        <f t="shared" si="32"/>
        <v>15.116</v>
      </c>
    </row>
    <row r="212" spans="1:11" x14ac:dyDescent="0.2">
      <c r="A212" s="39" t="s">
        <v>406</v>
      </c>
      <c r="B212" s="3" t="s">
        <v>77</v>
      </c>
      <c r="C212" s="3" t="s">
        <v>260</v>
      </c>
      <c r="D212" s="3" t="s">
        <v>15</v>
      </c>
      <c r="E212" s="9" t="s">
        <v>467</v>
      </c>
      <c r="F212" s="3" t="s">
        <v>407</v>
      </c>
      <c r="G212" s="107">
        <v>15.116</v>
      </c>
      <c r="H212" s="107"/>
      <c r="I212" s="107">
        <f>G212+H212</f>
        <v>15.116</v>
      </c>
      <c r="J212" s="55">
        <v>15.116</v>
      </c>
      <c r="K212" s="85">
        <f t="shared" si="32"/>
        <v>0</v>
      </c>
    </row>
    <row r="213" spans="1:11" ht="38.25" x14ac:dyDescent="0.2">
      <c r="A213" s="106" t="s">
        <v>494</v>
      </c>
      <c r="B213" s="3" t="s">
        <v>77</v>
      </c>
      <c r="C213" s="3" t="s">
        <v>260</v>
      </c>
      <c r="D213" s="3" t="s">
        <v>15</v>
      </c>
      <c r="E213" s="9" t="s">
        <v>481</v>
      </c>
      <c r="F213" s="3"/>
      <c r="G213" s="107">
        <f>G214</f>
        <v>287.20400000000001</v>
      </c>
      <c r="H213" s="107">
        <f t="shared" ref="H213:I213" si="48">H214</f>
        <v>0</v>
      </c>
      <c r="I213" s="107">
        <f t="shared" si="48"/>
        <v>287.20400000000001</v>
      </c>
      <c r="K213" s="85">
        <f t="shared" si="32"/>
        <v>287.20400000000001</v>
      </c>
    </row>
    <row r="214" spans="1:11" x14ac:dyDescent="0.2">
      <c r="A214" s="39" t="s">
        <v>406</v>
      </c>
      <c r="B214" s="3" t="s">
        <v>77</v>
      </c>
      <c r="C214" s="3" t="s">
        <v>260</v>
      </c>
      <c r="D214" s="3" t="s">
        <v>15</v>
      </c>
      <c r="E214" s="9" t="s">
        <v>481</v>
      </c>
      <c r="F214" s="3" t="s">
        <v>407</v>
      </c>
      <c r="G214" s="107">
        <v>287.20400000000001</v>
      </c>
      <c r="H214" s="107"/>
      <c r="I214" s="107">
        <f>G214+H214</f>
        <v>287.20400000000001</v>
      </c>
      <c r="J214" s="55">
        <v>287.20400000000001</v>
      </c>
      <c r="K214" s="85">
        <f t="shared" si="32"/>
        <v>0</v>
      </c>
    </row>
    <row r="215" spans="1:11" ht="38.25" x14ac:dyDescent="0.2">
      <c r="A215" s="69" t="s">
        <v>16</v>
      </c>
      <c r="B215" s="3" t="s">
        <v>77</v>
      </c>
      <c r="C215" s="3" t="s">
        <v>260</v>
      </c>
      <c r="D215" s="3" t="s">
        <v>15</v>
      </c>
      <c r="E215" s="9" t="s">
        <v>43</v>
      </c>
      <c r="F215" s="3"/>
      <c r="G215" s="107">
        <f>G216</f>
        <v>52.08</v>
      </c>
      <c r="H215" s="107">
        <f t="shared" ref="H215:I217" si="49">H216</f>
        <v>0</v>
      </c>
      <c r="I215" s="107">
        <f t="shared" si="49"/>
        <v>52.08</v>
      </c>
      <c r="K215" s="85">
        <f t="shared" si="32"/>
        <v>52.08</v>
      </c>
    </row>
    <row r="216" spans="1:11" ht="25.5" x14ac:dyDescent="0.2">
      <c r="A216" s="69" t="s">
        <v>492</v>
      </c>
      <c r="B216" s="3" t="s">
        <v>77</v>
      </c>
      <c r="C216" s="3" t="s">
        <v>260</v>
      </c>
      <c r="D216" s="3" t="s">
        <v>15</v>
      </c>
      <c r="E216" s="9" t="s">
        <v>147</v>
      </c>
      <c r="F216" s="3"/>
      <c r="G216" s="107">
        <f>G217</f>
        <v>52.08</v>
      </c>
      <c r="H216" s="107">
        <f t="shared" si="49"/>
        <v>0</v>
      </c>
      <c r="I216" s="107">
        <f t="shared" si="49"/>
        <v>52.08</v>
      </c>
      <c r="K216" s="85">
        <f t="shared" si="32"/>
        <v>52.08</v>
      </c>
    </row>
    <row r="217" spans="1:11" ht="38.25" x14ac:dyDescent="0.2">
      <c r="A217" s="90" t="s">
        <v>440</v>
      </c>
      <c r="B217" s="3" t="s">
        <v>77</v>
      </c>
      <c r="C217" s="3" t="s">
        <v>260</v>
      </c>
      <c r="D217" s="3" t="s">
        <v>15</v>
      </c>
      <c r="E217" s="9" t="s">
        <v>437</v>
      </c>
      <c r="F217" s="3"/>
      <c r="G217" s="107">
        <f>G218</f>
        <v>52.08</v>
      </c>
      <c r="H217" s="107">
        <f t="shared" si="49"/>
        <v>0</v>
      </c>
      <c r="I217" s="107">
        <f t="shared" si="49"/>
        <v>52.08</v>
      </c>
      <c r="K217" s="85">
        <f t="shared" si="32"/>
        <v>52.08</v>
      </c>
    </row>
    <row r="218" spans="1:11" x14ac:dyDescent="0.2">
      <c r="A218" s="39" t="s">
        <v>406</v>
      </c>
      <c r="B218" s="3" t="s">
        <v>77</v>
      </c>
      <c r="C218" s="3" t="s">
        <v>260</v>
      </c>
      <c r="D218" s="3" t="s">
        <v>15</v>
      </c>
      <c r="E218" s="9" t="s">
        <v>437</v>
      </c>
      <c r="F218" s="3" t="s">
        <v>407</v>
      </c>
      <c r="G218" s="107">
        <v>52.08</v>
      </c>
      <c r="H218" s="107"/>
      <c r="I218" s="107">
        <f>G218+H218</f>
        <v>52.08</v>
      </c>
      <c r="J218" s="55">
        <v>52.08</v>
      </c>
      <c r="K218" s="85">
        <f t="shared" si="32"/>
        <v>0</v>
      </c>
    </row>
    <row r="219" spans="1:11" x14ac:dyDescent="0.2">
      <c r="A219" s="12" t="s">
        <v>88</v>
      </c>
      <c r="B219" s="3" t="s">
        <v>77</v>
      </c>
      <c r="C219" s="3" t="s">
        <v>260</v>
      </c>
      <c r="D219" s="3" t="s">
        <v>15</v>
      </c>
      <c r="E219" s="9" t="s">
        <v>89</v>
      </c>
      <c r="F219" s="3"/>
      <c r="G219" s="107">
        <f>G220+G222</f>
        <v>1962.15977</v>
      </c>
      <c r="H219" s="107">
        <f>H220+H222</f>
        <v>0</v>
      </c>
      <c r="I219" s="107">
        <f>I220+I222</f>
        <v>1962.15977</v>
      </c>
      <c r="K219" s="85">
        <f t="shared" si="32"/>
        <v>1962.15977</v>
      </c>
    </row>
    <row r="220" spans="1:11" ht="51" x14ac:dyDescent="0.2">
      <c r="A220" s="90" t="s">
        <v>455</v>
      </c>
      <c r="B220" s="3" t="s">
        <v>77</v>
      </c>
      <c r="C220" s="3" t="s">
        <v>260</v>
      </c>
      <c r="D220" s="3" t="s">
        <v>15</v>
      </c>
      <c r="E220" s="9" t="s">
        <v>423</v>
      </c>
      <c r="F220" s="3"/>
      <c r="G220" s="110">
        <f>G221</f>
        <v>1569.10402</v>
      </c>
      <c r="H220" s="110">
        <f t="shared" ref="H220:I222" si="50">H221</f>
        <v>0</v>
      </c>
      <c r="I220" s="110">
        <f t="shared" si="50"/>
        <v>1569.10402</v>
      </c>
      <c r="K220" s="85">
        <f t="shared" si="32"/>
        <v>1569.10402</v>
      </c>
    </row>
    <row r="221" spans="1:11" x14ac:dyDescent="0.2">
      <c r="A221" s="39" t="s">
        <v>406</v>
      </c>
      <c r="B221" s="3" t="s">
        <v>77</v>
      </c>
      <c r="C221" s="3" t="s">
        <v>260</v>
      </c>
      <c r="D221" s="3" t="s">
        <v>15</v>
      </c>
      <c r="E221" s="9" t="s">
        <v>423</v>
      </c>
      <c r="F221" s="3" t="s">
        <v>407</v>
      </c>
      <c r="G221" s="107">
        <v>1569.10402</v>
      </c>
      <c r="H221" s="107"/>
      <c r="I221" s="107">
        <f>G221+H221</f>
        <v>1569.10402</v>
      </c>
      <c r="J221" s="55">
        <v>1569.10402</v>
      </c>
      <c r="K221" s="85">
        <f t="shared" si="32"/>
        <v>0</v>
      </c>
    </row>
    <row r="222" spans="1:11" ht="51" x14ac:dyDescent="0.2">
      <c r="A222" s="90" t="s">
        <v>455</v>
      </c>
      <c r="B222" s="3" t="s">
        <v>77</v>
      </c>
      <c r="C222" s="3" t="s">
        <v>260</v>
      </c>
      <c r="D222" s="3" t="s">
        <v>15</v>
      </c>
      <c r="E222" s="9" t="s">
        <v>424</v>
      </c>
      <c r="F222" s="3"/>
      <c r="G222" s="110">
        <f>G223</f>
        <v>393.05574999999999</v>
      </c>
      <c r="H222" s="110">
        <f t="shared" si="50"/>
        <v>0</v>
      </c>
      <c r="I222" s="110">
        <f t="shared" si="50"/>
        <v>393.05574999999999</v>
      </c>
      <c r="K222" s="85">
        <f t="shared" si="32"/>
        <v>393.05574999999999</v>
      </c>
    </row>
    <row r="223" spans="1:11" x14ac:dyDescent="0.2">
      <c r="A223" s="39" t="s">
        <v>406</v>
      </c>
      <c r="B223" s="3" t="s">
        <v>77</v>
      </c>
      <c r="C223" s="3" t="s">
        <v>260</v>
      </c>
      <c r="D223" s="3" t="s">
        <v>15</v>
      </c>
      <c r="E223" s="9" t="s">
        <v>424</v>
      </c>
      <c r="F223" s="3" t="s">
        <v>407</v>
      </c>
      <c r="G223" s="107">
        <v>393.05574999999999</v>
      </c>
      <c r="H223" s="107"/>
      <c r="I223" s="107">
        <f>G223+H223</f>
        <v>393.05574999999999</v>
      </c>
      <c r="J223" s="55">
        <v>393.05574999999999</v>
      </c>
      <c r="K223" s="85">
        <f t="shared" si="32"/>
        <v>0</v>
      </c>
    </row>
    <row r="224" spans="1:11" ht="38.25" x14ac:dyDescent="0.2">
      <c r="A224" s="16" t="s">
        <v>116</v>
      </c>
      <c r="B224" s="3" t="s">
        <v>77</v>
      </c>
      <c r="C224" s="3" t="s">
        <v>117</v>
      </c>
      <c r="D224" s="3" t="s">
        <v>109</v>
      </c>
      <c r="E224" s="3"/>
      <c r="F224" s="3"/>
      <c r="G224" s="107">
        <f>G225+G233</f>
        <v>30556.530999999999</v>
      </c>
      <c r="H224" s="107">
        <f>H225+H233</f>
        <v>1256.5</v>
      </c>
      <c r="I224" s="107">
        <f>I225+I233</f>
        <v>31813.030999999999</v>
      </c>
      <c r="K224" s="85">
        <f t="shared" si="32"/>
        <v>31813.030999999999</v>
      </c>
    </row>
    <row r="225" spans="1:11" ht="38.25" x14ac:dyDescent="0.2">
      <c r="A225" s="16" t="s">
        <v>118</v>
      </c>
      <c r="B225" s="3" t="s">
        <v>77</v>
      </c>
      <c r="C225" s="3" t="s">
        <v>117</v>
      </c>
      <c r="D225" s="3" t="s">
        <v>15</v>
      </c>
      <c r="E225" s="3"/>
      <c r="F225" s="3"/>
      <c r="G225" s="107">
        <f t="shared" ref="G225:I226" si="51">G226</f>
        <v>25487</v>
      </c>
      <c r="H225" s="107">
        <f t="shared" si="51"/>
        <v>0</v>
      </c>
      <c r="I225" s="107">
        <f t="shared" si="51"/>
        <v>25487</v>
      </c>
      <c r="K225" s="85">
        <f t="shared" si="32"/>
        <v>25487</v>
      </c>
    </row>
    <row r="226" spans="1:11" ht="51" x14ac:dyDescent="0.2">
      <c r="A226" s="5" t="s">
        <v>80</v>
      </c>
      <c r="B226" s="3" t="s">
        <v>77</v>
      </c>
      <c r="C226" s="3" t="s">
        <v>117</v>
      </c>
      <c r="D226" s="3" t="s">
        <v>15</v>
      </c>
      <c r="E226" s="3" t="s">
        <v>81</v>
      </c>
      <c r="F226" s="3"/>
      <c r="G226" s="107">
        <f t="shared" si="51"/>
        <v>25487</v>
      </c>
      <c r="H226" s="107">
        <f t="shared" si="51"/>
        <v>0</v>
      </c>
      <c r="I226" s="107">
        <f t="shared" si="51"/>
        <v>25487</v>
      </c>
      <c r="K226" s="85">
        <f t="shared" si="32"/>
        <v>25487</v>
      </c>
    </row>
    <row r="227" spans="1:11" ht="43.5" customHeight="1" x14ac:dyDescent="0.2">
      <c r="A227" s="7" t="s">
        <v>103</v>
      </c>
      <c r="B227" s="3" t="s">
        <v>77</v>
      </c>
      <c r="C227" s="3" t="s">
        <v>117</v>
      </c>
      <c r="D227" s="3" t="s">
        <v>15</v>
      </c>
      <c r="E227" s="3" t="s">
        <v>104</v>
      </c>
      <c r="F227" s="3"/>
      <c r="G227" s="107">
        <f>G228+G231</f>
        <v>25487</v>
      </c>
      <c r="H227" s="107">
        <f>H228+H231</f>
        <v>0</v>
      </c>
      <c r="I227" s="107">
        <f>I228+I231</f>
        <v>25487</v>
      </c>
      <c r="K227" s="85">
        <f t="shared" si="32"/>
        <v>25487</v>
      </c>
    </row>
    <row r="228" spans="1:11" ht="51" x14ac:dyDescent="0.2">
      <c r="A228" s="69" t="s">
        <v>362</v>
      </c>
      <c r="B228" s="3" t="s">
        <v>77</v>
      </c>
      <c r="C228" s="3" t="s">
        <v>117</v>
      </c>
      <c r="D228" s="3" t="s">
        <v>15</v>
      </c>
      <c r="E228" s="3" t="s">
        <v>106</v>
      </c>
      <c r="F228" s="3"/>
      <c r="G228" s="107">
        <f>G229</f>
        <v>20857</v>
      </c>
      <c r="H228" s="107">
        <f>H229</f>
        <v>0</v>
      </c>
      <c r="I228" s="107">
        <f>I229</f>
        <v>20857</v>
      </c>
      <c r="K228" s="85">
        <f t="shared" si="32"/>
        <v>20857</v>
      </c>
    </row>
    <row r="229" spans="1:11" ht="38.25" x14ac:dyDescent="0.2">
      <c r="A229" s="16" t="s">
        <v>119</v>
      </c>
      <c r="B229" s="3" t="s">
        <v>77</v>
      </c>
      <c r="C229" s="3" t="s">
        <v>117</v>
      </c>
      <c r="D229" s="3" t="s">
        <v>15</v>
      </c>
      <c r="E229" s="3" t="s">
        <v>342</v>
      </c>
      <c r="F229" s="3"/>
      <c r="G229" s="107">
        <f>G230</f>
        <v>20857</v>
      </c>
      <c r="H229" s="107">
        <f t="shared" ref="H229:I231" si="52">H230</f>
        <v>0</v>
      </c>
      <c r="I229" s="107">
        <f t="shared" si="52"/>
        <v>20857</v>
      </c>
      <c r="K229" s="85">
        <f t="shared" si="32"/>
        <v>20857</v>
      </c>
    </row>
    <row r="230" spans="1:11" ht="25.5" x14ac:dyDescent="0.2">
      <c r="A230" s="4" t="s">
        <v>120</v>
      </c>
      <c r="B230" s="3" t="s">
        <v>77</v>
      </c>
      <c r="C230" s="3" t="s">
        <v>117</v>
      </c>
      <c r="D230" s="3" t="s">
        <v>15</v>
      </c>
      <c r="E230" s="3" t="s">
        <v>342</v>
      </c>
      <c r="F230" s="3" t="s">
        <v>121</v>
      </c>
      <c r="G230" s="107">
        <v>20857</v>
      </c>
      <c r="H230" s="107"/>
      <c r="I230" s="107">
        <f>G230+H230</f>
        <v>20857</v>
      </c>
      <c r="J230" s="55">
        <v>20857</v>
      </c>
      <c r="K230" s="85">
        <f t="shared" si="32"/>
        <v>0</v>
      </c>
    </row>
    <row r="231" spans="1:11" ht="45" customHeight="1" x14ac:dyDescent="0.2">
      <c r="A231" s="88" t="s">
        <v>392</v>
      </c>
      <c r="B231" s="19" t="s">
        <v>77</v>
      </c>
      <c r="C231" s="19" t="s">
        <v>117</v>
      </c>
      <c r="D231" s="19" t="s">
        <v>15</v>
      </c>
      <c r="E231" s="3" t="s">
        <v>367</v>
      </c>
      <c r="F231" s="3"/>
      <c r="G231" s="107">
        <f>G232</f>
        <v>4630</v>
      </c>
      <c r="H231" s="107">
        <f t="shared" si="52"/>
        <v>0</v>
      </c>
      <c r="I231" s="107">
        <f t="shared" si="52"/>
        <v>4630</v>
      </c>
      <c r="K231" s="85">
        <f t="shared" ref="K231:K292" si="53">I231-J231</f>
        <v>4630</v>
      </c>
    </row>
    <row r="232" spans="1:11" ht="25.5" x14ac:dyDescent="0.2">
      <c r="A232" s="4" t="s">
        <v>120</v>
      </c>
      <c r="B232" s="19" t="s">
        <v>77</v>
      </c>
      <c r="C232" s="19" t="s">
        <v>117</v>
      </c>
      <c r="D232" s="3" t="s">
        <v>15</v>
      </c>
      <c r="E232" s="3" t="s">
        <v>367</v>
      </c>
      <c r="F232" s="3" t="s">
        <v>121</v>
      </c>
      <c r="G232" s="107">
        <v>4630</v>
      </c>
      <c r="H232" s="107"/>
      <c r="I232" s="107">
        <f>G232+H232</f>
        <v>4630</v>
      </c>
      <c r="J232" s="55">
        <v>4630</v>
      </c>
      <c r="K232" s="85">
        <f t="shared" si="53"/>
        <v>0</v>
      </c>
    </row>
    <row r="233" spans="1:11" ht="39" customHeight="1" x14ac:dyDescent="0.2">
      <c r="A233" s="100" t="s">
        <v>363</v>
      </c>
      <c r="B233" s="3" t="s">
        <v>77</v>
      </c>
      <c r="C233" s="3" t="s">
        <v>117</v>
      </c>
      <c r="D233" s="3" t="s">
        <v>111</v>
      </c>
      <c r="E233" s="3"/>
      <c r="F233" s="3"/>
      <c r="G233" s="107">
        <f>G234+G242</f>
        <v>5069.5309999999999</v>
      </c>
      <c r="H233" s="107">
        <f>H234+H242</f>
        <v>1256.5</v>
      </c>
      <c r="I233" s="107">
        <f>I234+I242</f>
        <v>6326.0309999999999</v>
      </c>
      <c r="K233" s="85">
        <f t="shared" si="53"/>
        <v>6326.0309999999999</v>
      </c>
    </row>
    <row r="234" spans="1:11" ht="51" x14ac:dyDescent="0.2">
      <c r="A234" s="5" t="s">
        <v>80</v>
      </c>
      <c r="B234" s="3" t="s">
        <v>77</v>
      </c>
      <c r="C234" s="3" t="s">
        <v>117</v>
      </c>
      <c r="D234" s="3" t="s">
        <v>111</v>
      </c>
      <c r="E234" s="3" t="s">
        <v>81</v>
      </c>
      <c r="F234" s="3"/>
      <c r="G234" s="107">
        <f t="shared" ref="G234:H234" si="54">G235</f>
        <v>5024.5309999999999</v>
      </c>
      <c r="H234" s="107">
        <f t="shared" si="54"/>
        <v>1256.5</v>
      </c>
      <c r="I234" s="107">
        <f>I235</f>
        <v>6281.0309999999999</v>
      </c>
      <c r="K234" s="85">
        <f t="shared" si="53"/>
        <v>6281.0309999999999</v>
      </c>
    </row>
    <row r="235" spans="1:11" ht="51" x14ac:dyDescent="0.2">
      <c r="A235" s="7" t="s">
        <v>103</v>
      </c>
      <c r="B235" s="3" t="s">
        <v>77</v>
      </c>
      <c r="C235" s="3" t="s">
        <v>117</v>
      </c>
      <c r="D235" s="3" t="s">
        <v>111</v>
      </c>
      <c r="E235" s="3" t="s">
        <v>104</v>
      </c>
      <c r="F235" s="3"/>
      <c r="G235" s="107">
        <f>G236</f>
        <v>5024.5309999999999</v>
      </c>
      <c r="H235" s="107">
        <f t="shared" ref="H235:I235" si="55">H236</f>
        <v>1256.5</v>
      </c>
      <c r="I235" s="107">
        <f t="shared" si="55"/>
        <v>6281.0309999999999</v>
      </c>
      <c r="K235" s="85">
        <f t="shared" si="53"/>
        <v>6281.0309999999999</v>
      </c>
    </row>
    <row r="236" spans="1:11" ht="51" x14ac:dyDescent="0.2">
      <c r="A236" s="69" t="s">
        <v>362</v>
      </c>
      <c r="B236" s="3" t="s">
        <v>77</v>
      </c>
      <c r="C236" s="3" t="s">
        <v>117</v>
      </c>
      <c r="D236" s="3" t="s">
        <v>111</v>
      </c>
      <c r="E236" s="77" t="s">
        <v>106</v>
      </c>
      <c r="F236" s="3"/>
      <c r="G236" s="107">
        <f>G237+G240</f>
        <v>5024.5309999999999</v>
      </c>
      <c r="H236" s="107">
        <f t="shared" ref="H236:I236" si="56">H237+H240</f>
        <v>1256.5</v>
      </c>
      <c r="I236" s="107">
        <f t="shared" si="56"/>
        <v>6281.0309999999999</v>
      </c>
      <c r="K236" s="85">
        <f t="shared" si="53"/>
        <v>6281.0309999999999</v>
      </c>
    </row>
    <row r="237" spans="1:11" ht="25.5" x14ac:dyDescent="0.2">
      <c r="A237" s="70" t="s">
        <v>364</v>
      </c>
      <c r="B237" s="3" t="s">
        <v>77</v>
      </c>
      <c r="C237" s="3" t="s">
        <v>117</v>
      </c>
      <c r="D237" s="3" t="s">
        <v>111</v>
      </c>
      <c r="E237" s="3" t="s">
        <v>393</v>
      </c>
      <c r="F237" s="3"/>
      <c r="G237" s="107">
        <f>G238+G239</f>
        <v>4991.57</v>
      </c>
      <c r="H237" s="107">
        <f t="shared" ref="H237:I237" si="57">H238+H239</f>
        <v>1256.5</v>
      </c>
      <c r="I237" s="107">
        <f t="shared" si="57"/>
        <v>6248.07</v>
      </c>
      <c r="K237" s="85">
        <f t="shared" si="53"/>
        <v>6248.07</v>
      </c>
    </row>
    <row r="238" spans="1:11" x14ac:dyDescent="0.2">
      <c r="A238" s="10" t="s">
        <v>365</v>
      </c>
      <c r="B238" s="3" t="s">
        <v>77</v>
      </c>
      <c r="C238" s="3" t="s">
        <v>117</v>
      </c>
      <c r="D238" s="3" t="s">
        <v>111</v>
      </c>
      <c r="E238" s="3" t="s">
        <v>393</v>
      </c>
      <c r="F238" s="3" t="s">
        <v>366</v>
      </c>
      <c r="G238" s="107">
        <v>4094.1</v>
      </c>
      <c r="H238" s="111">
        <v>-2628.1</v>
      </c>
      <c r="I238" s="107">
        <f>G238+H238</f>
        <v>1466</v>
      </c>
      <c r="J238" s="55">
        <v>1466</v>
      </c>
      <c r="K238" s="85">
        <f t="shared" si="53"/>
        <v>0</v>
      </c>
    </row>
    <row r="239" spans="1:11" x14ac:dyDescent="0.2">
      <c r="A239" s="39" t="s">
        <v>406</v>
      </c>
      <c r="B239" s="3" t="s">
        <v>77</v>
      </c>
      <c r="C239" s="3" t="s">
        <v>117</v>
      </c>
      <c r="D239" s="3" t="s">
        <v>111</v>
      </c>
      <c r="E239" s="3" t="s">
        <v>393</v>
      </c>
      <c r="F239" s="3" t="s">
        <v>407</v>
      </c>
      <c r="G239" s="107">
        <v>897.47</v>
      </c>
      <c r="H239" s="111">
        <f>2628.1+20+150+1086.5</f>
        <v>3884.6</v>
      </c>
      <c r="I239" s="107">
        <f>G239+H239</f>
        <v>4782.07</v>
      </c>
      <c r="J239" s="55">
        <v>3695.57</v>
      </c>
      <c r="K239" s="85">
        <f t="shared" si="53"/>
        <v>1086.4999999999995</v>
      </c>
    </row>
    <row r="240" spans="1:11" ht="38.25" x14ac:dyDescent="0.2">
      <c r="A240" s="70" t="s">
        <v>496</v>
      </c>
      <c r="B240" s="3" t="s">
        <v>77</v>
      </c>
      <c r="C240" s="3" t="s">
        <v>117</v>
      </c>
      <c r="D240" s="3" t="s">
        <v>111</v>
      </c>
      <c r="E240" s="3" t="s">
        <v>495</v>
      </c>
      <c r="F240" s="3"/>
      <c r="G240" s="107">
        <f>G241</f>
        <v>32.960999999999999</v>
      </c>
      <c r="H240" s="107">
        <f t="shared" ref="H240:I240" si="58">H241</f>
        <v>0</v>
      </c>
      <c r="I240" s="107">
        <f t="shared" si="58"/>
        <v>32.960999999999999</v>
      </c>
      <c r="K240" s="85">
        <f t="shared" si="53"/>
        <v>32.960999999999999</v>
      </c>
    </row>
    <row r="241" spans="1:11" x14ac:dyDescent="0.2">
      <c r="A241" s="39" t="s">
        <v>406</v>
      </c>
      <c r="B241" s="3" t="s">
        <v>77</v>
      </c>
      <c r="C241" s="3" t="s">
        <v>117</v>
      </c>
      <c r="D241" s="3" t="s">
        <v>111</v>
      </c>
      <c r="E241" s="3" t="s">
        <v>495</v>
      </c>
      <c r="F241" s="3" t="s">
        <v>407</v>
      </c>
      <c r="G241" s="107">
        <v>32.960999999999999</v>
      </c>
      <c r="H241" s="111"/>
      <c r="I241" s="107">
        <f>G241+H241</f>
        <v>32.960999999999999</v>
      </c>
      <c r="J241" s="55">
        <v>32.960999999999999</v>
      </c>
      <c r="K241" s="85">
        <f t="shared" si="53"/>
        <v>0</v>
      </c>
    </row>
    <row r="242" spans="1:11" ht="25.5" x14ac:dyDescent="0.2">
      <c r="A242" s="12" t="s">
        <v>126</v>
      </c>
      <c r="B242" s="3" t="s">
        <v>77</v>
      </c>
      <c r="C242" s="3" t="s">
        <v>117</v>
      </c>
      <c r="D242" s="3" t="s">
        <v>111</v>
      </c>
      <c r="E242" s="3" t="s">
        <v>89</v>
      </c>
      <c r="F242" s="3"/>
      <c r="G242" s="107">
        <f t="shared" ref="G242:I243" si="59">G243</f>
        <v>45</v>
      </c>
      <c r="H242" s="107">
        <f t="shared" si="59"/>
        <v>0</v>
      </c>
      <c r="I242" s="107">
        <f t="shared" si="59"/>
        <v>45</v>
      </c>
      <c r="K242" s="85">
        <f t="shared" si="53"/>
        <v>45</v>
      </c>
    </row>
    <row r="243" spans="1:11" x14ac:dyDescent="0.2">
      <c r="A243" s="102" t="s">
        <v>456</v>
      </c>
      <c r="B243" s="3" t="s">
        <v>77</v>
      </c>
      <c r="C243" s="3" t="s">
        <v>117</v>
      </c>
      <c r="D243" s="3" t="s">
        <v>111</v>
      </c>
      <c r="E243" s="3" t="s">
        <v>399</v>
      </c>
      <c r="F243" s="3"/>
      <c r="G243" s="107">
        <f t="shared" si="59"/>
        <v>45</v>
      </c>
      <c r="H243" s="107">
        <f t="shared" si="59"/>
        <v>0</v>
      </c>
      <c r="I243" s="107">
        <f t="shared" si="59"/>
        <v>45</v>
      </c>
      <c r="K243" s="85">
        <f t="shared" si="53"/>
        <v>45</v>
      </c>
    </row>
    <row r="244" spans="1:11" x14ac:dyDescent="0.2">
      <c r="A244" s="39" t="s">
        <v>406</v>
      </c>
      <c r="B244" s="3" t="s">
        <v>77</v>
      </c>
      <c r="C244" s="3" t="s">
        <v>117</v>
      </c>
      <c r="D244" s="3" t="s">
        <v>111</v>
      </c>
      <c r="E244" s="3" t="s">
        <v>399</v>
      </c>
      <c r="F244" s="3" t="s">
        <v>407</v>
      </c>
      <c r="G244" s="107">
        <v>45</v>
      </c>
      <c r="H244" s="111"/>
      <c r="I244" s="107">
        <f>G244+H244</f>
        <v>45</v>
      </c>
      <c r="J244" s="55">
        <v>45</v>
      </c>
      <c r="K244" s="85">
        <f t="shared" si="53"/>
        <v>0</v>
      </c>
    </row>
    <row r="245" spans="1:11" x14ac:dyDescent="0.2">
      <c r="A245" s="1" t="s">
        <v>122</v>
      </c>
      <c r="B245" s="2" t="s">
        <v>123</v>
      </c>
      <c r="C245" s="3"/>
      <c r="D245" s="3"/>
      <c r="E245" s="3"/>
      <c r="F245" s="3"/>
      <c r="G245" s="112">
        <f>G246+G314+G342+G385+G426+G465+G507+G449+G420</f>
        <v>80838.711509999994</v>
      </c>
      <c r="H245" s="112">
        <f>H246+H314+H342+H385+H426+H465+H507+H449+H420</f>
        <v>14128.197980000001</v>
      </c>
      <c r="I245" s="112">
        <f>I246+I314+I342+I385+I426+I465+I507+I449+I420</f>
        <v>94966.909490000005</v>
      </c>
      <c r="K245" s="85">
        <f t="shared" si="53"/>
        <v>94966.909490000005</v>
      </c>
    </row>
    <row r="246" spans="1:11" x14ac:dyDescent="0.2">
      <c r="A246" s="15" t="s">
        <v>124</v>
      </c>
      <c r="B246" s="3" t="s">
        <v>123</v>
      </c>
      <c r="C246" s="3" t="s">
        <v>15</v>
      </c>
      <c r="D246" s="3"/>
      <c r="E246" s="3"/>
      <c r="F246" s="3"/>
      <c r="G246" s="107">
        <f>G247+G251+G259+G293+G282+G289</f>
        <v>22036.641250000001</v>
      </c>
      <c r="H246" s="107">
        <f>H247+H251+H259+H293+H282+H289</f>
        <v>103.96266999999997</v>
      </c>
      <c r="I246" s="107">
        <f t="shared" ref="I246" si="60">I247+I251+I259+I293+I282+I289</f>
        <v>22140.603920000005</v>
      </c>
      <c r="J246" s="85"/>
      <c r="K246" s="85">
        <f t="shared" si="53"/>
        <v>22140.603920000005</v>
      </c>
    </row>
    <row r="247" spans="1:11" ht="38.25" x14ac:dyDescent="0.2">
      <c r="A247" s="15" t="s">
        <v>125</v>
      </c>
      <c r="B247" s="3" t="s">
        <v>123</v>
      </c>
      <c r="C247" s="3" t="s">
        <v>15</v>
      </c>
      <c r="D247" s="3" t="s">
        <v>29</v>
      </c>
      <c r="E247" s="3"/>
      <c r="F247" s="3"/>
      <c r="G247" s="107">
        <f>G248</f>
        <v>1371.02</v>
      </c>
      <c r="H247" s="107">
        <f t="shared" ref="H247:I249" si="61">H248</f>
        <v>-14.2</v>
      </c>
      <c r="I247" s="107">
        <f t="shared" si="61"/>
        <v>1356.82</v>
      </c>
      <c r="K247" s="85"/>
    </row>
    <row r="248" spans="1:11" ht="25.5" x14ac:dyDescent="0.2">
      <c r="A248" s="12" t="s">
        <v>126</v>
      </c>
      <c r="B248" s="3" t="s">
        <v>123</v>
      </c>
      <c r="C248" s="3" t="s">
        <v>15</v>
      </c>
      <c r="D248" s="3" t="s">
        <v>29</v>
      </c>
      <c r="E248" s="5" t="s">
        <v>127</v>
      </c>
      <c r="F248" s="3"/>
      <c r="G248" s="107">
        <f>G249</f>
        <v>1371.02</v>
      </c>
      <c r="H248" s="107">
        <f t="shared" si="61"/>
        <v>-14.2</v>
      </c>
      <c r="I248" s="107">
        <f t="shared" si="61"/>
        <v>1356.82</v>
      </c>
      <c r="K248" s="85"/>
    </row>
    <row r="249" spans="1:11" ht="25.5" x14ac:dyDescent="0.2">
      <c r="A249" s="12" t="s">
        <v>128</v>
      </c>
      <c r="B249" s="3" t="s">
        <v>123</v>
      </c>
      <c r="C249" s="3" t="s">
        <v>15</v>
      </c>
      <c r="D249" s="3" t="s">
        <v>29</v>
      </c>
      <c r="E249" s="5" t="s">
        <v>129</v>
      </c>
      <c r="F249" s="3"/>
      <c r="G249" s="107">
        <f>G250</f>
        <v>1371.02</v>
      </c>
      <c r="H249" s="107">
        <f t="shared" si="61"/>
        <v>-14.2</v>
      </c>
      <c r="I249" s="107">
        <f t="shared" si="61"/>
        <v>1356.82</v>
      </c>
      <c r="K249" s="85"/>
    </row>
    <row r="250" spans="1:11" x14ac:dyDescent="0.2">
      <c r="A250" s="13" t="s">
        <v>53</v>
      </c>
      <c r="B250" s="3" t="s">
        <v>123</v>
      </c>
      <c r="C250" s="3" t="s">
        <v>15</v>
      </c>
      <c r="D250" s="3" t="s">
        <v>29</v>
      </c>
      <c r="E250" s="5" t="s">
        <v>129</v>
      </c>
      <c r="F250" s="3" t="s">
        <v>54</v>
      </c>
      <c r="G250" s="107">
        <v>1371.02</v>
      </c>
      <c r="H250" s="110">
        <f>-14.2</f>
        <v>-14.2</v>
      </c>
      <c r="I250" s="107">
        <f>G250+H250</f>
        <v>1356.82</v>
      </c>
      <c r="J250" s="55">
        <v>1371.02</v>
      </c>
      <c r="K250" s="85">
        <f t="shared" si="53"/>
        <v>-14.200000000000045</v>
      </c>
    </row>
    <row r="251" spans="1:11" ht="51" x14ac:dyDescent="0.2">
      <c r="A251" s="15" t="s">
        <v>130</v>
      </c>
      <c r="B251" s="3" t="s">
        <v>123</v>
      </c>
      <c r="C251" s="3" t="s">
        <v>15</v>
      </c>
      <c r="D251" s="3" t="s">
        <v>111</v>
      </c>
      <c r="E251" s="3"/>
      <c r="F251" s="3"/>
      <c r="G251" s="107">
        <f>G252</f>
        <v>1823.3938499999999</v>
      </c>
      <c r="H251" s="107">
        <f>H252</f>
        <v>0</v>
      </c>
      <c r="I251" s="107">
        <f>I252</f>
        <v>1823.3938499999999</v>
      </c>
      <c r="K251" s="85"/>
    </row>
    <row r="252" spans="1:11" ht="38.25" x14ac:dyDescent="0.2">
      <c r="A252" s="12" t="s">
        <v>131</v>
      </c>
      <c r="B252" s="3" t="s">
        <v>123</v>
      </c>
      <c r="C252" s="3" t="s">
        <v>15</v>
      </c>
      <c r="D252" s="3" t="s">
        <v>111</v>
      </c>
      <c r="E252" s="5" t="s">
        <v>132</v>
      </c>
      <c r="F252" s="3"/>
      <c r="G252" s="107">
        <f>G253+G255</f>
        <v>1823.3938499999999</v>
      </c>
      <c r="H252" s="107">
        <f>H253+H255</f>
        <v>0</v>
      </c>
      <c r="I252" s="107">
        <f>I253+I255</f>
        <v>1823.3938499999999</v>
      </c>
      <c r="K252" s="85"/>
    </row>
    <row r="253" spans="1:11" ht="25.5" x14ac:dyDescent="0.2">
      <c r="A253" s="12" t="s">
        <v>133</v>
      </c>
      <c r="B253" s="3" t="s">
        <v>123</v>
      </c>
      <c r="C253" s="3" t="s">
        <v>15</v>
      </c>
      <c r="D253" s="3" t="s">
        <v>111</v>
      </c>
      <c r="E253" s="5" t="s">
        <v>134</v>
      </c>
      <c r="F253" s="3"/>
      <c r="G253" s="107">
        <f>G254</f>
        <v>953.75</v>
      </c>
      <c r="H253" s="107">
        <f>H254</f>
        <v>0</v>
      </c>
      <c r="I253" s="107">
        <f>I254</f>
        <v>953.75</v>
      </c>
      <c r="K253" s="85"/>
    </row>
    <row r="254" spans="1:11" x14ac:dyDescent="0.2">
      <c r="A254" s="13" t="s">
        <v>53</v>
      </c>
      <c r="B254" s="3" t="s">
        <v>123</v>
      </c>
      <c r="C254" s="3" t="s">
        <v>15</v>
      </c>
      <c r="D254" s="3" t="s">
        <v>111</v>
      </c>
      <c r="E254" s="5" t="s">
        <v>134</v>
      </c>
      <c r="F254" s="3" t="s">
        <v>54</v>
      </c>
      <c r="G254" s="107">
        <v>953.75</v>
      </c>
      <c r="H254" s="110"/>
      <c r="I254" s="107">
        <f>G254+H254</f>
        <v>953.75</v>
      </c>
      <c r="J254" s="55">
        <v>953.75</v>
      </c>
      <c r="K254" s="85">
        <f t="shared" si="53"/>
        <v>0</v>
      </c>
    </row>
    <row r="255" spans="1:11" ht="38.25" x14ac:dyDescent="0.2">
      <c r="A255" s="12" t="s">
        <v>135</v>
      </c>
      <c r="B255" s="3" t="s">
        <v>123</v>
      </c>
      <c r="C255" s="3" t="s">
        <v>15</v>
      </c>
      <c r="D255" s="3" t="s">
        <v>111</v>
      </c>
      <c r="E255" s="5" t="s">
        <v>136</v>
      </c>
      <c r="F255" s="3"/>
      <c r="G255" s="107">
        <f>SUM(G256:G258)</f>
        <v>869.64385000000004</v>
      </c>
      <c r="H255" s="107">
        <f>SUM(H256:H258)</f>
        <v>0</v>
      </c>
      <c r="I255" s="107">
        <f>SUM(I256:I258)</f>
        <v>869.64385000000004</v>
      </c>
      <c r="K255" s="85"/>
    </row>
    <row r="256" spans="1:11" x14ac:dyDescent="0.2">
      <c r="A256" s="13" t="s">
        <v>53</v>
      </c>
      <c r="B256" s="3" t="s">
        <v>123</v>
      </c>
      <c r="C256" s="3" t="s">
        <v>15</v>
      </c>
      <c r="D256" s="3" t="s">
        <v>111</v>
      </c>
      <c r="E256" s="5" t="s">
        <v>136</v>
      </c>
      <c r="F256" s="3" t="s">
        <v>54</v>
      </c>
      <c r="G256" s="107">
        <v>563.64385000000004</v>
      </c>
      <c r="H256" s="110"/>
      <c r="I256" s="107">
        <f>G256+H256</f>
        <v>563.64385000000004</v>
      </c>
      <c r="J256" s="55">
        <v>563.64385000000004</v>
      </c>
      <c r="K256" s="85">
        <f t="shared" si="53"/>
        <v>0</v>
      </c>
    </row>
    <row r="257" spans="1:11" ht="63.75" x14ac:dyDescent="0.2">
      <c r="A257" s="4" t="s">
        <v>386</v>
      </c>
      <c r="B257" s="3" t="s">
        <v>123</v>
      </c>
      <c r="C257" s="3" t="s">
        <v>15</v>
      </c>
      <c r="D257" s="3" t="s">
        <v>111</v>
      </c>
      <c r="E257" s="12" t="s">
        <v>136</v>
      </c>
      <c r="F257" s="3" t="s">
        <v>58</v>
      </c>
      <c r="G257" s="107">
        <v>306</v>
      </c>
      <c r="H257" s="110"/>
      <c r="I257" s="107">
        <f>G257+H257</f>
        <v>306</v>
      </c>
      <c r="J257" s="55">
        <v>306</v>
      </c>
      <c r="K257" s="85">
        <f t="shared" si="53"/>
        <v>0</v>
      </c>
    </row>
    <row r="258" spans="1:11" ht="38.25" hidden="1" x14ac:dyDescent="0.2">
      <c r="A258" s="4" t="s">
        <v>61</v>
      </c>
      <c r="B258" s="3" t="s">
        <v>123</v>
      </c>
      <c r="C258" s="3" t="s">
        <v>15</v>
      </c>
      <c r="D258" s="3" t="s">
        <v>111</v>
      </c>
      <c r="E258" s="12" t="s">
        <v>136</v>
      </c>
      <c r="F258" s="3" t="s">
        <v>62</v>
      </c>
      <c r="G258" s="107"/>
      <c r="H258" s="110"/>
      <c r="I258" s="107">
        <f>G258+H258</f>
        <v>0</v>
      </c>
      <c r="K258" s="85">
        <f t="shared" si="53"/>
        <v>0</v>
      </c>
    </row>
    <row r="259" spans="1:11" ht="51" x14ac:dyDescent="0.2">
      <c r="A259" s="15" t="s">
        <v>79</v>
      </c>
      <c r="B259" s="3" t="s">
        <v>123</v>
      </c>
      <c r="C259" s="3" t="s">
        <v>15</v>
      </c>
      <c r="D259" s="3" t="s">
        <v>72</v>
      </c>
      <c r="E259" s="3"/>
      <c r="F259" s="3"/>
      <c r="G259" s="110">
        <f>G260+G270</f>
        <v>16732.857400000001</v>
      </c>
      <c r="H259" s="110">
        <f>H260+H270</f>
        <v>100.36266999999998</v>
      </c>
      <c r="I259" s="110">
        <f>I260+I270</f>
        <v>16833.220070000003</v>
      </c>
      <c r="K259" s="85"/>
    </row>
    <row r="260" spans="1:11" ht="38.25" x14ac:dyDescent="0.2">
      <c r="A260" s="5" t="s">
        <v>137</v>
      </c>
      <c r="B260" s="3" t="s">
        <v>123</v>
      </c>
      <c r="C260" s="3" t="s">
        <v>15</v>
      </c>
      <c r="D260" s="3" t="s">
        <v>72</v>
      </c>
      <c r="E260" s="3" t="s">
        <v>138</v>
      </c>
      <c r="F260" s="3"/>
      <c r="G260" s="110">
        <f>G261</f>
        <v>15979.2574</v>
      </c>
      <c r="H260" s="110">
        <f>H261</f>
        <v>100.36266999999998</v>
      </c>
      <c r="I260" s="110">
        <f>I261</f>
        <v>16079.620070000003</v>
      </c>
      <c r="K260" s="85"/>
    </row>
    <row r="261" spans="1:11" ht="38.25" x14ac:dyDescent="0.2">
      <c r="A261" s="7" t="s">
        <v>139</v>
      </c>
      <c r="B261" s="3" t="s">
        <v>123</v>
      </c>
      <c r="C261" s="3" t="s">
        <v>15</v>
      </c>
      <c r="D261" s="3" t="s">
        <v>72</v>
      </c>
      <c r="E261" s="6" t="s">
        <v>140</v>
      </c>
      <c r="F261" s="3"/>
      <c r="G261" s="110">
        <f>SUM(G262:G269)</f>
        <v>15979.2574</v>
      </c>
      <c r="H261" s="110">
        <f>SUM(H262:H269)</f>
        <v>100.36266999999998</v>
      </c>
      <c r="I261" s="110">
        <f>SUM(I262:I269)</f>
        <v>16079.620070000003</v>
      </c>
      <c r="K261" s="85"/>
    </row>
    <row r="262" spans="1:11" x14ac:dyDescent="0.2">
      <c r="A262" s="13" t="s">
        <v>53</v>
      </c>
      <c r="B262" s="3" t="s">
        <v>123</v>
      </c>
      <c r="C262" s="3" t="s">
        <v>15</v>
      </c>
      <c r="D262" s="3" t="s">
        <v>72</v>
      </c>
      <c r="E262" s="6" t="s">
        <v>141</v>
      </c>
      <c r="F262" s="3" t="s">
        <v>54</v>
      </c>
      <c r="G262" s="110">
        <v>11205.246150000001</v>
      </c>
      <c r="H262" s="110">
        <f>-98.38433-69.553+14.2+29.521</f>
        <v>-124.21633000000001</v>
      </c>
      <c r="I262" s="110">
        <f t="shared" ref="I262:I268" si="62">G262+H262</f>
        <v>11081.029820000002</v>
      </c>
      <c r="J262" s="55">
        <v>11037.30882</v>
      </c>
      <c r="K262" s="85">
        <f t="shared" si="53"/>
        <v>43.721000000001368</v>
      </c>
    </row>
    <row r="263" spans="1:11" ht="38.25" x14ac:dyDescent="0.2">
      <c r="A263" s="4" t="s">
        <v>55</v>
      </c>
      <c r="B263" s="3" t="s">
        <v>123</v>
      </c>
      <c r="C263" s="3" t="s">
        <v>15</v>
      </c>
      <c r="D263" s="3" t="s">
        <v>72</v>
      </c>
      <c r="E263" s="6" t="s">
        <v>140</v>
      </c>
      <c r="F263" s="3" t="s">
        <v>56</v>
      </c>
      <c r="G263" s="110">
        <v>91.4</v>
      </c>
      <c r="H263" s="110">
        <f>-30-3</f>
        <v>-33</v>
      </c>
      <c r="I263" s="110">
        <f t="shared" si="62"/>
        <v>58.400000000000006</v>
      </c>
      <c r="J263" s="55">
        <v>61.4</v>
      </c>
      <c r="K263" s="85">
        <f t="shared" si="53"/>
        <v>-2.9999999999999929</v>
      </c>
    </row>
    <row r="264" spans="1:11" ht="63.75" hidden="1" x14ac:dyDescent="0.2">
      <c r="A264" s="4" t="s">
        <v>57</v>
      </c>
      <c r="B264" s="3" t="s">
        <v>123</v>
      </c>
      <c r="C264" s="3" t="s">
        <v>15</v>
      </c>
      <c r="D264" s="3" t="s">
        <v>72</v>
      </c>
      <c r="E264" s="6" t="s">
        <v>140</v>
      </c>
      <c r="F264" s="3" t="s">
        <v>58</v>
      </c>
      <c r="G264" s="110">
        <v>0</v>
      </c>
      <c r="H264" s="110"/>
      <c r="I264" s="110">
        <f t="shared" si="62"/>
        <v>0</v>
      </c>
      <c r="J264" s="55">
        <v>0</v>
      </c>
      <c r="K264" s="85">
        <f t="shared" si="53"/>
        <v>0</v>
      </c>
    </row>
    <row r="265" spans="1:11" ht="25.5" x14ac:dyDescent="0.2">
      <c r="A265" s="14" t="s">
        <v>59</v>
      </c>
      <c r="B265" s="3" t="s">
        <v>123</v>
      </c>
      <c r="C265" s="3" t="s">
        <v>15</v>
      </c>
      <c r="D265" s="3" t="s">
        <v>72</v>
      </c>
      <c r="E265" s="6" t="s">
        <v>140</v>
      </c>
      <c r="F265" s="3" t="s">
        <v>60</v>
      </c>
      <c r="G265" s="110">
        <v>819.5</v>
      </c>
      <c r="H265" s="110">
        <f>-50+17.692-23.521</f>
        <v>-55.829000000000001</v>
      </c>
      <c r="I265" s="110">
        <f t="shared" si="62"/>
        <v>763.67100000000005</v>
      </c>
      <c r="J265" s="55">
        <v>787.19200000000001</v>
      </c>
      <c r="K265" s="85">
        <f t="shared" si="53"/>
        <v>-23.520999999999958</v>
      </c>
    </row>
    <row r="266" spans="1:11" ht="38.25" x14ac:dyDescent="0.2">
      <c r="A266" s="4" t="s">
        <v>61</v>
      </c>
      <c r="B266" s="3" t="s">
        <v>123</v>
      </c>
      <c r="C266" s="3" t="s">
        <v>15</v>
      </c>
      <c r="D266" s="3" t="s">
        <v>72</v>
      </c>
      <c r="E266" s="6" t="s">
        <v>140</v>
      </c>
      <c r="F266" s="3" t="s">
        <v>62</v>
      </c>
      <c r="G266" s="110">
        <v>3763.7304800000002</v>
      </c>
      <c r="H266" s="110">
        <f>80-17.692+100+154.1-189.117-3</f>
        <v>124.29100000000003</v>
      </c>
      <c r="I266" s="110">
        <f t="shared" si="62"/>
        <v>3888.0214800000003</v>
      </c>
      <c r="J266" s="55">
        <v>3891.0214799999999</v>
      </c>
      <c r="K266" s="85">
        <f t="shared" si="53"/>
        <v>-2.9999999999995453</v>
      </c>
    </row>
    <row r="267" spans="1:11" ht="63.75" x14ac:dyDescent="0.2">
      <c r="A267" s="4" t="s">
        <v>450</v>
      </c>
      <c r="B267" s="3" t="s">
        <v>123</v>
      </c>
      <c r="C267" s="3" t="s">
        <v>15</v>
      </c>
      <c r="D267" s="3" t="s">
        <v>72</v>
      </c>
      <c r="E267" s="6" t="s">
        <v>425</v>
      </c>
      <c r="F267" s="3" t="s">
        <v>426</v>
      </c>
      <c r="G267" s="110">
        <v>14.14077</v>
      </c>
      <c r="H267" s="110"/>
      <c r="I267" s="110">
        <f>G267+H267</f>
        <v>14.14077</v>
      </c>
      <c r="J267" s="55">
        <v>14.14077</v>
      </c>
      <c r="K267" s="85">
        <f t="shared" si="53"/>
        <v>0</v>
      </c>
    </row>
    <row r="268" spans="1:11" ht="38.25" x14ac:dyDescent="0.2">
      <c r="A268" s="10" t="s">
        <v>142</v>
      </c>
      <c r="B268" s="3" t="s">
        <v>123</v>
      </c>
      <c r="C268" s="3" t="s">
        <v>15</v>
      </c>
      <c r="D268" s="3" t="s">
        <v>72</v>
      </c>
      <c r="E268" s="6" t="s">
        <v>140</v>
      </c>
      <c r="F268" s="3" t="s">
        <v>64</v>
      </c>
      <c r="G268" s="110">
        <v>0</v>
      </c>
      <c r="H268" s="110">
        <v>189.11699999999999</v>
      </c>
      <c r="I268" s="110">
        <f t="shared" si="62"/>
        <v>189.11699999999999</v>
      </c>
      <c r="J268" s="55">
        <v>189.11699999999999</v>
      </c>
      <c r="K268" s="85">
        <f t="shared" si="53"/>
        <v>0</v>
      </c>
    </row>
    <row r="269" spans="1:11" x14ac:dyDescent="0.2">
      <c r="A269" s="10" t="s">
        <v>65</v>
      </c>
      <c r="B269" s="3" t="s">
        <v>123</v>
      </c>
      <c r="C269" s="3" t="s">
        <v>15</v>
      </c>
      <c r="D269" s="3" t="s">
        <v>72</v>
      </c>
      <c r="E269" s="6" t="s">
        <v>140</v>
      </c>
      <c r="F269" s="3" t="s">
        <v>66</v>
      </c>
      <c r="G269" s="110">
        <v>85.24</v>
      </c>
      <c r="H269" s="110"/>
      <c r="I269" s="110">
        <f>G269+H269</f>
        <v>85.24</v>
      </c>
      <c r="J269" s="55">
        <v>85.24</v>
      </c>
      <c r="K269" s="85">
        <f t="shared" si="53"/>
        <v>0</v>
      </c>
    </row>
    <row r="270" spans="1:11" x14ac:dyDescent="0.2">
      <c r="A270" s="12" t="s">
        <v>88</v>
      </c>
      <c r="B270" s="3" t="s">
        <v>123</v>
      </c>
      <c r="C270" s="3" t="s">
        <v>15</v>
      </c>
      <c r="D270" s="3" t="s">
        <v>72</v>
      </c>
      <c r="E270" s="12" t="s">
        <v>95</v>
      </c>
      <c r="F270" s="3"/>
      <c r="G270" s="110">
        <f>G274+G280</f>
        <v>753.6</v>
      </c>
      <c r="H270" s="110">
        <f>H274+H280</f>
        <v>0</v>
      </c>
      <c r="I270" s="110">
        <f>I274+I280</f>
        <v>753.6</v>
      </c>
      <c r="K270" s="85"/>
    </row>
    <row r="271" spans="1:11" ht="25.5" hidden="1" x14ac:dyDescent="0.2">
      <c r="A271" s="71" t="s">
        <v>126</v>
      </c>
      <c r="B271" s="78" t="s">
        <v>123</v>
      </c>
      <c r="C271" s="78" t="s">
        <v>15</v>
      </c>
      <c r="D271" s="78" t="s">
        <v>72</v>
      </c>
      <c r="E271" s="71" t="s">
        <v>127</v>
      </c>
      <c r="F271" s="78"/>
      <c r="G271" s="110">
        <f t="shared" ref="G271:I272" si="63">G272</f>
        <v>0</v>
      </c>
      <c r="H271" s="110">
        <f t="shared" si="63"/>
        <v>0</v>
      </c>
      <c r="I271" s="110">
        <f t="shared" si="63"/>
        <v>0</v>
      </c>
      <c r="K271" s="85">
        <f t="shared" si="53"/>
        <v>0</v>
      </c>
    </row>
    <row r="272" spans="1:11" ht="25.5" hidden="1" x14ac:dyDescent="0.2">
      <c r="A272" s="71" t="s">
        <v>143</v>
      </c>
      <c r="B272" s="78" t="s">
        <v>123</v>
      </c>
      <c r="C272" s="78" t="s">
        <v>15</v>
      </c>
      <c r="D272" s="78" t="s">
        <v>72</v>
      </c>
      <c r="E272" s="71" t="s">
        <v>129</v>
      </c>
      <c r="F272" s="78"/>
      <c r="G272" s="110">
        <f t="shared" si="63"/>
        <v>0</v>
      </c>
      <c r="H272" s="110">
        <f t="shared" si="63"/>
        <v>0</v>
      </c>
      <c r="I272" s="110">
        <f t="shared" si="63"/>
        <v>0</v>
      </c>
      <c r="K272" s="85">
        <f t="shared" si="53"/>
        <v>0</v>
      </c>
    </row>
    <row r="273" spans="1:11" hidden="1" x14ac:dyDescent="0.2">
      <c r="A273" s="72" t="s">
        <v>53</v>
      </c>
      <c r="B273" s="78" t="s">
        <v>123</v>
      </c>
      <c r="C273" s="78" t="s">
        <v>15</v>
      </c>
      <c r="D273" s="78" t="s">
        <v>72</v>
      </c>
      <c r="E273" s="71" t="s">
        <v>129</v>
      </c>
      <c r="F273" s="78" t="s">
        <v>54</v>
      </c>
      <c r="G273" s="110"/>
      <c r="H273" s="110"/>
      <c r="I273" s="110">
        <f>G273+H273</f>
        <v>0</v>
      </c>
      <c r="K273" s="85">
        <f t="shared" si="53"/>
        <v>0</v>
      </c>
    </row>
    <row r="274" spans="1:11" ht="75.75" customHeight="1" x14ac:dyDescent="0.2">
      <c r="A274" s="12" t="s">
        <v>144</v>
      </c>
      <c r="B274" s="3" t="s">
        <v>123</v>
      </c>
      <c r="C274" s="3" t="s">
        <v>15</v>
      </c>
      <c r="D274" s="3" t="s">
        <v>72</v>
      </c>
      <c r="E274" s="12" t="s">
        <v>368</v>
      </c>
      <c r="F274" s="3"/>
      <c r="G274" s="110">
        <f>SUM(G275:G279)</f>
        <v>753</v>
      </c>
      <c r="H274" s="110">
        <f>SUM(H275:H279)</f>
        <v>0</v>
      </c>
      <c r="I274" s="110">
        <f>SUM(I275:I279)</f>
        <v>753</v>
      </c>
      <c r="K274" s="85"/>
    </row>
    <row r="275" spans="1:11" x14ac:dyDescent="0.2">
      <c r="A275" s="13" t="s">
        <v>53</v>
      </c>
      <c r="B275" s="3" t="s">
        <v>123</v>
      </c>
      <c r="C275" s="3" t="s">
        <v>15</v>
      </c>
      <c r="D275" s="3" t="s">
        <v>72</v>
      </c>
      <c r="E275" s="12" t="s">
        <v>368</v>
      </c>
      <c r="F275" s="3" t="s">
        <v>54</v>
      </c>
      <c r="G275" s="107">
        <v>662.17370000000005</v>
      </c>
      <c r="H275" s="107">
        <f>1</f>
        <v>1</v>
      </c>
      <c r="I275" s="110">
        <f>G275+H275</f>
        <v>663.17370000000005</v>
      </c>
      <c r="J275" s="55">
        <v>662.17370000000005</v>
      </c>
      <c r="K275" s="85">
        <f t="shared" si="53"/>
        <v>1</v>
      </c>
    </row>
    <row r="276" spans="1:11" ht="38.25" x14ac:dyDescent="0.2">
      <c r="A276" s="4" t="s">
        <v>55</v>
      </c>
      <c r="B276" s="3" t="s">
        <v>123</v>
      </c>
      <c r="C276" s="3" t="s">
        <v>15</v>
      </c>
      <c r="D276" s="3" t="s">
        <v>72</v>
      </c>
      <c r="E276" s="12" t="s">
        <v>368</v>
      </c>
      <c r="F276" s="3" t="s">
        <v>56</v>
      </c>
      <c r="G276" s="107">
        <v>1</v>
      </c>
      <c r="H276" s="107"/>
      <c r="I276" s="110">
        <f>G276+H276</f>
        <v>1</v>
      </c>
      <c r="J276" s="55">
        <v>1</v>
      </c>
      <c r="K276" s="85">
        <f t="shared" si="53"/>
        <v>0</v>
      </c>
    </row>
    <row r="277" spans="1:11" ht="63.75" hidden="1" x14ac:dyDescent="0.2">
      <c r="A277" s="4" t="s">
        <v>57</v>
      </c>
      <c r="B277" s="3" t="s">
        <v>123</v>
      </c>
      <c r="C277" s="3" t="s">
        <v>15</v>
      </c>
      <c r="D277" s="3" t="s">
        <v>72</v>
      </c>
      <c r="E277" s="12" t="s">
        <v>368</v>
      </c>
      <c r="F277" s="3" t="s">
        <v>58</v>
      </c>
      <c r="G277" s="107"/>
      <c r="H277" s="107"/>
      <c r="I277" s="110">
        <f>G277+H277</f>
        <v>0</v>
      </c>
      <c r="K277" s="85">
        <f t="shared" si="53"/>
        <v>0</v>
      </c>
    </row>
    <row r="278" spans="1:11" ht="25.5" hidden="1" x14ac:dyDescent="0.2">
      <c r="A278" s="14" t="s">
        <v>59</v>
      </c>
      <c r="B278" s="3" t="s">
        <v>123</v>
      </c>
      <c r="C278" s="3" t="s">
        <v>15</v>
      </c>
      <c r="D278" s="3" t="s">
        <v>72</v>
      </c>
      <c r="E278" s="12" t="s">
        <v>368</v>
      </c>
      <c r="F278" s="3" t="s">
        <v>60</v>
      </c>
      <c r="G278" s="110"/>
      <c r="H278" s="110"/>
      <c r="I278" s="110">
        <f>G278+H278</f>
        <v>0</v>
      </c>
      <c r="K278" s="85">
        <f t="shared" si="53"/>
        <v>0</v>
      </c>
    </row>
    <row r="279" spans="1:11" ht="38.25" x14ac:dyDescent="0.2">
      <c r="A279" s="4" t="s">
        <v>61</v>
      </c>
      <c r="B279" s="3" t="s">
        <v>123</v>
      </c>
      <c r="C279" s="3" t="s">
        <v>15</v>
      </c>
      <c r="D279" s="3" t="s">
        <v>72</v>
      </c>
      <c r="E279" s="12" t="s">
        <v>368</v>
      </c>
      <c r="F279" s="3" t="s">
        <v>62</v>
      </c>
      <c r="G279" s="110">
        <v>89.826300000000003</v>
      </c>
      <c r="H279" s="110">
        <v>-1</v>
      </c>
      <c r="I279" s="110">
        <f>G279+H279</f>
        <v>88.826300000000003</v>
      </c>
      <c r="J279" s="55">
        <v>89.826300000000003</v>
      </c>
      <c r="K279" s="85">
        <f t="shared" si="53"/>
        <v>-1</v>
      </c>
    </row>
    <row r="280" spans="1:11" ht="60" customHeight="1" x14ac:dyDescent="0.2">
      <c r="A280" s="8" t="s">
        <v>145</v>
      </c>
      <c r="B280" s="3" t="s">
        <v>123</v>
      </c>
      <c r="C280" s="3" t="s">
        <v>15</v>
      </c>
      <c r="D280" s="3" t="s">
        <v>72</v>
      </c>
      <c r="E280" s="12" t="s">
        <v>146</v>
      </c>
      <c r="F280" s="3"/>
      <c r="G280" s="110">
        <f>G281</f>
        <v>0.6</v>
      </c>
      <c r="H280" s="110">
        <f>H281</f>
        <v>0</v>
      </c>
      <c r="I280" s="110">
        <f>I281</f>
        <v>0.6</v>
      </c>
      <c r="K280" s="85"/>
    </row>
    <row r="281" spans="1:11" ht="38.25" x14ac:dyDescent="0.2">
      <c r="A281" s="4" t="s">
        <v>61</v>
      </c>
      <c r="B281" s="3" t="s">
        <v>123</v>
      </c>
      <c r="C281" s="3" t="s">
        <v>15</v>
      </c>
      <c r="D281" s="3" t="s">
        <v>72</v>
      </c>
      <c r="E281" s="12" t="s">
        <v>146</v>
      </c>
      <c r="F281" s="3" t="s">
        <v>62</v>
      </c>
      <c r="G281" s="110">
        <v>0.6</v>
      </c>
      <c r="H281" s="110"/>
      <c r="I281" s="110">
        <f>G281+H281</f>
        <v>0.6</v>
      </c>
      <c r="J281" s="55">
        <v>0.6</v>
      </c>
      <c r="K281" s="85">
        <f t="shared" si="53"/>
        <v>0</v>
      </c>
    </row>
    <row r="282" spans="1:11" ht="38.25" x14ac:dyDescent="0.2">
      <c r="A282" s="16" t="s">
        <v>84</v>
      </c>
      <c r="B282" s="3" t="s">
        <v>123</v>
      </c>
      <c r="C282" s="3" t="s">
        <v>15</v>
      </c>
      <c r="D282" s="3" t="s">
        <v>85</v>
      </c>
      <c r="E282" s="3"/>
      <c r="F282" s="3"/>
      <c r="G282" s="107">
        <f>G283</f>
        <v>844.77</v>
      </c>
      <c r="H282" s="107">
        <f t="shared" ref="H282:I284" si="64">H283</f>
        <v>0</v>
      </c>
      <c r="I282" s="107">
        <f t="shared" si="64"/>
        <v>844.77</v>
      </c>
      <c r="K282" s="85"/>
    </row>
    <row r="283" spans="1:11" x14ac:dyDescent="0.2">
      <c r="A283" s="12" t="s">
        <v>88</v>
      </c>
      <c r="B283" s="3" t="s">
        <v>123</v>
      </c>
      <c r="C283" s="3" t="s">
        <v>15</v>
      </c>
      <c r="D283" s="3" t="s">
        <v>85</v>
      </c>
      <c r="E283" s="12" t="s">
        <v>95</v>
      </c>
      <c r="F283" s="3"/>
      <c r="G283" s="107">
        <f>G284</f>
        <v>844.77</v>
      </c>
      <c r="H283" s="107">
        <f t="shared" si="64"/>
        <v>0</v>
      </c>
      <c r="I283" s="107">
        <f t="shared" si="64"/>
        <v>844.77</v>
      </c>
      <c r="K283" s="85"/>
    </row>
    <row r="284" spans="1:11" ht="25.5" x14ac:dyDescent="0.2">
      <c r="A284" s="12" t="s">
        <v>126</v>
      </c>
      <c r="B284" s="3" t="s">
        <v>123</v>
      </c>
      <c r="C284" s="3" t="s">
        <v>15</v>
      </c>
      <c r="D284" s="3" t="s">
        <v>85</v>
      </c>
      <c r="E284" s="12" t="s">
        <v>132</v>
      </c>
      <c r="F284" s="3"/>
      <c r="G284" s="107">
        <f>G285</f>
        <v>844.77</v>
      </c>
      <c r="H284" s="107">
        <f t="shared" si="64"/>
        <v>0</v>
      </c>
      <c r="I284" s="107">
        <f t="shared" si="64"/>
        <v>844.77</v>
      </c>
      <c r="K284" s="85"/>
    </row>
    <row r="285" spans="1:11" ht="38.25" x14ac:dyDescent="0.2">
      <c r="A285" s="12" t="s">
        <v>397</v>
      </c>
      <c r="B285" s="3" t="s">
        <v>123</v>
      </c>
      <c r="C285" s="3" t="s">
        <v>15</v>
      </c>
      <c r="D285" s="3" t="s">
        <v>85</v>
      </c>
      <c r="E285" s="12" t="s">
        <v>136</v>
      </c>
      <c r="F285" s="3"/>
      <c r="G285" s="107">
        <f>G286+G288+G287</f>
        <v>844.77</v>
      </c>
      <c r="H285" s="107">
        <f>H286+H288+H287</f>
        <v>0</v>
      </c>
      <c r="I285" s="107">
        <f>I286+I288+I287</f>
        <v>844.77</v>
      </c>
      <c r="K285" s="85"/>
    </row>
    <row r="286" spans="1:11" x14ac:dyDescent="0.2">
      <c r="A286" s="13" t="s">
        <v>53</v>
      </c>
      <c r="B286" s="3" t="s">
        <v>123</v>
      </c>
      <c r="C286" s="3" t="s">
        <v>15</v>
      </c>
      <c r="D286" s="3" t="s">
        <v>85</v>
      </c>
      <c r="E286" s="12" t="s">
        <v>136</v>
      </c>
      <c r="F286" s="3" t="s">
        <v>54</v>
      </c>
      <c r="G286" s="107">
        <v>826.77</v>
      </c>
      <c r="H286" s="107"/>
      <c r="I286" s="107">
        <f>G286+H286</f>
        <v>826.77</v>
      </c>
      <c r="J286" s="55">
        <v>826.77</v>
      </c>
      <c r="K286" s="85">
        <f t="shared" si="53"/>
        <v>0</v>
      </c>
    </row>
    <row r="287" spans="1:11" ht="25.5" x14ac:dyDescent="0.2">
      <c r="A287" s="14" t="s">
        <v>59</v>
      </c>
      <c r="B287" s="3" t="s">
        <v>123</v>
      </c>
      <c r="C287" s="3" t="s">
        <v>15</v>
      </c>
      <c r="D287" s="3" t="s">
        <v>85</v>
      </c>
      <c r="E287" s="12" t="s">
        <v>136</v>
      </c>
      <c r="F287" s="3" t="s">
        <v>60</v>
      </c>
      <c r="G287" s="107">
        <v>10</v>
      </c>
      <c r="H287" s="107"/>
      <c r="I287" s="107">
        <f>G287+H287</f>
        <v>10</v>
      </c>
      <c r="J287" s="55">
        <v>10</v>
      </c>
      <c r="K287" s="85">
        <f t="shared" si="53"/>
        <v>0</v>
      </c>
    </row>
    <row r="288" spans="1:11" ht="38.25" x14ac:dyDescent="0.2">
      <c r="A288" s="4" t="s">
        <v>61</v>
      </c>
      <c r="B288" s="3" t="s">
        <v>123</v>
      </c>
      <c r="C288" s="3" t="s">
        <v>15</v>
      </c>
      <c r="D288" s="3" t="s">
        <v>85</v>
      </c>
      <c r="E288" s="12" t="s">
        <v>136</v>
      </c>
      <c r="F288" s="3" t="s">
        <v>62</v>
      </c>
      <c r="G288" s="107">
        <v>8</v>
      </c>
      <c r="H288" s="107"/>
      <c r="I288" s="107">
        <f>G288+H288</f>
        <v>8</v>
      </c>
      <c r="J288" s="55">
        <v>8</v>
      </c>
      <c r="K288" s="85">
        <f t="shared" si="53"/>
        <v>0</v>
      </c>
    </row>
    <row r="289" spans="1:11" ht="25.5" x14ac:dyDescent="0.2">
      <c r="A289" s="4" t="s">
        <v>474</v>
      </c>
      <c r="B289" s="3" t="s">
        <v>123</v>
      </c>
      <c r="C289" s="3" t="s">
        <v>15</v>
      </c>
      <c r="D289" s="3" t="s">
        <v>13</v>
      </c>
      <c r="E289" s="12"/>
      <c r="F289" s="3"/>
      <c r="G289" s="107">
        <f>G290</f>
        <v>183</v>
      </c>
      <c r="H289" s="107">
        <f t="shared" ref="H289:I291" si="65">H290</f>
        <v>0</v>
      </c>
      <c r="I289" s="107">
        <f t="shared" si="65"/>
        <v>183</v>
      </c>
      <c r="K289" s="85"/>
    </row>
    <row r="290" spans="1:11" x14ac:dyDescent="0.2">
      <c r="A290" s="12" t="s">
        <v>88</v>
      </c>
      <c r="B290" s="3" t="s">
        <v>123</v>
      </c>
      <c r="C290" s="3" t="s">
        <v>15</v>
      </c>
      <c r="D290" s="3" t="s">
        <v>13</v>
      </c>
      <c r="E290" s="12">
        <v>9900000</v>
      </c>
      <c r="F290" s="3"/>
      <c r="G290" s="107">
        <f>G291</f>
        <v>183</v>
      </c>
      <c r="H290" s="107">
        <f t="shared" si="65"/>
        <v>0</v>
      </c>
      <c r="I290" s="107">
        <f t="shared" si="65"/>
        <v>183</v>
      </c>
      <c r="K290" s="85"/>
    </row>
    <row r="291" spans="1:11" ht="38.25" x14ac:dyDescent="0.2">
      <c r="A291" s="4" t="s">
        <v>475</v>
      </c>
      <c r="B291" s="3" t="s">
        <v>123</v>
      </c>
      <c r="C291" s="3" t="s">
        <v>15</v>
      </c>
      <c r="D291" s="3" t="s">
        <v>13</v>
      </c>
      <c r="E291" s="12">
        <v>9900015</v>
      </c>
      <c r="F291" s="3"/>
      <c r="G291" s="107">
        <f>G292</f>
        <v>183</v>
      </c>
      <c r="H291" s="107">
        <f t="shared" si="65"/>
        <v>0</v>
      </c>
      <c r="I291" s="107">
        <f t="shared" si="65"/>
        <v>183</v>
      </c>
      <c r="K291" s="85"/>
    </row>
    <row r="292" spans="1:11" ht="38.25" x14ac:dyDescent="0.2">
      <c r="A292" s="4" t="s">
        <v>61</v>
      </c>
      <c r="B292" s="3" t="s">
        <v>123</v>
      </c>
      <c r="C292" s="3" t="s">
        <v>15</v>
      </c>
      <c r="D292" s="3" t="s">
        <v>13</v>
      </c>
      <c r="E292" s="12">
        <v>9900015</v>
      </c>
      <c r="F292" s="3" t="s">
        <v>62</v>
      </c>
      <c r="G292" s="107">
        <v>183</v>
      </c>
      <c r="H292" s="107"/>
      <c r="I292" s="107">
        <f>G292+H292</f>
        <v>183</v>
      </c>
      <c r="J292" s="55">
        <v>183</v>
      </c>
      <c r="K292" s="85">
        <f t="shared" si="53"/>
        <v>0</v>
      </c>
    </row>
    <row r="293" spans="1:11" x14ac:dyDescent="0.2">
      <c r="A293" s="15" t="s">
        <v>93</v>
      </c>
      <c r="B293" s="3" t="s">
        <v>123</v>
      </c>
      <c r="C293" s="3" t="s">
        <v>15</v>
      </c>
      <c r="D293" s="3" t="s">
        <v>94</v>
      </c>
      <c r="E293" s="3"/>
      <c r="F293" s="3"/>
      <c r="G293" s="107">
        <f>G298+G294</f>
        <v>1081.5999999999999</v>
      </c>
      <c r="H293" s="107">
        <f>H298+H294</f>
        <v>17.799999999999997</v>
      </c>
      <c r="I293" s="107">
        <f>I298+I294</f>
        <v>1099.4000000000001</v>
      </c>
      <c r="K293" s="85"/>
    </row>
    <row r="294" spans="1:11" ht="38.25" hidden="1" x14ac:dyDescent="0.2">
      <c r="A294" s="5" t="s">
        <v>137</v>
      </c>
      <c r="B294" s="3" t="s">
        <v>123</v>
      </c>
      <c r="C294" s="3" t="s">
        <v>15</v>
      </c>
      <c r="D294" s="3" t="s">
        <v>94</v>
      </c>
      <c r="E294" s="3" t="s">
        <v>138</v>
      </c>
      <c r="F294" s="3"/>
      <c r="G294" s="107">
        <f t="shared" ref="G294:I296" si="66">G295</f>
        <v>0</v>
      </c>
      <c r="H294" s="107">
        <f t="shared" si="66"/>
        <v>0</v>
      </c>
      <c r="I294" s="107">
        <f t="shared" si="66"/>
        <v>0</v>
      </c>
      <c r="K294" s="85"/>
    </row>
    <row r="295" spans="1:11" ht="38.25" hidden="1" x14ac:dyDescent="0.2">
      <c r="A295" s="7" t="s">
        <v>170</v>
      </c>
      <c r="B295" s="3" t="s">
        <v>123</v>
      </c>
      <c r="C295" s="3" t="s">
        <v>15</v>
      </c>
      <c r="D295" s="3" t="s">
        <v>94</v>
      </c>
      <c r="E295" s="3" t="s">
        <v>171</v>
      </c>
      <c r="F295" s="3"/>
      <c r="G295" s="107">
        <f t="shared" si="66"/>
        <v>0</v>
      </c>
      <c r="H295" s="107">
        <f t="shared" si="66"/>
        <v>0</v>
      </c>
      <c r="I295" s="107">
        <f t="shared" si="66"/>
        <v>0</v>
      </c>
      <c r="K295" s="85"/>
    </row>
    <row r="296" spans="1:11" ht="38.25" hidden="1" x14ac:dyDescent="0.2">
      <c r="A296" s="101" t="s">
        <v>468</v>
      </c>
      <c r="B296" s="3" t="s">
        <v>123</v>
      </c>
      <c r="C296" s="3" t="s">
        <v>15</v>
      </c>
      <c r="D296" s="3" t="s">
        <v>94</v>
      </c>
      <c r="E296" s="3" t="s">
        <v>467</v>
      </c>
      <c r="F296" s="3"/>
      <c r="G296" s="107">
        <f t="shared" si="66"/>
        <v>0</v>
      </c>
      <c r="H296" s="107">
        <f t="shared" si="66"/>
        <v>0</v>
      </c>
      <c r="I296" s="107">
        <f t="shared" si="66"/>
        <v>0</v>
      </c>
      <c r="K296" s="85"/>
    </row>
    <row r="297" spans="1:11" ht="38.25" hidden="1" x14ac:dyDescent="0.2">
      <c r="A297" s="4" t="s">
        <v>61</v>
      </c>
      <c r="B297" s="3" t="s">
        <v>123</v>
      </c>
      <c r="C297" s="3" t="s">
        <v>15</v>
      </c>
      <c r="D297" s="3" t="s">
        <v>94</v>
      </c>
      <c r="E297" s="3" t="s">
        <v>467</v>
      </c>
      <c r="F297" s="3" t="s">
        <v>62</v>
      </c>
      <c r="G297" s="107">
        <v>0</v>
      </c>
      <c r="H297" s="107"/>
      <c r="I297" s="107">
        <f>G297+H297</f>
        <v>0</v>
      </c>
      <c r="K297" s="85">
        <f t="shared" ref="K297:K357" si="67">I297-J297</f>
        <v>0</v>
      </c>
    </row>
    <row r="298" spans="1:11" x14ac:dyDescent="0.2">
      <c r="A298" s="5" t="s">
        <v>88</v>
      </c>
      <c r="B298" s="3" t="s">
        <v>123</v>
      </c>
      <c r="C298" s="3" t="s">
        <v>15</v>
      </c>
      <c r="D298" s="3" t="s">
        <v>94</v>
      </c>
      <c r="E298" s="3" t="s">
        <v>89</v>
      </c>
      <c r="F298" s="3"/>
      <c r="G298" s="107">
        <f>G301+G304+G306+G312+G299</f>
        <v>1081.5999999999999</v>
      </c>
      <c r="H298" s="107">
        <f>H301+H304+H306+H312+H299</f>
        <v>17.799999999999997</v>
      </c>
      <c r="I298" s="107">
        <f>I301+I304+I306+I312+I299</f>
        <v>1099.4000000000001</v>
      </c>
      <c r="K298" s="85"/>
    </row>
    <row r="299" spans="1:11" ht="56.25" customHeight="1" x14ac:dyDescent="0.2">
      <c r="A299" s="104" t="s">
        <v>466</v>
      </c>
      <c r="B299" s="3" t="s">
        <v>123</v>
      </c>
      <c r="C299" s="3" t="s">
        <v>15</v>
      </c>
      <c r="D299" s="3" t="s">
        <v>94</v>
      </c>
      <c r="E299" s="3" t="s">
        <v>504</v>
      </c>
      <c r="F299" s="3"/>
      <c r="G299" s="107">
        <f>G300</f>
        <v>0.1</v>
      </c>
      <c r="H299" s="107">
        <f>H300</f>
        <v>0</v>
      </c>
      <c r="I299" s="107">
        <f>I300</f>
        <v>0.1</v>
      </c>
      <c r="K299" s="85"/>
    </row>
    <row r="300" spans="1:11" ht="38.25" x14ac:dyDescent="0.2">
      <c r="A300" s="4" t="s">
        <v>61</v>
      </c>
      <c r="B300" s="3" t="s">
        <v>123</v>
      </c>
      <c r="C300" s="3" t="s">
        <v>15</v>
      </c>
      <c r="D300" s="3" t="s">
        <v>94</v>
      </c>
      <c r="E300" s="3" t="s">
        <v>504</v>
      </c>
      <c r="F300" s="3" t="s">
        <v>62</v>
      </c>
      <c r="G300" s="107">
        <v>0.1</v>
      </c>
      <c r="H300" s="107"/>
      <c r="I300" s="107">
        <f>G300+H300</f>
        <v>0.1</v>
      </c>
      <c r="J300" s="55">
        <v>0.1</v>
      </c>
      <c r="K300" s="85">
        <f t="shared" si="67"/>
        <v>0</v>
      </c>
    </row>
    <row r="301" spans="1:11" ht="38.25" x14ac:dyDescent="0.2">
      <c r="A301" s="15" t="s">
        <v>148</v>
      </c>
      <c r="B301" s="3" t="s">
        <v>123</v>
      </c>
      <c r="C301" s="3" t="s">
        <v>15</v>
      </c>
      <c r="D301" s="3" t="s">
        <v>94</v>
      </c>
      <c r="E301" s="3" t="s">
        <v>369</v>
      </c>
      <c r="F301" s="3"/>
      <c r="G301" s="107">
        <f>G302+G303</f>
        <v>53.1</v>
      </c>
      <c r="H301" s="107">
        <f>H302+H303</f>
        <v>0</v>
      </c>
      <c r="I301" s="107">
        <f>I302+I303</f>
        <v>53.1</v>
      </c>
      <c r="K301" s="85"/>
    </row>
    <row r="302" spans="1:11" ht="25.5" x14ac:dyDescent="0.2">
      <c r="A302" s="14" t="s">
        <v>59</v>
      </c>
      <c r="B302" s="3" t="s">
        <v>123</v>
      </c>
      <c r="C302" s="3" t="s">
        <v>15</v>
      </c>
      <c r="D302" s="3" t="s">
        <v>94</v>
      </c>
      <c r="E302" s="3" t="s">
        <v>369</v>
      </c>
      <c r="F302" s="3" t="s">
        <v>60</v>
      </c>
      <c r="G302" s="107">
        <v>10</v>
      </c>
      <c r="H302" s="107"/>
      <c r="I302" s="107">
        <f>G302+H302</f>
        <v>10</v>
      </c>
      <c r="J302" s="55">
        <v>10</v>
      </c>
      <c r="K302" s="85">
        <f t="shared" si="67"/>
        <v>0</v>
      </c>
    </row>
    <row r="303" spans="1:11" ht="38.25" x14ac:dyDescent="0.2">
      <c r="A303" s="4" t="s">
        <v>61</v>
      </c>
      <c r="B303" s="3" t="s">
        <v>123</v>
      </c>
      <c r="C303" s="3" t="s">
        <v>15</v>
      </c>
      <c r="D303" s="3" t="s">
        <v>94</v>
      </c>
      <c r="E303" s="3" t="s">
        <v>369</v>
      </c>
      <c r="F303" s="3" t="s">
        <v>62</v>
      </c>
      <c r="G303" s="107">
        <v>43.1</v>
      </c>
      <c r="H303" s="107"/>
      <c r="I303" s="107">
        <f>G303+H303</f>
        <v>43.1</v>
      </c>
      <c r="J303" s="55">
        <v>43.1</v>
      </c>
      <c r="K303" s="85">
        <f t="shared" si="67"/>
        <v>0</v>
      </c>
    </row>
    <row r="304" spans="1:11" ht="66.75" customHeight="1" x14ac:dyDescent="0.2">
      <c r="A304" s="15" t="s">
        <v>149</v>
      </c>
      <c r="B304" s="3" t="s">
        <v>123</v>
      </c>
      <c r="C304" s="3" t="s">
        <v>15</v>
      </c>
      <c r="D304" s="3" t="s">
        <v>94</v>
      </c>
      <c r="E304" s="3" t="s">
        <v>370</v>
      </c>
      <c r="F304" s="3"/>
      <c r="G304" s="107">
        <f>G305</f>
        <v>213.8</v>
      </c>
      <c r="H304" s="107">
        <f>H305</f>
        <v>0</v>
      </c>
      <c r="I304" s="107">
        <f>I305</f>
        <v>213.8</v>
      </c>
      <c r="K304" s="85"/>
    </row>
    <row r="305" spans="1:11" ht="38.25" x14ac:dyDescent="0.2">
      <c r="A305" s="4" t="s">
        <v>53</v>
      </c>
      <c r="B305" s="3" t="s">
        <v>123</v>
      </c>
      <c r="C305" s="3" t="s">
        <v>15</v>
      </c>
      <c r="D305" s="3" t="s">
        <v>94</v>
      </c>
      <c r="E305" s="3" t="s">
        <v>370</v>
      </c>
      <c r="F305" s="3" t="s">
        <v>54</v>
      </c>
      <c r="G305" s="107">
        <v>213.8</v>
      </c>
      <c r="H305" s="107"/>
      <c r="I305" s="107">
        <f>G305+H305</f>
        <v>213.8</v>
      </c>
      <c r="J305" s="55">
        <v>213.8</v>
      </c>
      <c r="K305" s="85">
        <f t="shared" si="67"/>
        <v>0</v>
      </c>
    </row>
    <row r="306" spans="1:11" ht="25.5" x14ac:dyDescent="0.2">
      <c r="A306" s="15" t="s">
        <v>150</v>
      </c>
      <c r="B306" s="3" t="s">
        <v>123</v>
      </c>
      <c r="C306" s="3" t="s">
        <v>15</v>
      </c>
      <c r="D306" s="3" t="s">
        <v>94</v>
      </c>
      <c r="E306" s="3" t="s">
        <v>371</v>
      </c>
      <c r="F306" s="3"/>
      <c r="G306" s="107">
        <f>SUM(G307:G311)</f>
        <v>634.6</v>
      </c>
      <c r="H306" s="107">
        <f>SUM(H307:H311)</f>
        <v>43.4</v>
      </c>
      <c r="I306" s="107">
        <f>SUM(I307:I311)</f>
        <v>678</v>
      </c>
      <c r="K306" s="85"/>
    </row>
    <row r="307" spans="1:11" ht="38.25" x14ac:dyDescent="0.2">
      <c r="A307" s="4" t="s">
        <v>53</v>
      </c>
      <c r="B307" s="3" t="s">
        <v>123</v>
      </c>
      <c r="C307" s="3" t="s">
        <v>15</v>
      </c>
      <c r="D307" s="3" t="s">
        <v>94</v>
      </c>
      <c r="E307" s="3" t="s">
        <v>371</v>
      </c>
      <c r="F307" s="3" t="s">
        <v>54</v>
      </c>
      <c r="G307" s="107">
        <v>484.16</v>
      </c>
      <c r="H307" s="107">
        <f>13.8913+43.4</f>
        <v>57.2913</v>
      </c>
      <c r="I307" s="107">
        <f>G307+H307</f>
        <v>541.45130000000006</v>
      </c>
      <c r="J307" s="55">
        <v>541.45129999999995</v>
      </c>
      <c r="K307" s="85">
        <f t="shared" si="67"/>
        <v>0</v>
      </c>
    </row>
    <row r="308" spans="1:11" ht="38.25" x14ac:dyDescent="0.2">
      <c r="A308" s="4" t="s">
        <v>55</v>
      </c>
      <c r="B308" s="3" t="s">
        <v>123</v>
      </c>
      <c r="C308" s="3" t="s">
        <v>15</v>
      </c>
      <c r="D308" s="3" t="s">
        <v>94</v>
      </c>
      <c r="E308" s="3" t="s">
        <v>371</v>
      </c>
      <c r="F308" s="3" t="s">
        <v>56</v>
      </c>
      <c r="G308" s="107">
        <v>1</v>
      </c>
      <c r="H308" s="107">
        <v>-1</v>
      </c>
      <c r="I308" s="107">
        <f>G308+H308</f>
        <v>0</v>
      </c>
      <c r="J308" s="55">
        <v>0</v>
      </c>
      <c r="K308" s="85">
        <f t="shared" si="67"/>
        <v>0</v>
      </c>
    </row>
    <row r="309" spans="1:11" ht="63.75" hidden="1" x14ac:dyDescent="0.2">
      <c r="A309" s="4" t="s">
        <v>57</v>
      </c>
      <c r="B309" s="3" t="s">
        <v>123</v>
      </c>
      <c r="C309" s="3" t="s">
        <v>15</v>
      </c>
      <c r="D309" s="3" t="s">
        <v>94</v>
      </c>
      <c r="E309" s="3" t="s">
        <v>371</v>
      </c>
      <c r="F309" s="3" t="s">
        <v>58</v>
      </c>
      <c r="G309" s="107"/>
      <c r="H309" s="107"/>
      <c r="I309" s="107">
        <f>G309+H309</f>
        <v>0</v>
      </c>
      <c r="K309" s="85">
        <f t="shared" si="67"/>
        <v>0</v>
      </c>
    </row>
    <row r="310" spans="1:11" ht="25.5" x14ac:dyDescent="0.2">
      <c r="A310" s="14" t="s">
        <v>59</v>
      </c>
      <c r="B310" s="3" t="s">
        <v>123</v>
      </c>
      <c r="C310" s="3" t="s">
        <v>15</v>
      </c>
      <c r="D310" s="3" t="s">
        <v>94</v>
      </c>
      <c r="E310" s="3" t="s">
        <v>371</v>
      </c>
      <c r="F310" s="3" t="s">
        <v>60</v>
      </c>
      <c r="G310" s="107"/>
      <c r="H310" s="107">
        <v>5.9420000000000002</v>
      </c>
      <c r="I310" s="107">
        <f>G310+H310</f>
        <v>5.9420000000000002</v>
      </c>
      <c r="K310" s="85">
        <f t="shared" si="67"/>
        <v>5.9420000000000002</v>
      </c>
    </row>
    <row r="311" spans="1:11" ht="38.25" x14ac:dyDescent="0.2">
      <c r="A311" s="4" t="s">
        <v>61</v>
      </c>
      <c r="B311" s="3" t="s">
        <v>123</v>
      </c>
      <c r="C311" s="3" t="s">
        <v>15</v>
      </c>
      <c r="D311" s="3" t="s">
        <v>94</v>
      </c>
      <c r="E311" s="3" t="s">
        <v>371</v>
      </c>
      <c r="F311" s="3" t="s">
        <v>62</v>
      </c>
      <c r="G311" s="107">
        <v>149.44</v>
      </c>
      <c r="H311" s="107">
        <f>-12.8913-5.942</f>
        <v>-18.833300000000001</v>
      </c>
      <c r="I311" s="107">
        <f>G311+H311</f>
        <v>130.60669999999999</v>
      </c>
      <c r="J311" s="55">
        <v>136.5487</v>
      </c>
      <c r="K311" s="85">
        <f t="shared" si="67"/>
        <v>-5.9420000000000073</v>
      </c>
    </row>
    <row r="312" spans="1:11" ht="25.5" x14ac:dyDescent="0.2">
      <c r="A312" s="4" t="s">
        <v>396</v>
      </c>
      <c r="B312" s="3" t="s">
        <v>123</v>
      </c>
      <c r="C312" s="3" t="s">
        <v>15</v>
      </c>
      <c r="D312" s="3" t="s">
        <v>94</v>
      </c>
      <c r="E312" s="3" t="s">
        <v>394</v>
      </c>
      <c r="F312" s="3"/>
      <c r="G312" s="107">
        <f>G313</f>
        <v>180</v>
      </c>
      <c r="H312" s="107">
        <f>H313</f>
        <v>-25.6</v>
      </c>
      <c r="I312" s="107">
        <f>I313</f>
        <v>154.4</v>
      </c>
      <c r="K312" s="85"/>
    </row>
    <row r="313" spans="1:11" ht="55.5" customHeight="1" x14ac:dyDescent="0.2">
      <c r="A313" s="89" t="s">
        <v>395</v>
      </c>
      <c r="B313" s="3" t="s">
        <v>123</v>
      </c>
      <c r="C313" s="3" t="s">
        <v>15</v>
      </c>
      <c r="D313" s="3" t="s">
        <v>94</v>
      </c>
      <c r="E313" s="3" t="s">
        <v>394</v>
      </c>
      <c r="F313" s="3" t="s">
        <v>58</v>
      </c>
      <c r="G313" s="107">
        <v>180</v>
      </c>
      <c r="H313" s="110">
        <v>-25.6</v>
      </c>
      <c r="I313" s="107">
        <f>G313+H313</f>
        <v>154.4</v>
      </c>
      <c r="J313" s="55">
        <v>180</v>
      </c>
      <c r="K313" s="85">
        <f t="shared" si="67"/>
        <v>-25.599999999999994</v>
      </c>
    </row>
    <row r="314" spans="1:11" ht="25.5" x14ac:dyDescent="0.2">
      <c r="A314" s="15" t="s">
        <v>152</v>
      </c>
      <c r="B314" s="3" t="s">
        <v>123</v>
      </c>
      <c r="C314" s="3" t="s">
        <v>111</v>
      </c>
      <c r="D314" s="3"/>
      <c r="E314" s="3"/>
      <c r="F314" s="3"/>
      <c r="G314" s="110">
        <f>G315+G330</f>
        <v>1190.3809000000001</v>
      </c>
      <c r="H314" s="110">
        <f>H315+H330</f>
        <v>354.85133000000002</v>
      </c>
      <c r="I314" s="110">
        <f>I315+I330</f>
        <v>1545.2322300000001</v>
      </c>
      <c r="K314" s="85"/>
    </row>
    <row r="315" spans="1:11" ht="38.25" x14ac:dyDescent="0.2">
      <c r="A315" s="15" t="s">
        <v>153</v>
      </c>
      <c r="B315" s="3" t="s">
        <v>123</v>
      </c>
      <c r="C315" s="3" t="s">
        <v>111</v>
      </c>
      <c r="D315" s="3" t="s">
        <v>50</v>
      </c>
      <c r="E315" s="3"/>
      <c r="F315" s="3"/>
      <c r="G315" s="107">
        <f>G316+G323</f>
        <v>920.08090000000004</v>
      </c>
      <c r="H315" s="107">
        <f>H316+H323</f>
        <v>365.15133000000003</v>
      </c>
      <c r="I315" s="107">
        <f>I316+I323</f>
        <v>1285.2322300000001</v>
      </c>
      <c r="K315" s="85"/>
    </row>
    <row r="316" spans="1:11" ht="51" x14ac:dyDescent="0.2">
      <c r="A316" s="5" t="s">
        <v>154</v>
      </c>
      <c r="B316" s="3" t="s">
        <v>123</v>
      </c>
      <c r="C316" s="3" t="s">
        <v>111</v>
      </c>
      <c r="D316" s="3" t="s">
        <v>50</v>
      </c>
      <c r="E316" s="6" t="s">
        <v>155</v>
      </c>
      <c r="F316" s="3"/>
      <c r="G316" s="107">
        <f t="shared" ref="G316:I317" si="68">G317</f>
        <v>677.14190000000008</v>
      </c>
      <c r="H316" s="107">
        <f t="shared" si="68"/>
        <v>196.03733</v>
      </c>
      <c r="I316" s="107">
        <f t="shared" si="68"/>
        <v>873.17922999999996</v>
      </c>
      <c r="K316" s="85"/>
    </row>
    <row r="317" spans="1:11" ht="38.25" x14ac:dyDescent="0.2">
      <c r="A317" s="7" t="s">
        <v>156</v>
      </c>
      <c r="B317" s="3" t="s">
        <v>123</v>
      </c>
      <c r="C317" s="3" t="s">
        <v>111</v>
      </c>
      <c r="D317" s="3" t="s">
        <v>50</v>
      </c>
      <c r="E317" s="6" t="s">
        <v>157</v>
      </c>
      <c r="F317" s="3"/>
      <c r="G317" s="107">
        <f t="shared" si="68"/>
        <v>677.14190000000008</v>
      </c>
      <c r="H317" s="107">
        <f t="shared" si="68"/>
        <v>196.03733</v>
      </c>
      <c r="I317" s="107">
        <f t="shared" si="68"/>
        <v>873.17922999999996</v>
      </c>
      <c r="K317" s="85"/>
    </row>
    <row r="318" spans="1:11" ht="63.75" x14ac:dyDescent="0.2">
      <c r="A318" s="7" t="s">
        <v>158</v>
      </c>
      <c r="B318" s="3" t="s">
        <v>123</v>
      </c>
      <c r="C318" s="3" t="s">
        <v>111</v>
      </c>
      <c r="D318" s="3" t="s">
        <v>50</v>
      </c>
      <c r="E318" s="20" t="s">
        <v>159</v>
      </c>
      <c r="F318" s="3"/>
      <c r="G318" s="107">
        <f>G320+G322+G321+G319</f>
        <v>677.14190000000008</v>
      </c>
      <c r="H318" s="107">
        <f>H320+H322+H321+H319</f>
        <v>196.03733</v>
      </c>
      <c r="I318" s="107">
        <f>I320+I322+I321+I319</f>
        <v>873.17922999999996</v>
      </c>
      <c r="K318" s="85"/>
    </row>
    <row r="319" spans="1:11" ht="36.75" customHeight="1" x14ac:dyDescent="0.2">
      <c r="A319" s="4" t="s">
        <v>498</v>
      </c>
      <c r="B319" s="3" t="s">
        <v>123</v>
      </c>
      <c r="C319" s="3" t="s">
        <v>111</v>
      </c>
      <c r="D319" s="3" t="s">
        <v>50</v>
      </c>
      <c r="E319" s="20" t="s">
        <v>159</v>
      </c>
      <c r="F319" s="3" t="s">
        <v>497</v>
      </c>
      <c r="G319" s="107">
        <v>290.49799999999999</v>
      </c>
      <c r="H319" s="107">
        <f>69.553</f>
        <v>69.552999999999997</v>
      </c>
      <c r="I319" s="107">
        <f>G319+H319</f>
        <v>360.05099999999999</v>
      </c>
      <c r="J319" s="55">
        <v>360.05099999999999</v>
      </c>
      <c r="K319" s="85">
        <f t="shared" si="67"/>
        <v>0</v>
      </c>
    </row>
    <row r="320" spans="1:11" x14ac:dyDescent="0.2">
      <c r="A320" s="13" t="s">
        <v>53</v>
      </c>
      <c r="B320" s="3" t="s">
        <v>123</v>
      </c>
      <c r="C320" s="3" t="s">
        <v>111</v>
      </c>
      <c r="D320" s="3" t="s">
        <v>50</v>
      </c>
      <c r="E320" s="20" t="s">
        <v>159</v>
      </c>
      <c r="F320" s="3" t="s">
        <v>54</v>
      </c>
      <c r="G320" s="107">
        <v>293.53199999999998</v>
      </c>
      <c r="H320" s="107">
        <f>98.38433+3.1</f>
        <v>101.48433</v>
      </c>
      <c r="I320" s="107">
        <f>G320+H320</f>
        <v>395.01632999999998</v>
      </c>
      <c r="J320" s="55">
        <v>395.01632999999998</v>
      </c>
      <c r="K320" s="85">
        <f t="shared" si="67"/>
        <v>0</v>
      </c>
    </row>
    <row r="321" spans="1:11" ht="25.5" x14ac:dyDescent="0.2">
      <c r="A321" s="14" t="s">
        <v>59</v>
      </c>
      <c r="B321" s="3" t="s">
        <v>123</v>
      </c>
      <c r="C321" s="3" t="s">
        <v>111</v>
      </c>
      <c r="D321" s="3" t="s">
        <v>50</v>
      </c>
      <c r="E321" s="20" t="s">
        <v>482</v>
      </c>
      <c r="F321" s="3" t="s">
        <v>60</v>
      </c>
      <c r="G321" s="107">
        <v>44.1</v>
      </c>
      <c r="H321" s="110"/>
      <c r="I321" s="107">
        <f>G321+H321</f>
        <v>44.1</v>
      </c>
      <c r="J321" s="55">
        <v>44.1</v>
      </c>
      <c r="K321" s="85">
        <f t="shared" si="67"/>
        <v>0</v>
      </c>
    </row>
    <row r="322" spans="1:11" ht="38.25" x14ac:dyDescent="0.2">
      <c r="A322" s="4" t="s">
        <v>61</v>
      </c>
      <c r="B322" s="3" t="s">
        <v>123</v>
      </c>
      <c r="C322" s="3" t="s">
        <v>111</v>
      </c>
      <c r="D322" s="3" t="s">
        <v>50</v>
      </c>
      <c r="E322" s="20" t="s">
        <v>159</v>
      </c>
      <c r="F322" s="3" t="s">
        <v>62</v>
      </c>
      <c r="G322" s="107">
        <v>49.011899999999997</v>
      </c>
      <c r="H322" s="110">
        <v>25</v>
      </c>
      <c r="I322" s="107">
        <f>G322+H322</f>
        <v>74.011899999999997</v>
      </c>
      <c r="J322" s="55">
        <v>74.011899999999997</v>
      </c>
      <c r="K322" s="85">
        <f t="shared" si="67"/>
        <v>0</v>
      </c>
    </row>
    <row r="323" spans="1:11" x14ac:dyDescent="0.2">
      <c r="A323" s="12" t="s">
        <v>88</v>
      </c>
      <c r="B323" s="3" t="s">
        <v>123</v>
      </c>
      <c r="C323" s="3" t="s">
        <v>111</v>
      </c>
      <c r="D323" s="3" t="s">
        <v>50</v>
      </c>
      <c r="E323" s="20" t="s">
        <v>89</v>
      </c>
      <c r="F323" s="3"/>
      <c r="G323" s="107">
        <f>G326+G328+G324</f>
        <v>242.93899999999999</v>
      </c>
      <c r="H323" s="107">
        <f t="shared" ref="H323:I323" si="69">H326+H328+H324</f>
        <v>169.114</v>
      </c>
      <c r="I323" s="107">
        <f t="shared" si="69"/>
        <v>412.053</v>
      </c>
      <c r="K323" s="85"/>
    </row>
    <row r="324" spans="1:11" ht="38.25" x14ac:dyDescent="0.2">
      <c r="A324" s="67" t="s">
        <v>400</v>
      </c>
      <c r="B324" s="3" t="s">
        <v>123</v>
      </c>
      <c r="C324" s="3" t="s">
        <v>111</v>
      </c>
      <c r="D324" s="3" t="s">
        <v>50</v>
      </c>
      <c r="E324" s="20" t="s">
        <v>461</v>
      </c>
      <c r="F324" s="3"/>
      <c r="G324" s="107">
        <f>G325</f>
        <v>106.43899999999999</v>
      </c>
      <c r="H324" s="107">
        <f t="shared" ref="H324:I328" si="70">H325</f>
        <v>169.114</v>
      </c>
      <c r="I324" s="107">
        <f t="shared" si="70"/>
        <v>275.553</v>
      </c>
      <c r="K324" s="85"/>
    </row>
    <row r="325" spans="1:11" ht="38.25" x14ac:dyDescent="0.2">
      <c r="A325" s="4" t="s">
        <v>61</v>
      </c>
      <c r="B325" s="3" t="s">
        <v>123</v>
      </c>
      <c r="C325" s="3" t="s">
        <v>111</v>
      </c>
      <c r="D325" s="3" t="s">
        <v>50</v>
      </c>
      <c r="E325" s="20" t="s">
        <v>461</v>
      </c>
      <c r="F325" s="3" t="s">
        <v>62</v>
      </c>
      <c r="G325" s="107">
        <v>106.43899999999999</v>
      </c>
      <c r="H325" s="110">
        <f>15+34.28+119.834</f>
        <v>169.114</v>
      </c>
      <c r="I325" s="107">
        <f>G325+H325</f>
        <v>275.553</v>
      </c>
      <c r="J325" s="55">
        <v>155.71899999999999</v>
      </c>
      <c r="K325" s="85">
        <f t="shared" si="67"/>
        <v>119.834</v>
      </c>
    </row>
    <row r="326" spans="1:11" ht="38.25" x14ac:dyDescent="0.2">
      <c r="A326" s="67" t="s">
        <v>400</v>
      </c>
      <c r="B326" s="3" t="s">
        <v>123</v>
      </c>
      <c r="C326" s="3" t="s">
        <v>111</v>
      </c>
      <c r="D326" s="3" t="s">
        <v>50</v>
      </c>
      <c r="E326" s="20" t="s">
        <v>399</v>
      </c>
      <c r="F326" s="3"/>
      <c r="G326" s="107">
        <f>G327</f>
        <v>106.5</v>
      </c>
      <c r="H326" s="107">
        <f t="shared" si="70"/>
        <v>0</v>
      </c>
      <c r="I326" s="107">
        <f t="shared" si="70"/>
        <v>106.5</v>
      </c>
      <c r="K326" s="85"/>
    </row>
    <row r="327" spans="1:11" ht="38.25" x14ac:dyDescent="0.2">
      <c r="A327" s="4" t="s">
        <v>61</v>
      </c>
      <c r="B327" s="3" t="s">
        <v>123</v>
      </c>
      <c r="C327" s="3" t="s">
        <v>111</v>
      </c>
      <c r="D327" s="3" t="s">
        <v>50</v>
      </c>
      <c r="E327" s="20" t="s">
        <v>399</v>
      </c>
      <c r="F327" s="3" t="s">
        <v>62</v>
      </c>
      <c r="G327" s="107">
        <v>106.5</v>
      </c>
      <c r="H327" s="110"/>
      <c r="I327" s="107">
        <f>G327+H327</f>
        <v>106.5</v>
      </c>
      <c r="J327" s="55">
        <v>106.5</v>
      </c>
      <c r="K327" s="85">
        <f t="shared" si="67"/>
        <v>0</v>
      </c>
    </row>
    <row r="328" spans="1:11" ht="15" x14ac:dyDescent="0.25">
      <c r="A328" s="105" t="s">
        <v>454</v>
      </c>
      <c r="B328" s="3" t="s">
        <v>123</v>
      </c>
      <c r="C328" s="3" t="s">
        <v>111</v>
      </c>
      <c r="D328" s="3" t="s">
        <v>50</v>
      </c>
      <c r="E328" s="20" t="s">
        <v>427</v>
      </c>
      <c r="F328" s="3"/>
      <c r="G328" s="107">
        <f>G329</f>
        <v>30</v>
      </c>
      <c r="H328" s="107">
        <f t="shared" si="70"/>
        <v>0</v>
      </c>
      <c r="I328" s="107">
        <f t="shared" si="70"/>
        <v>30</v>
      </c>
      <c r="K328" s="85"/>
    </row>
    <row r="329" spans="1:11" ht="38.25" x14ac:dyDescent="0.2">
      <c r="A329" s="4" t="s">
        <v>61</v>
      </c>
      <c r="B329" s="3" t="s">
        <v>123</v>
      </c>
      <c r="C329" s="3" t="s">
        <v>111</v>
      </c>
      <c r="D329" s="3" t="s">
        <v>50</v>
      </c>
      <c r="E329" s="20" t="s">
        <v>427</v>
      </c>
      <c r="F329" s="3" t="s">
        <v>62</v>
      </c>
      <c r="G329" s="107">
        <v>30</v>
      </c>
      <c r="H329" s="110"/>
      <c r="I329" s="107">
        <f>G329+H329</f>
        <v>30</v>
      </c>
      <c r="J329" s="55">
        <v>30</v>
      </c>
      <c r="K329" s="85">
        <f t="shared" si="67"/>
        <v>0</v>
      </c>
    </row>
    <row r="330" spans="1:11" ht="30" customHeight="1" x14ac:dyDescent="0.2">
      <c r="A330" s="21" t="s">
        <v>160</v>
      </c>
      <c r="B330" s="3" t="s">
        <v>123</v>
      </c>
      <c r="C330" s="3" t="s">
        <v>111</v>
      </c>
      <c r="D330" s="3" t="s">
        <v>117</v>
      </c>
      <c r="E330" s="3"/>
      <c r="F330" s="3"/>
      <c r="G330" s="110">
        <f t="shared" ref="G330:I331" si="71">G331</f>
        <v>270.3</v>
      </c>
      <c r="H330" s="110">
        <f t="shared" si="71"/>
        <v>-10.3</v>
      </c>
      <c r="I330" s="110">
        <f t="shared" si="71"/>
        <v>260</v>
      </c>
      <c r="K330" s="85"/>
    </row>
    <row r="331" spans="1:11" ht="51" x14ac:dyDescent="0.2">
      <c r="A331" s="5" t="s">
        <v>154</v>
      </c>
      <c r="B331" s="3" t="s">
        <v>123</v>
      </c>
      <c r="C331" s="3" t="s">
        <v>111</v>
      </c>
      <c r="D331" s="3" t="s">
        <v>117</v>
      </c>
      <c r="E331" s="6" t="s">
        <v>155</v>
      </c>
      <c r="F331" s="3"/>
      <c r="G331" s="110">
        <f t="shared" si="71"/>
        <v>270.3</v>
      </c>
      <c r="H331" s="110">
        <f t="shared" si="71"/>
        <v>-10.3</v>
      </c>
      <c r="I331" s="110">
        <f t="shared" si="71"/>
        <v>260</v>
      </c>
      <c r="K331" s="85"/>
    </row>
    <row r="332" spans="1:11" ht="38.25" x14ac:dyDescent="0.2">
      <c r="A332" s="7" t="s">
        <v>156</v>
      </c>
      <c r="B332" s="3" t="s">
        <v>123</v>
      </c>
      <c r="C332" s="3" t="s">
        <v>111</v>
      </c>
      <c r="D332" s="3" t="s">
        <v>117</v>
      </c>
      <c r="E332" s="6" t="s">
        <v>157</v>
      </c>
      <c r="F332" s="3"/>
      <c r="G332" s="110">
        <f>G335+G340+G337+G333</f>
        <v>270.3</v>
      </c>
      <c r="H332" s="110">
        <f>H335+H340+H337+H333</f>
        <v>-10.3</v>
      </c>
      <c r="I332" s="110">
        <f>I335+I340+I337+I333</f>
        <v>260</v>
      </c>
      <c r="K332" s="85"/>
    </row>
    <row r="333" spans="1:11" ht="38.25" x14ac:dyDescent="0.2">
      <c r="A333" s="90" t="s">
        <v>453</v>
      </c>
      <c r="B333" s="3" t="s">
        <v>123</v>
      </c>
      <c r="C333" s="3" t="s">
        <v>111</v>
      </c>
      <c r="D333" s="3" t="s">
        <v>117</v>
      </c>
      <c r="E333" s="3" t="s">
        <v>428</v>
      </c>
      <c r="F333" s="3"/>
      <c r="G333" s="110">
        <f>G334</f>
        <v>19.3</v>
      </c>
      <c r="H333" s="110">
        <f>H334</f>
        <v>-10.3</v>
      </c>
      <c r="I333" s="110">
        <f>I334</f>
        <v>9</v>
      </c>
      <c r="K333" s="85"/>
    </row>
    <row r="334" spans="1:11" ht="38.25" x14ac:dyDescent="0.2">
      <c r="A334" s="4" t="s">
        <v>61</v>
      </c>
      <c r="B334" s="3" t="s">
        <v>123</v>
      </c>
      <c r="C334" s="3" t="s">
        <v>111</v>
      </c>
      <c r="D334" s="3" t="s">
        <v>117</v>
      </c>
      <c r="E334" s="3" t="s">
        <v>428</v>
      </c>
      <c r="F334" s="3" t="s">
        <v>62</v>
      </c>
      <c r="G334" s="110">
        <v>19.3</v>
      </c>
      <c r="H334" s="110">
        <v>-10.3</v>
      </c>
      <c r="I334" s="107">
        <f>G334+H334</f>
        <v>9</v>
      </c>
      <c r="J334" s="55">
        <v>9</v>
      </c>
      <c r="K334" s="85">
        <f t="shared" si="67"/>
        <v>0</v>
      </c>
    </row>
    <row r="335" spans="1:11" ht="76.5" x14ac:dyDescent="0.2">
      <c r="A335" s="7" t="s">
        <v>161</v>
      </c>
      <c r="B335" s="3" t="s">
        <v>123</v>
      </c>
      <c r="C335" s="3" t="s">
        <v>111</v>
      </c>
      <c r="D335" s="3" t="s">
        <v>117</v>
      </c>
      <c r="E335" s="20" t="s">
        <v>162</v>
      </c>
      <c r="F335" s="3"/>
      <c r="G335" s="110">
        <f>G336</f>
        <v>20</v>
      </c>
      <c r="H335" s="110">
        <f>H336</f>
        <v>0</v>
      </c>
      <c r="I335" s="110">
        <f>I336</f>
        <v>20</v>
      </c>
      <c r="K335" s="85"/>
    </row>
    <row r="336" spans="1:11" ht="38.25" x14ac:dyDescent="0.2">
      <c r="A336" s="4" t="s">
        <v>61</v>
      </c>
      <c r="B336" s="3" t="s">
        <v>123</v>
      </c>
      <c r="C336" s="3" t="s">
        <v>111</v>
      </c>
      <c r="D336" s="3" t="s">
        <v>117</v>
      </c>
      <c r="E336" s="20" t="s">
        <v>162</v>
      </c>
      <c r="F336" s="3" t="s">
        <v>62</v>
      </c>
      <c r="G336" s="110">
        <v>20</v>
      </c>
      <c r="H336" s="110"/>
      <c r="I336" s="107">
        <f>G336+H336</f>
        <v>20</v>
      </c>
      <c r="J336" s="55">
        <v>20</v>
      </c>
      <c r="K336" s="85">
        <f t="shared" si="67"/>
        <v>0</v>
      </c>
    </row>
    <row r="337" spans="1:11" ht="51" x14ac:dyDescent="0.2">
      <c r="A337" s="22" t="s">
        <v>163</v>
      </c>
      <c r="B337" s="3" t="s">
        <v>123</v>
      </c>
      <c r="C337" s="3" t="s">
        <v>111</v>
      </c>
      <c r="D337" s="3" t="s">
        <v>117</v>
      </c>
      <c r="E337" s="20" t="s">
        <v>164</v>
      </c>
      <c r="F337" s="3"/>
      <c r="G337" s="110">
        <f>G339+G338</f>
        <v>216</v>
      </c>
      <c r="H337" s="110">
        <f t="shared" ref="H337:I337" si="72">H339+H338</f>
        <v>0</v>
      </c>
      <c r="I337" s="110">
        <f t="shared" si="72"/>
        <v>216</v>
      </c>
      <c r="K337" s="85"/>
    </row>
    <row r="338" spans="1:11" ht="25.5" x14ac:dyDescent="0.2">
      <c r="A338" s="14" t="s">
        <v>59</v>
      </c>
      <c r="B338" s="3" t="s">
        <v>123</v>
      </c>
      <c r="C338" s="3" t="s">
        <v>111</v>
      </c>
      <c r="D338" s="3" t="s">
        <v>117</v>
      </c>
      <c r="E338" s="20" t="s">
        <v>476</v>
      </c>
      <c r="F338" s="3" t="s">
        <v>60</v>
      </c>
      <c r="G338" s="110">
        <v>139.55000000000001</v>
      </c>
      <c r="H338" s="110">
        <v>1</v>
      </c>
      <c r="I338" s="110">
        <f>G338+H338</f>
        <v>140.55000000000001</v>
      </c>
      <c r="K338" s="85"/>
    </row>
    <row r="339" spans="1:11" ht="38.25" x14ac:dyDescent="0.2">
      <c r="A339" s="4" t="s">
        <v>61</v>
      </c>
      <c r="B339" s="3" t="s">
        <v>123</v>
      </c>
      <c r="C339" s="3" t="s">
        <v>111</v>
      </c>
      <c r="D339" s="3" t="s">
        <v>117</v>
      </c>
      <c r="E339" s="20" t="s">
        <v>165</v>
      </c>
      <c r="F339" s="3" t="s">
        <v>62</v>
      </c>
      <c r="G339" s="110">
        <v>76.45</v>
      </c>
      <c r="H339" s="110">
        <v>-1</v>
      </c>
      <c r="I339" s="107">
        <f>G339+H339</f>
        <v>75.45</v>
      </c>
      <c r="J339" s="55">
        <v>75.45</v>
      </c>
      <c r="K339" s="85">
        <f t="shared" si="67"/>
        <v>0</v>
      </c>
    </row>
    <row r="340" spans="1:11" ht="63.75" x14ac:dyDescent="0.2">
      <c r="A340" s="7" t="s">
        <v>166</v>
      </c>
      <c r="B340" s="3" t="s">
        <v>123</v>
      </c>
      <c r="C340" s="3" t="s">
        <v>111</v>
      </c>
      <c r="D340" s="3" t="s">
        <v>117</v>
      </c>
      <c r="E340" s="20" t="s">
        <v>167</v>
      </c>
      <c r="F340" s="3"/>
      <c r="G340" s="110">
        <f>G341</f>
        <v>15</v>
      </c>
      <c r="H340" s="110">
        <f>H341</f>
        <v>0</v>
      </c>
      <c r="I340" s="110">
        <f>I341</f>
        <v>15</v>
      </c>
      <c r="K340" s="85"/>
    </row>
    <row r="341" spans="1:11" ht="38.25" x14ac:dyDescent="0.2">
      <c r="A341" s="4" t="s">
        <v>61</v>
      </c>
      <c r="B341" s="3" t="s">
        <v>123</v>
      </c>
      <c r="C341" s="3" t="s">
        <v>111</v>
      </c>
      <c r="D341" s="3" t="s">
        <v>117</v>
      </c>
      <c r="E341" s="3" t="s">
        <v>168</v>
      </c>
      <c r="F341" s="3" t="s">
        <v>62</v>
      </c>
      <c r="G341" s="110">
        <v>15</v>
      </c>
      <c r="H341" s="110"/>
      <c r="I341" s="107">
        <f>G341+H341</f>
        <v>15</v>
      </c>
      <c r="J341" s="55">
        <v>15</v>
      </c>
      <c r="K341" s="85">
        <f t="shared" si="67"/>
        <v>0</v>
      </c>
    </row>
    <row r="342" spans="1:11" x14ac:dyDescent="0.2">
      <c r="A342" s="15" t="s">
        <v>96</v>
      </c>
      <c r="B342" s="3" t="s">
        <v>123</v>
      </c>
      <c r="C342" s="3" t="s">
        <v>72</v>
      </c>
      <c r="D342" s="3"/>
      <c r="E342" s="3"/>
      <c r="F342" s="3"/>
      <c r="G342" s="110">
        <f>G343+G363+G358</f>
        <v>9682.5307499999999</v>
      </c>
      <c r="H342" s="110">
        <f>H343+H363+H358</f>
        <v>-142.5772</v>
      </c>
      <c r="I342" s="110">
        <f>I343+I363+I358</f>
        <v>9539.9535499999984</v>
      </c>
      <c r="K342" s="85"/>
    </row>
    <row r="343" spans="1:11" x14ac:dyDescent="0.2">
      <c r="A343" s="15" t="s">
        <v>169</v>
      </c>
      <c r="B343" s="3" t="s">
        <v>123</v>
      </c>
      <c r="C343" s="3" t="s">
        <v>72</v>
      </c>
      <c r="D343" s="3" t="s">
        <v>42</v>
      </c>
      <c r="E343" s="3"/>
      <c r="F343" s="3"/>
      <c r="G343" s="110">
        <f>G344+G353</f>
        <v>885.8</v>
      </c>
      <c r="H343" s="110">
        <f>H344+H353</f>
        <v>-69.900000000000006</v>
      </c>
      <c r="I343" s="110">
        <f>I344+I353</f>
        <v>815.90000000000009</v>
      </c>
      <c r="K343" s="85"/>
    </row>
    <row r="344" spans="1:11" ht="38.25" x14ac:dyDescent="0.2">
      <c r="A344" s="5" t="s">
        <v>137</v>
      </c>
      <c r="B344" s="3" t="s">
        <v>123</v>
      </c>
      <c r="C344" s="3" t="s">
        <v>72</v>
      </c>
      <c r="D344" s="3" t="s">
        <v>42</v>
      </c>
      <c r="E344" s="3" t="s">
        <v>138</v>
      </c>
      <c r="F344" s="3"/>
      <c r="G344" s="110">
        <f>G345+G349+G351</f>
        <v>885.8</v>
      </c>
      <c r="H344" s="110">
        <f>H345+H349+H351</f>
        <v>-69.900000000000006</v>
      </c>
      <c r="I344" s="110">
        <f>I345+I349+I351</f>
        <v>815.90000000000009</v>
      </c>
      <c r="K344" s="85"/>
    </row>
    <row r="345" spans="1:11" ht="38.25" x14ac:dyDescent="0.2">
      <c r="A345" s="7" t="s">
        <v>170</v>
      </c>
      <c r="B345" s="3" t="s">
        <v>123</v>
      </c>
      <c r="C345" s="3" t="s">
        <v>72</v>
      </c>
      <c r="D345" s="3" t="s">
        <v>42</v>
      </c>
      <c r="E345" s="3" t="s">
        <v>171</v>
      </c>
      <c r="F345" s="3"/>
      <c r="G345" s="110">
        <f t="shared" ref="G345:I345" si="73">G346</f>
        <v>170</v>
      </c>
      <c r="H345" s="110">
        <f t="shared" si="73"/>
        <v>-120</v>
      </c>
      <c r="I345" s="110">
        <f t="shared" si="73"/>
        <v>49.999999999999993</v>
      </c>
      <c r="K345" s="85"/>
    </row>
    <row r="346" spans="1:11" ht="38.25" x14ac:dyDescent="0.2">
      <c r="A346" s="22" t="s">
        <v>172</v>
      </c>
      <c r="B346" s="3" t="s">
        <v>123</v>
      </c>
      <c r="C346" s="3" t="s">
        <v>72</v>
      </c>
      <c r="D346" s="3" t="s">
        <v>42</v>
      </c>
      <c r="E346" s="3" t="s">
        <v>460</v>
      </c>
      <c r="F346" s="3"/>
      <c r="G346" s="110">
        <f>G348+G347</f>
        <v>170</v>
      </c>
      <c r="H346" s="110">
        <f t="shared" ref="H346:I346" si="74">H348+H347</f>
        <v>-120</v>
      </c>
      <c r="I346" s="110">
        <f t="shared" si="74"/>
        <v>49.999999999999993</v>
      </c>
      <c r="K346" s="85"/>
    </row>
    <row r="347" spans="1:11" ht="25.5" x14ac:dyDescent="0.2">
      <c r="A347" s="14" t="s">
        <v>59</v>
      </c>
      <c r="B347" s="3" t="s">
        <v>123</v>
      </c>
      <c r="C347" s="3" t="s">
        <v>72</v>
      </c>
      <c r="D347" s="3" t="s">
        <v>42</v>
      </c>
      <c r="E347" s="3" t="s">
        <v>460</v>
      </c>
      <c r="F347" s="3" t="s">
        <v>60</v>
      </c>
      <c r="G347" s="110"/>
      <c r="H347" s="110">
        <v>10.4</v>
      </c>
      <c r="I347" s="110">
        <f>G347+H347</f>
        <v>10.4</v>
      </c>
      <c r="J347" s="55">
        <v>10.4</v>
      </c>
      <c r="K347" s="85">
        <f t="shared" si="67"/>
        <v>0</v>
      </c>
    </row>
    <row r="348" spans="1:11" ht="38.25" x14ac:dyDescent="0.2">
      <c r="A348" s="4" t="s">
        <v>61</v>
      </c>
      <c r="B348" s="3" t="s">
        <v>123</v>
      </c>
      <c r="C348" s="3" t="s">
        <v>72</v>
      </c>
      <c r="D348" s="3" t="s">
        <v>42</v>
      </c>
      <c r="E348" s="3" t="s">
        <v>460</v>
      </c>
      <c r="F348" s="3" t="s">
        <v>62</v>
      </c>
      <c r="G348" s="110">
        <v>170</v>
      </c>
      <c r="H348" s="110">
        <f>-130.4</f>
        <v>-130.4</v>
      </c>
      <c r="I348" s="110">
        <f>G348+H348</f>
        <v>39.599999999999994</v>
      </c>
      <c r="J348" s="55">
        <v>39.6</v>
      </c>
      <c r="K348" s="85">
        <f t="shared" si="67"/>
        <v>0</v>
      </c>
    </row>
    <row r="349" spans="1:11" ht="72.75" customHeight="1" x14ac:dyDescent="0.2">
      <c r="A349" s="73" t="s">
        <v>452</v>
      </c>
      <c r="B349" s="3" t="s">
        <v>123</v>
      </c>
      <c r="C349" s="3" t="s">
        <v>72</v>
      </c>
      <c r="D349" s="3" t="s">
        <v>42</v>
      </c>
      <c r="E349" s="3" t="s">
        <v>429</v>
      </c>
      <c r="F349" s="3"/>
      <c r="G349" s="110">
        <f>G350</f>
        <v>215.2</v>
      </c>
      <c r="H349" s="110">
        <f>H350</f>
        <v>0</v>
      </c>
      <c r="I349" s="110">
        <f>I350</f>
        <v>215.2</v>
      </c>
      <c r="K349" s="85"/>
    </row>
    <row r="350" spans="1:11" ht="38.25" x14ac:dyDescent="0.2">
      <c r="A350" s="4" t="s">
        <v>61</v>
      </c>
      <c r="B350" s="3" t="s">
        <v>123</v>
      </c>
      <c r="C350" s="3" t="s">
        <v>72</v>
      </c>
      <c r="D350" s="3" t="s">
        <v>42</v>
      </c>
      <c r="E350" s="3" t="s">
        <v>429</v>
      </c>
      <c r="F350" s="3" t="s">
        <v>62</v>
      </c>
      <c r="G350" s="110">
        <v>215.2</v>
      </c>
      <c r="H350" s="110"/>
      <c r="I350" s="110">
        <f>G350+H350</f>
        <v>215.2</v>
      </c>
      <c r="J350" s="55">
        <v>215.2</v>
      </c>
      <c r="K350" s="85">
        <f t="shared" si="67"/>
        <v>0</v>
      </c>
    </row>
    <row r="351" spans="1:11" ht="75" customHeight="1" x14ac:dyDescent="0.2">
      <c r="A351" s="90" t="s">
        <v>451</v>
      </c>
      <c r="B351" s="3" t="s">
        <v>123</v>
      </c>
      <c r="C351" s="3" t="s">
        <v>72</v>
      </c>
      <c r="D351" s="3" t="s">
        <v>42</v>
      </c>
      <c r="E351" s="3" t="s">
        <v>430</v>
      </c>
      <c r="F351" s="3"/>
      <c r="G351" s="110">
        <f>G352</f>
        <v>500.6</v>
      </c>
      <c r="H351" s="110">
        <f>H352</f>
        <v>50.1</v>
      </c>
      <c r="I351" s="110">
        <f>I352</f>
        <v>550.70000000000005</v>
      </c>
      <c r="K351" s="85"/>
    </row>
    <row r="352" spans="1:11" ht="38.25" x14ac:dyDescent="0.2">
      <c r="A352" s="4" t="s">
        <v>61</v>
      </c>
      <c r="B352" s="3" t="s">
        <v>123</v>
      </c>
      <c r="C352" s="3" t="s">
        <v>72</v>
      </c>
      <c r="D352" s="3" t="s">
        <v>42</v>
      </c>
      <c r="E352" s="3" t="s">
        <v>430</v>
      </c>
      <c r="F352" s="3" t="s">
        <v>62</v>
      </c>
      <c r="G352" s="110">
        <v>500.6</v>
      </c>
      <c r="H352" s="110">
        <v>50.1</v>
      </c>
      <c r="I352" s="110">
        <f>G352+H352</f>
        <v>550.70000000000005</v>
      </c>
      <c r="J352" s="55">
        <v>550.70000000000005</v>
      </c>
      <c r="K352" s="85">
        <f t="shared" si="67"/>
        <v>0</v>
      </c>
    </row>
    <row r="353" spans="1:11" hidden="1" x14ac:dyDescent="0.2">
      <c r="A353" s="67" t="s">
        <v>88</v>
      </c>
      <c r="B353" s="3" t="s">
        <v>123</v>
      </c>
      <c r="C353" s="3" t="s">
        <v>72</v>
      </c>
      <c r="D353" s="3" t="s">
        <v>42</v>
      </c>
      <c r="E353" s="3" t="s">
        <v>89</v>
      </c>
      <c r="F353" s="3"/>
      <c r="G353" s="110">
        <f>G354+G356</f>
        <v>0</v>
      </c>
      <c r="H353" s="110">
        <f>H354+H356</f>
        <v>0</v>
      </c>
      <c r="I353" s="110">
        <f>I354+I356</f>
        <v>0</v>
      </c>
      <c r="K353" s="85">
        <f t="shared" si="67"/>
        <v>0</v>
      </c>
    </row>
    <row r="354" spans="1:11" ht="191.25" hidden="1" x14ac:dyDescent="0.2">
      <c r="A354" s="73" t="s">
        <v>372</v>
      </c>
      <c r="B354" s="3" t="s">
        <v>123</v>
      </c>
      <c r="C354" s="3" t="s">
        <v>72</v>
      </c>
      <c r="D354" s="3" t="s">
        <v>42</v>
      </c>
      <c r="E354" s="3" t="s">
        <v>373</v>
      </c>
      <c r="F354" s="3"/>
      <c r="G354" s="110">
        <f>G355</f>
        <v>0</v>
      </c>
      <c r="H354" s="110">
        <f>H355</f>
        <v>0</v>
      </c>
      <c r="I354" s="110">
        <f>I355</f>
        <v>0</v>
      </c>
      <c r="K354" s="85">
        <f t="shared" si="67"/>
        <v>0</v>
      </c>
    </row>
    <row r="355" spans="1:11" ht="38.25" hidden="1" x14ac:dyDescent="0.2">
      <c r="A355" s="4" t="s">
        <v>61</v>
      </c>
      <c r="B355" s="3" t="s">
        <v>123</v>
      </c>
      <c r="C355" s="3" t="s">
        <v>72</v>
      </c>
      <c r="D355" s="3" t="s">
        <v>42</v>
      </c>
      <c r="E355" s="3" t="s">
        <v>373</v>
      </c>
      <c r="F355" s="3" t="s">
        <v>62</v>
      </c>
      <c r="G355" s="110">
        <v>0</v>
      </c>
      <c r="H355" s="110"/>
      <c r="I355" s="110">
        <f>G355+H355</f>
        <v>0</v>
      </c>
      <c r="K355" s="85">
        <f t="shared" si="67"/>
        <v>0</v>
      </c>
    </row>
    <row r="356" spans="1:11" ht="140.25" hidden="1" x14ac:dyDescent="0.2">
      <c r="A356" s="73" t="s">
        <v>374</v>
      </c>
      <c r="B356" s="3" t="s">
        <v>123</v>
      </c>
      <c r="C356" s="3" t="s">
        <v>72</v>
      </c>
      <c r="D356" s="3" t="s">
        <v>42</v>
      </c>
      <c r="E356" s="3" t="s">
        <v>375</v>
      </c>
      <c r="F356" s="3"/>
      <c r="G356" s="110">
        <f>G357</f>
        <v>0</v>
      </c>
      <c r="H356" s="110">
        <f>H357</f>
        <v>0</v>
      </c>
      <c r="I356" s="110">
        <f>I357</f>
        <v>0</v>
      </c>
      <c r="K356" s="85">
        <f t="shared" si="67"/>
        <v>0</v>
      </c>
    </row>
    <row r="357" spans="1:11" ht="38.25" hidden="1" x14ac:dyDescent="0.2">
      <c r="A357" s="4" t="s">
        <v>61</v>
      </c>
      <c r="B357" s="3" t="s">
        <v>123</v>
      </c>
      <c r="C357" s="3" t="s">
        <v>72</v>
      </c>
      <c r="D357" s="3" t="s">
        <v>42</v>
      </c>
      <c r="E357" s="3" t="s">
        <v>375</v>
      </c>
      <c r="F357" s="3" t="s">
        <v>62</v>
      </c>
      <c r="G357" s="110">
        <v>0</v>
      </c>
      <c r="H357" s="110"/>
      <c r="I357" s="110">
        <f>G357+H357</f>
        <v>0</v>
      </c>
      <c r="K357" s="85">
        <f t="shared" si="67"/>
        <v>0</v>
      </c>
    </row>
    <row r="358" spans="1:11" s="24" customFormat="1" x14ac:dyDescent="0.2">
      <c r="A358" s="4" t="s">
        <v>173</v>
      </c>
      <c r="B358" s="3" t="s">
        <v>123</v>
      </c>
      <c r="C358" s="3" t="s">
        <v>72</v>
      </c>
      <c r="D358" s="3" t="s">
        <v>50</v>
      </c>
      <c r="E358" s="3"/>
      <c r="F358" s="3"/>
      <c r="G358" s="107">
        <f>G359</f>
        <v>2843.7</v>
      </c>
      <c r="H358" s="107">
        <f t="shared" ref="H358:I361" si="75">H359</f>
        <v>160</v>
      </c>
      <c r="I358" s="107">
        <f t="shared" si="75"/>
        <v>3003.7</v>
      </c>
      <c r="K358" s="85"/>
    </row>
    <row r="359" spans="1:11" s="24" customFormat="1" ht="51" x14ac:dyDescent="0.2">
      <c r="A359" s="23" t="s">
        <v>154</v>
      </c>
      <c r="B359" s="3" t="s">
        <v>123</v>
      </c>
      <c r="C359" s="3" t="s">
        <v>72</v>
      </c>
      <c r="D359" s="3" t="s">
        <v>50</v>
      </c>
      <c r="E359" s="3" t="s">
        <v>174</v>
      </c>
      <c r="F359" s="3"/>
      <c r="G359" s="107">
        <f>G360</f>
        <v>2843.7</v>
      </c>
      <c r="H359" s="107">
        <f t="shared" si="75"/>
        <v>160</v>
      </c>
      <c r="I359" s="107">
        <f t="shared" si="75"/>
        <v>3003.7</v>
      </c>
      <c r="K359" s="85"/>
    </row>
    <row r="360" spans="1:11" s="24" customFormat="1" ht="25.5" x14ac:dyDescent="0.2">
      <c r="A360" s="23" t="s">
        <v>175</v>
      </c>
      <c r="B360" s="3" t="s">
        <v>123</v>
      </c>
      <c r="C360" s="3" t="s">
        <v>72</v>
      </c>
      <c r="D360" s="3" t="s">
        <v>50</v>
      </c>
      <c r="E360" s="3" t="s">
        <v>176</v>
      </c>
      <c r="F360" s="3"/>
      <c r="G360" s="107">
        <f>G361</f>
        <v>2843.7</v>
      </c>
      <c r="H360" s="107">
        <f t="shared" si="75"/>
        <v>160</v>
      </c>
      <c r="I360" s="107">
        <f t="shared" si="75"/>
        <v>3003.7</v>
      </c>
      <c r="K360" s="85"/>
    </row>
    <row r="361" spans="1:11" s="24" customFormat="1" ht="25.5" x14ac:dyDescent="0.2">
      <c r="A361" s="22" t="s">
        <v>340</v>
      </c>
      <c r="B361" s="3" t="s">
        <v>123</v>
      </c>
      <c r="C361" s="3" t="s">
        <v>72</v>
      </c>
      <c r="D361" s="3" t="s">
        <v>50</v>
      </c>
      <c r="E361" s="3" t="s">
        <v>341</v>
      </c>
      <c r="F361" s="3"/>
      <c r="G361" s="107">
        <f>G362</f>
        <v>2843.7</v>
      </c>
      <c r="H361" s="107">
        <f t="shared" si="75"/>
        <v>160</v>
      </c>
      <c r="I361" s="107">
        <f t="shared" si="75"/>
        <v>3003.7</v>
      </c>
      <c r="K361" s="85"/>
    </row>
    <row r="362" spans="1:11" s="24" customFormat="1" ht="38.25" x14ac:dyDescent="0.2">
      <c r="A362" s="4" t="s">
        <v>61</v>
      </c>
      <c r="B362" s="3" t="s">
        <v>123</v>
      </c>
      <c r="C362" s="3" t="s">
        <v>72</v>
      </c>
      <c r="D362" s="3" t="s">
        <v>50</v>
      </c>
      <c r="E362" s="3" t="s">
        <v>341</v>
      </c>
      <c r="F362" s="3" t="s">
        <v>62</v>
      </c>
      <c r="G362" s="107">
        <v>2843.7</v>
      </c>
      <c r="H362" s="110">
        <f>460-285-15</f>
        <v>160</v>
      </c>
      <c r="I362" s="107">
        <f>G362+H362</f>
        <v>3003.7</v>
      </c>
      <c r="J362" s="55">
        <v>2843.7</v>
      </c>
      <c r="K362" s="85">
        <f t="shared" ref="K362:K419" si="76">I362-J362</f>
        <v>160</v>
      </c>
    </row>
    <row r="363" spans="1:11" s="24" customFormat="1" ht="25.5" x14ac:dyDescent="0.2">
      <c r="A363" s="15" t="s">
        <v>178</v>
      </c>
      <c r="B363" s="3" t="s">
        <v>123</v>
      </c>
      <c r="C363" s="3" t="s">
        <v>72</v>
      </c>
      <c r="D363" s="3" t="s">
        <v>98</v>
      </c>
      <c r="E363" s="3"/>
      <c r="F363" s="3"/>
      <c r="G363" s="110">
        <f>G364+G370+G378+G382</f>
        <v>5953.0307499999999</v>
      </c>
      <c r="H363" s="110">
        <f>H364+H370+H378+H382</f>
        <v>-232.6772</v>
      </c>
      <c r="I363" s="110">
        <f>I364+I370+I378+I382</f>
        <v>5720.3535499999998</v>
      </c>
      <c r="K363" s="85"/>
    </row>
    <row r="364" spans="1:11" s="24" customFormat="1" ht="38.25" x14ac:dyDescent="0.2">
      <c r="A364" s="5" t="s">
        <v>137</v>
      </c>
      <c r="B364" s="3" t="s">
        <v>123</v>
      </c>
      <c r="C364" s="3" t="s">
        <v>72</v>
      </c>
      <c r="D364" s="3" t="s">
        <v>98</v>
      </c>
      <c r="E364" s="3" t="s">
        <v>138</v>
      </c>
      <c r="F364" s="3"/>
      <c r="G364" s="110">
        <f t="shared" ref="G364:I365" si="77">G365</f>
        <v>1410.0550000000001</v>
      </c>
      <c r="H364" s="110">
        <f t="shared" si="77"/>
        <v>-198.46982</v>
      </c>
      <c r="I364" s="110">
        <f t="shared" si="77"/>
        <v>1211.58518</v>
      </c>
      <c r="K364" s="85"/>
    </row>
    <row r="365" spans="1:11" s="24" customFormat="1" ht="51" x14ac:dyDescent="0.2">
      <c r="A365" s="7" t="s">
        <v>179</v>
      </c>
      <c r="B365" s="3" t="s">
        <v>123</v>
      </c>
      <c r="C365" s="3" t="s">
        <v>72</v>
      </c>
      <c r="D365" s="3" t="s">
        <v>98</v>
      </c>
      <c r="E365" s="3" t="s">
        <v>180</v>
      </c>
      <c r="F365" s="3"/>
      <c r="G365" s="110">
        <f t="shared" si="77"/>
        <v>1410.0550000000001</v>
      </c>
      <c r="H365" s="110">
        <f t="shared" si="77"/>
        <v>-198.46982</v>
      </c>
      <c r="I365" s="110">
        <f t="shared" si="77"/>
        <v>1211.58518</v>
      </c>
      <c r="K365" s="85"/>
    </row>
    <row r="366" spans="1:11" s="24" customFormat="1" ht="38.25" x14ac:dyDescent="0.2">
      <c r="A366" s="7" t="s">
        <v>181</v>
      </c>
      <c r="B366" s="3" t="s">
        <v>123</v>
      </c>
      <c r="C366" s="3" t="s">
        <v>72</v>
      </c>
      <c r="D366" s="3" t="s">
        <v>98</v>
      </c>
      <c r="E366" s="3" t="s">
        <v>182</v>
      </c>
      <c r="F366" s="3"/>
      <c r="G366" s="110">
        <f>SUM(G367:G369)</f>
        <v>1410.0550000000001</v>
      </c>
      <c r="H366" s="110">
        <f>SUM(H367:H369)</f>
        <v>-198.46982</v>
      </c>
      <c r="I366" s="110">
        <f>SUM(I367:I369)</f>
        <v>1211.58518</v>
      </c>
      <c r="K366" s="85"/>
    </row>
    <row r="367" spans="1:11" s="24" customFormat="1" ht="38.25" x14ac:dyDescent="0.2">
      <c r="A367" s="4" t="s">
        <v>61</v>
      </c>
      <c r="B367" s="3" t="s">
        <v>123</v>
      </c>
      <c r="C367" s="3" t="s">
        <v>72</v>
      </c>
      <c r="D367" s="3" t="s">
        <v>98</v>
      </c>
      <c r="E367" s="3" t="s">
        <v>182</v>
      </c>
      <c r="F367" s="3" t="s">
        <v>62</v>
      </c>
      <c r="G367" s="110">
        <v>276</v>
      </c>
      <c r="H367" s="110">
        <f>-197.16882-1.301</f>
        <v>-198.46982</v>
      </c>
      <c r="I367" s="110">
        <f>G367+H367</f>
        <v>77.530180000000001</v>
      </c>
      <c r="J367" s="55">
        <v>78.831180000000003</v>
      </c>
      <c r="K367" s="85">
        <f t="shared" si="76"/>
        <v>-1.3010000000000019</v>
      </c>
    </row>
    <row r="368" spans="1:11" s="24" customFormat="1" ht="38.25" hidden="1" x14ac:dyDescent="0.2">
      <c r="A368" s="4" t="s">
        <v>183</v>
      </c>
      <c r="B368" s="3" t="s">
        <v>123</v>
      </c>
      <c r="C368" s="3" t="s">
        <v>72</v>
      </c>
      <c r="D368" s="3" t="s">
        <v>98</v>
      </c>
      <c r="E368" s="3" t="s">
        <v>182</v>
      </c>
      <c r="F368" s="3" t="s">
        <v>184</v>
      </c>
      <c r="G368" s="110"/>
      <c r="H368" s="110"/>
      <c r="I368" s="110">
        <f>G368+H368</f>
        <v>0</v>
      </c>
      <c r="J368" s="55"/>
      <c r="K368" s="85">
        <f t="shared" si="76"/>
        <v>0</v>
      </c>
    </row>
    <row r="369" spans="1:11" s="24" customFormat="1" ht="38.25" x14ac:dyDescent="0.2">
      <c r="A369" s="15" t="s">
        <v>99</v>
      </c>
      <c r="B369" s="3" t="s">
        <v>123</v>
      </c>
      <c r="C369" s="3" t="s">
        <v>72</v>
      </c>
      <c r="D369" s="3" t="s">
        <v>98</v>
      </c>
      <c r="E369" s="3" t="s">
        <v>182</v>
      </c>
      <c r="F369" s="3" t="s">
        <v>100</v>
      </c>
      <c r="G369" s="110">
        <v>1134.0550000000001</v>
      </c>
      <c r="H369" s="110"/>
      <c r="I369" s="110">
        <f>G369+H369</f>
        <v>1134.0550000000001</v>
      </c>
      <c r="J369" s="55">
        <v>1134.0550000000001</v>
      </c>
      <c r="K369" s="85">
        <f t="shared" si="76"/>
        <v>0</v>
      </c>
    </row>
    <row r="370" spans="1:11" s="24" customFormat="1" ht="51" x14ac:dyDescent="0.2">
      <c r="A370" s="5" t="s">
        <v>80</v>
      </c>
      <c r="B370" s="3" t="s">
        <v>123</v>
      </c>
      <c r="C370" s="3" t="s">
        <v>72</v>
      </c>
      <c r="D370" s="3" t="s">
        <v>98</v>
      </c>
      <c r="E370" s="3" t="s">
        <v>81</v>
      </c>
      <c r="F370" s="3"/>
      <c r="G370" s="110">
        <f>G371</f>
        <v>3196.4857500000003</v>
      </c>
      <c r="H370" s="110">
        <f>H371</f>
        <v>-34.207379999999993</v>
      </c>
      <c r="I370" s="110">
        <f>I371</f>
        <v>3162.2783700000005</v>
      </c>
      <c r="K370" s="85"/>
    </row>
    <row r="371" spans="1:11" s="24" customFormat="1" ht="51" customHeight="1" x14ac:dyDescent="0.2">
      <c r="A371" s="7" t="s">
        <v>185</v>
      </c>
      <c r="B371" s="3" t="s">
        <v>123</v>
      </c>
      <c r="C371" s="3" t="s">
        <v>72</v>
      </c>
      <c r="D371" s="3" t="s">
        <v>98</v>
      </c>
      <c r="E371" s="3" t="s">
        <v>186</v>
      </c>
      <c r="F371" s="3"/>
      <c r="G371" s="110">
        <f>G372+G376</f>
        <v>3196.4857500000003</v>
      </c>
      <c r="H371" s="110">
        <f>H372+H376</f>
        <v>-34.207379999999993</v>
      </c>
      <c r="I371" s="110">
        <f>I372+I376</f>
        <v>3162.2783700000005</v>
      </c>
      <c r="K371" s="85"/>
    </row>
    <row r="372" spans="1:11" s="24" customFormat="1" ht="51" x14ac:dyDescent="0.2">
      <c r="A372" s="7" t="s">
        <v>187</v>
      </c>
      <c r="B372" s="3" t="s">
        <v>123</v>
      </c>
      <c r="C372" s="3" t="s">
        <v>72</v>
      </c>
      <c r="D372" s="3" t="s">
        <v>98</v>
      </c>
      <c r="E372" s="3" t="s">
        <v>188</v>
      </c>
      <c r="F372" s="3"/>
      <c r="G372" s="110">
        <f>G373+G374+G375</f>
        <v>3099.4857500000003</v>
      </c>
      <c r="H372" s="110">
        <f t="shared" ref="H372:I372" si="78">H373+H374+H375</f>
        <v>62.768820000000012</v>
      </c>
      <c r="I372" s="110">
        <f t="shared" si="78"/>
        <v>3162.2545700000005</v>
      </c>
      <c r="K372" s="85"/>
    </row>
    <row r="373" spans="1:11" s="24" customFormat="1" ht="38.25" x14ac:dyDescent="0.2">
      <c r="A373" s="4" t="s">
        <v>61</v>
      </c>
      <c r="B373" s="3" t="s">
        <v>123</v>
      </c>
      <c r="C373" s="3" t="s">
        <v>72</v>
      </c>
      <c r="D373" s="3" t="s">
        <v>98</v>
      </c>
      <c r="E373" s="3" t="s">
        <v>188</v>
      </c>
      <c r="F373" s="3" t="s">
        <v>62</v>
      </c>
      <c r="G373" s="110">
        <v>2559.7057500000001</v>
      </c>
      <c r="H373" s="110">
        <f>-100+197.16882-34.4</f>
        <v>62.768820000000012</v>
      </c>
      <c r="I373" s="110">
        <f>G373+H373</f>
        <v>2622.4745700000003</v>
      </c>
      <c r="J373" s="55">
        <v>2656.8745699999999</v>
      </c>
      <c r="K373" s="85">
        <f t="shared" si="76"/>
        <v>-34.399999999999636</v>
      </c>
    </row>
    <row r="374" spans="1:11" s="24" customFormat="1" ht="38.25" x14ac:dyDescent="0.2">
      <c r="A374" s="10" t="s">
        <v>142</v>
      </c>
      <c r="B374" s="3" t="s">
        <v>123</v>
      </c>
      <c r="C374" s="3" t="s">
        <v>72</v>
      </c>
      <c r="D374" s="3" t="s">
        <v>98</v>
      </c>
      <c r="E374" s="3" t="s">
        <v>188</v>
      </c>
      <c r="F374" s="3" t="s">
        <v>64</v>
      </c>
      <c r="G374" s="110">
        <v>520.88</v>
      </c>
      <c r="H374" s="110"/>
      <c r="I374" s="110">
        <f>G374+H374</f>
        <v>520.88</v>
      </c>
      <c r="J374" s="55">
        <v>520.88</v>
      </c>
      <c r="K374" s="85">
        <f t="shared" si="76"/>
        <v>0</v>
      </c>
    </row>
    <row r="375" spans="1:11" s="24" customFormat="1" x14ac:dyDescent="0.2">
      <c r="A375" s="10" t="s">
        <v>65</v>
      </c>
      <c r="B375" s="3" t="s">
        <v>123</v>
      </c>
      <c r="C375" s="3" t="s">
        <v>72</v>
      </c>
      <c r="D375" s="3" t="s">
        <v>98</v>
      </c>
      <c r="E375" s="3" t="s">
        <v>188</v>
      </c>
      <c r="F375" s="3" t="s">
        <v>66</v>
      </c>
      <c r="G375" s="110">
        <v>18.899999999999999</v>
      </c>
      <c r="H375" s="110"/>
      <c r="I375" s="110">
        <f>G375+H375</f>
        <v>18.899999999999999</v>
      </c>
      <c r="J375" s="55">
        <v>18.899999999999999</v>
      </c>
      <c r="K375" s="85">
        <f t="shared" si="76"/>
        <v>0</v>
      </c>
    </row>
    <row r="376" spans="1:11" s="24" customFormat="1" ht="36" customHeight="1" x14ac:dyDescent="0.2">
      <c r="A376" s="7" t="s">
        <v>189</v>
      </c>
      <c r="B376" s="3" t="s">
        <v>123</v>
      </c>
      <c r="C376" s="3" t="s">
        <v>72</v>
      </c>
      <c r="D376" s="3" t="s">
        <v>98</v>
      </c>
      <c r="E376" s="3" t="s">
        <v>190</v>
      </c>
      <c r="F376" s="3"/>
      <c r="G376" s="110">
        <f>G377</f>
        <v>97</v>
      </c>
      <c r="H376" s="110">
        <f>H377</f>
        <v>-96.976200000000006</v>
      </c>
      <c r="I376" s="110">
        <f>I377</f>
        <v>2.379999999999427E-2</v>
      </c>
      <c r="J376" s="55"/>
      <c r="K376" s="85"/>
    </row>
    <row r="377" spans="1:11" s="24" customFormat="1" ht="38.25" x14ac:dyDescent="0.2">
      <c r="A377" s="4" t="s">
        <v>61</v>
      </c>
      <c r="B377" s="3" t="s">
        <v>123</v>
      </c>
      <c r="C377" s="3" t="s">
        <v>72</v>
      </c>
      <c r="D377" s="3" t="s">
        <v>98</v>
      </c>
      <c r="E377" s="3" t="s">
        <v>190</v>
      </c>
      <c r="F377" s="3" t="s">
        <v>62</v>
      </c>
      <c r="G377" s="110">
        <v>97</v>
      </c>
      <c r="H377" s="110">
        <f>-87.2-9.7762</f>
        <v>-96.976200000000006</v>
      </c>
      <c r="I377" s="110">
        <f>G377+H377</f>
        <v>2.379999999999427E-2</v>
      </c>
      <c r="J377" s="55">
        <v>2.3800000000000002E-2</v>
      </c>
      <c r="K377" s="85">
        <f t="shared" si="76"/>
        <v>-5.7315263646273706E-15</v>
      </c>
    </row>
    <row r="378" spans="1:11" ht="51" x14ac:dyDescent="0.2">
      <c r="A378" s="5" t="s">
        <v>154</v>
      </c>
      <c r="B378" s="3" t="s">
        <v>123</v>
      </c>
      <c r="C378" s="3" t="s">
        <v>72</v>
      </c>
      <c r="D378" s="3" t="s">
        <v>98</v>
      </c>
      <c r="E378" s="3" t="s">
        <v>174</v>
      </c>
      <c r="F378" s="3"/>
      <c r="G378" s="110">
        <f t="shared" ref="G378:I380" si="79">G379</f>
        <v>1316.49</v>
      </c>
      <c r="H378" s="110">
        <f t="shared" si="79"/>
        <v>0</v>
      </c>
      <c r="I378" s="110">
        <f t="shared" si="79"/>
        <v>1316.49</v>
      </c>
      <c r="K378" s="85"/>
    </row>
    <row r="379" spans="1:11" ht="25.5" x14ac:dyDescent="0.2">
      <c r="A379" s="5" t="s">
        <v>175</v>
      </c>
      <c r="B379" s="3" t="s">
        <v>123</v>
      </c>
      <c r="C379" s="3" t="s">
        <v>72</v>
      </c>
      <c r="D379" s="3" t="s">
        <v>98</v>
      </c>
      <c r="E379" s="3" t="s">
        <v>176</v>
      </c>
      <c r="F379" s="3"/>
      <c r="G379" s="110">
        <f t="shared" si="79"/>
        <v>1316.49</v>
      </c>
      <c r="H379" s="110">
        <f t="shared" si="79"/>
        <v>0</v>
      </c>
      <c r="I379" s="110">
        <f t="shared" si="79"/>
        <v>1316.49</v>
      </c>
      <c r="K379" s="85"/>
    </row>
    <row r="380" spans="1:11" ht="25.5" x14ac:dyDescent="0.2">
      <c r="A380" s="11" t="s">
        <v>193</v>
      </c>
      <c r="B380" s="3" t="s">
        <v>123</v>
      </c>
      <c r="C380" s="3" t="s">
        <v>72</v>
      </c>
      <c r="D380" s="3" t="s">
        <v>98</v>
      </c>
      <c r="E380" s="3" t="s">
        <v>345</v>
      </c>
      <c r="F380" s="3"/>
      <c r="G380" s="110">
        <f t="shared" si="79"/>
        <v>1316.49</v>
      </c>
      <c r="H380" s="110">
        <f t="shared" si="79"/>
        <v>0</v>
      </c>
      <c r="I380" s="110">
        <f t="shared" si="79"/>
        <v>1316.49</v>
      </c>
      <c r="K380" s="85"/>
    </row>
    <row r="381" spans="1:11" ht="51" x14ac:dyDescent="0.2">
      <c r="A381" s="4" t="s">
        <v>388</v>
      </c>
      <c r="B381" s="3" t="s">
        <v>123</v>
      </c>
      <c r="C381" s="3" t="s">
        <v>72</v>
      </c>
      <c r="D381" s="3" t="s">
        <v>98</v>
      </c>
      <c r="E381" s="3" t="s">
        <v>345</v>
      </c>
      <c r="F381" s="3" t="s">
        <v>24</v>
      </c>
      <c r="G381" s="110">
        <v>1316.49</v>
      </c>
      <c r="H381" s="110"/>
      <c r="I381" s="110">
        <f>G381+H381</f>
        <v>1316.49</v>
      </c>
      <c r="J381" s="55">
        <v>1316.49</v>
      </c>
      <c r="K381" s="85">
        <f t="shared" si="76"/>
        <v>0</v>
      </c>
    </row>
    <row r="382" spans="1:11" x14ac:dyDescent="0.2">
      <c r="A382" s="12" t="s">
        <v>88</v>
      </c>
      <c r="B382" s="3" t="s">
        <v>123</v>
      </c>
      <c r="C382" s="3" t="s">
        <v>72</v>
      </c>
      <c r="D382" s="3" t="s">
        <v>98</v>
      </c>
      <c r="E382" s="3" t="s">
        <v>89</v>
      </c>
      <c r="F382" s="3"/>
      <c r="G382" s="110">
        <f t="shared" ref="G382:I383" si="80">G383</f>
        <v>30</v>
      </c>
      <c r="H382" s="110">
        <f t="shared" si="80"/>
        <v>0</v>
      </c>
      <c r="I382" s="110">
        <f t="shared" si="80"/>
        <v>30</v>
      </c>
      <c r="K382" s="85"/>
    </row>
    <row r="383" spans="1:11" ht="28.5" customHeight="1" x14ac:dyDescent="0.2">
      <c r="A383" s="104" t="s">
        <v>449</v>
      </c>
      <c r="B383" s="3" t="s">
        <v>123</v>
      </c>
      <c r="C383" s="3" t="s">
        <v>72</v>
      </c>
      <c r="D383" s="3" t="s">
        <v>98</v>
      </c>
      <c r="E383" s="3" t="s">
        <v>431</v>
      </c>
      <c r="F383" s="3"/>
      <c r="G383" s="110">
        <f t="shared" si="80"/>
        <v>30</v>
      </c>
      <c r="H383" s="110">
        <f t="shared" si="80"/>
        <v>0</v>
      </c>
      <c r="I383" s="110">
        <f t="shared" si="80"/>
        <v>30</v>
      </c>
      <c r="K383" s="85"/>
    </row>
    <row r="384" spans="1:11" ht="57.75" customHeight="1" x14ac:dyDescent="0.2">
      <c r="A384" s="4" t="s">
        <v>450</v>
      </c>
      <c r="B384" s="3" t="s">
        <v>123</v>
      </c>
      <c r="C384" s="3" t="s">
        <v>72</v>
      </c>
      <c r="D384" s="3" t="s">
        <v>98</v>
      </c>
      <c r="E384" s="3" t="s">
        <v>431</v>
      </c>
      <c r="F384" s="3" t="s">
        <v>426</v>
      </c>
      <c r="G384" s="110">
        <v>30</v>
      </c>
      <c r="H384" s="110"/>
      <c r="I384" s="110">
        <f>G384+H384</f>
        <v>30</v>
      </c>
      <c r="J384" s="55">
        <v>30</v>
      </c>
      <c r="K384" s="85">
        <f t="shared" si="76"/>
        <v>0</v>
      </c>
    </row>
    <row r="385" spans="1:11" x14ac:dyDescent="0.2">
      <c r="A385" s="15" t="s">
        <v>194</v>
      </c>
      <c r="B385" s="3" t="s">
        <v>123</v>
      </c>
      <c r="C385" s="3" t="s">
        <v>42</v>
      </c>
      <c r="D385" s="3"/>
      <c r="E385" s="3"/>
      <c r="F385" s="3"/>
      <c r="G385" s="107">
        <f>G387+G413+G386</f>
        <v>11350.48143</v>
      </c>
      <c r="H385" s="107">
        <f>H387+H413+H386</f>
        <v>34.776200000000017</v>
      </c>
      <c r="I385" s="107">
        <f>I387+I413+I386</f>
        <v>11385.25763</v>
      </c>
      <c r="K385" s="85"/>
    </row>
    <row r="386" spans="1:11" hidden="1" x14ac:dyDescent="0.2">
      <c r="A386" s="15" t="s">
        <v>195</v>
      </c>
      <c r="B386" s="3" t="s">
        <v>123</v>
      </c>
      <c r="C386" s="3" t="s">
        <v>42</v>
      </c>
      <c r="D386" s="3" t="s">
        <v>15</v>
      </c>
      <c r="E386" s="3"/>
      <c r="F386" s="3"/>
      <c r="G386" s="107"/>
      <c r="H386" s="107"/>
      <c r="I386" s="107"/>
      <c r="K386" s="85"/>
    </row>
    <row r="387" spans="1:11" x14ac:dyDescent="0.2">
      <c r="A387" s="15" t="s">
        <v>198</v>
      </c>
      <c r="B387" s="3" t="s">
        <v>123</v>
      </c>
      <c r="C387" s="3" t="s">
        <v>42</v>
      </c>
      <c r="D387" s="3" t="s">
        <v>29</v>
      </c>
      <c r="E387" s="3"/>
      <c r="F387" s="3"/>
      <c r="G387" s="110">
        <f>G388+G395+G390</f>
        <v>8700.4345400000002</v>
      </c>
      <c r="H387" s="110">
        <f>H388+H395+H390</f>
        <v>129.77620000000002</v>
      </c>
      <c r="I387" s="110">
        <f>I388+I395+I390</f>
        <v>8830.2107400000004</v>
      </c>
      <c r="K387" s="85"/>
    </row>
    <row r="388" spans="1:11" ht="38.25" hidden="1" x14ac:dyDescent="0.2">
      <c r="A388" s="5" t="s">
        <v>137</v>
      </c>
      <c r="B388" s="3" t="s">
        <v>123</v>
      </c>
      <c r="C388" s="3" t="s">
        <v>42</v>
      </c>
      <c r="D388" s="3" t="s">
        <v>29</v>
      </c>
      <c r="E388" s="3" t="s">
        <v>138</v>
      </c>
      <c r="F388" s="3"/>
      <c r="G388" s="110">
        <f>G389</f>
        <v>0</v>
      </c>
      <c r="H388" s="110">
        <f>H389</f>
        <v>0</v>
      </c>
      <c r="I388" s="110">
        <f>I389</f>
        <v>0</v>
      </c>
      <c r="K388" s="85">
        <f t="shared" si="76"/>
        <v>0</v>
      </c>
    </row>
    <row r="389" spans="1:11" ht="38.25" hidden="1" x14ac:dyDescent="0.2">
      <c r="A389" s="7" t="s">
        <v>170</v>
      </c>
      <c r="B389" s="3" t="s">
        <v>123</v>
      </c>
      <c r="C389" s="3" t="s">
        <v>42</v>
      </c>
      <c r="D389" s="3" t="s">
        <v>29</v>
      </c>
      <c r="E389" s="6" t="s">
        <v>199</v>
      </c>
      <c r="F389" s="3"/>
      <c r="G389" s="110">
        <f>G392</f>
        <v>0</v>
      </c>
      <c r="H389" s="110">
        <f>H392</f>
        <v>0</v>
      </c>
      <c r="I389" s="110">
        <f>I392</f>
        <v>0</v>
      </c>
      <c r="K389" s="85">
        <f t="shared" si="76"/>
        <v>0</v>
      </c>
    </row>
    <row r="390" spans="1:11" ht="63.75" hidden="1" x14ac:dyDescent="0.2">
      <c r="A390" s="90" t="s">
        <v>446</v>
      </c>
      <c r="B390" s="3" t="s">
        <v>123</v>
      </c>
      <c r="C390" s="3" t="s">
        <v>42</v>
      </c>
      <c r="D390" s="3" t="s">
        <v>29</v>
      </c>
      <c r="E390" s="6" t="s">
        <v>432</v>
      </c>
      <c r="F390" s="3"/>
      <c r="G390" s="110">
        <f>G391</f>
        <v>0</v>
      </c>
      <c r="H390" s="110">
        <f>H391</f>
        <v>0</v>
      </c>
      <c r="I390" s="110">
        <f>I391</f>
        <v>0</v>
      </c>
      <c r="K390" s="85">
        <f t="shared" si="76"/>
        <v>0</v>
      </c>
    </row>
    <row r="391" spans="1:11" ht="38.25" hidden="1" x14ac:dyDescent="0.2">
      <c r="A391" s="4" t="s">
        <v>183</v>
      </c>
      <c r="B391" s="3" t="s">
        <v>123</v>
      </c>
      <c r="C391" s="3" t="s">
        <v>42</v>
      </c>
      <c r="D391" s="3" t="s">
        <v>29</v>
      </c>
      <c r="E391" s="6" t="s">
        <v>432</v>
      </c>
      <c r="F391" s="3" t="s">
        <v>184</v>
      </c>
      <c r="G391" s="110"/>
      <c r="H391" s="110"/>
      <c r="I391" s="110">
        <f>G391+H391</f>
        <v>0</v>
      </c>
      <c r="J391" s="55">
        <v>1862.3</v>
      </c>
      <c r="K391" s="85">
        <f t="shared" si="76"/>
        <v>-1862.3</v>
      </c>
    </row>
    <row r="392" spans="1:11" ht="38.25" hidden="1" x14ac:dyDescent="0.2">
      <c r="A392" s="7" t="s">
        <v>200</v>
      </c>
      <c r="B392" s="3" t="s">
        <v>123</v>
      </c>
      <c r="C392" s="3" t="s">
        <v>42</v>
      </c>
      <c r="D392" s="3" t="s">
        <v>29</v>
      </c>
      <c r="E392" s="6" t="s">
        <v>201</v>
      </c>
      <c r="F392" s="3"/>
      <c r="G392" s="110">
        <f>SUM(G393:G394)</f>
        <v>0</v>
      </c>
      <c r="H392" s="110">
        <f>SUM(H393:H394)</f>
        <v>0</v>
      </c>
      <c r="I392" s="110">
        <f>SUM(I393:I394)</f>
        <v>0</v>
      </c>
      <c r="K392" s="85">
        <f t="shared" si="76"/>
        <v>0</v>
      </c>
    </row>
    <row r="393" spans="1:11" ht="38.25" hidden="1" x14ac:dyDescent="0.2">
      <c r="A393" s="4" t="s">
        <v>61</v>
      </c>
      <c r="B393" s="3" t="s">
        <v>123</v>
      </c>
      <c r="C393" s="3" t="s">
        <v>42</v>
      </c>
      <c r="D393" s="3" t="s">
        <v>29</v>
      </c>
      <c r="E393" s="3" t="s">
        <v>202</v>
      </c>
      <c r="F393" s="3" t="s">
        <v>62</v>
      </c>
      <c r="G393" s="110"/>
      <c r="H393" s="110"/>
      <c r="I393" s="110">
        <f>G393+H393</f>
        <v>0</v>
      </c>
      <c r="K393" s="85">
        <f t="shared" si="76"/>
        <v>0</v>
      </c>
    </row>
    <row r="394" spans="1:11" ht="38.25" hidden="1" x14ac:dyDescent="0.2">
      <c r="A394" s="4" t="s">
        <v>183</v>
      </c>
      <c r="B394" s="3" t="s">
        <v>123</v>
      </c>
      <c r="C394" s="3" t="s">
        <v>42</v>
      </c>
      <c r="D394" s="3" t="s">
        <v>29</v>
      </c>
      <c r="E394" s="3" t="s">
        <v>202</v>
      </c>
      <c r="F394" s="3" t="s">
        <v>184</v>
      </c>
      <c r="G394" s="110">
        <v>0</v>
      </c>
      <c r="H394" s="110"/>
      <c r="I394" s="110">
        <f>G394+H394</f>
        <v>0</v>
      </c>
      <c r="J394" s="55">
        <v>200</v>
      </c>
      <c r="K394" s="85">
        <f t="shared" si="76"/>
        <v>-200</v>
      </c>
    </row>
    <row r="395" spans="1:11" ht="51" x14ac:dyDescent="0.2">
      <c r="A395" s="5" t="s">
        <v>154</v>
      </c>
      <c r="B395" s="3" t="s">
        <v>123</v>
      </c>
      <c r="C395" s="3" t="s">
        <v>42</v>
      </c>
      <c r="D395" s="3" t="s">
        <v>29</v>
      </c>
      <c r="E395" s="3" t="s">
        <v>174</v>
      </c>
      <c r="F395" s="3"/>
      <c r="G395" s="110">
        <f>G396</f>
        <v>8700.4345400000002</v>
      </c>
      <c r="H395" s="110">
        <f t="shared" ref="H395:I395" si="81">H396</f>
        <v>129.77620000000002</v>
      </c>
      <c r="I395" s="110">
        <f t="shared" si="81"/>
        <v>8830.2107400000004</v>
      </c>
      <c r="K395" s="85"/>
    </row>
    <row r="396" spans="1:11" ht="25.5" x14ac:dyDescent="0.2">
      <c r="A396" s="5" t="s">
        <v>175</v>
      </c>
      <c r="B396" s="3" t="s">
        <v>123</v>
      </c>
      <c r="C396" s="3" t="s">
        <v>42</v>
      </c>
      <c r="D396" s="3" t="s">
        <v>29</v>
      </c>
      <c r="E396" s="3" t="s">
        <v>176</v>
      </c>
      <c r="F396" s="3"/>
      <c r="G396" s="110">
        <f>G404+G408+G399+G401+G397</f>
        <v>8700.4345400000002</v>
      </c>
      <c r="H396" s="110">
        <f t="shared" ref="H396:I396" si="82">H404+H408+H399+H401+H397</f>
        <v>129.77620000000002</v>
      </c>
      <c r="I396" s="110">
        <f t="shared" si="82"/>
        <v>8830.2107400000004</v>
      </c>
      <c r="K396" s="85"/>
    </row>
    <row r="397" spans="1:11" ht="51" x14ac:dyDescent="0.2">
      <c r="A397" s="7" t="s">
        <v>472</v>
      </c>
      <c r="B397" s="3" t="s">
        <v>123</v>
      </c>
      <c r="C397" s="3" t="s">
        <v>42</v>
      </c>
      <c r="D397" s="3" t="s">
        <v>29</v>
      </c>
      <c r="E397" s="3" t="s">
        <v>471</v>
      </c>
      <c r="F397" s="3"/>
      <c r="G397" s="110">
        <f>G398</f>
        <v>2964</v>
      </c>
      <c r="H397" s="110">
        <f t="shared" ref="H397:I397" si="83">H398</f>
        <v>0</v>
      </c>
      <c r="I397" s="110">
        <f t="shared" si="83"/>
        <v>2964</v>
      </c>
      <c r="K397" s="85"/>
    </row>
    <row r="398" spans="1:11" ht="38.25" x14ac:dyDescent="0.2">
      <c r="A398" s="4" t="s">
        <v>183</v>
      </c>
      <c r="B398" s="3" t="s">
        <v>123</v>
      </c>
      <c r="C398" s="3" t="s">
        <v>42</v>
      </c>
      <c r="D398" s="3" t="s">
        <v>29</v>
      </c>
      <c r="E398" s="3" t="s">
        <v>471</v>
      </c>
      <c r="F398" s="3" t="s">
        <v>184</v>
      </c>
      <c r="G398" s="110">
        <v>2964</v>
      </c>
      <c r="H398" s="110"/>
      <c r="I398" s="110">
        <f>G398+H398</f>
        <v>2964</v>
      </c>
      <c r="J398" s="55">
        <v>2964</v>
      </c>
      <c r="K398" s="85">
        <f t="shared" si="76"/>
        <v>0</v>
      </c>
    </row>
    <row r="399" spans="1:11" ht="63.75" x14ac:dyDescent="0.2">
      <c r="A399" s="101" t="s">
        <v>448</v>
      </c>
      <c r="B399" s="3" t="s">
        <v>123</v>
      </c>
      <c r="C399" s="3" t="s">
        <v>42</v>
      </c>
      <c r="D399" s="3" t="s">
        <v>29</v>
      </c>
      <c r="E399" s="3" t="s">
        <v>433</v>
      </c>
      <c r="F399" s="3"/>
      <c r="G399" s="110">
        <f>G400</f>
        <v>1800</v>
      </c>
      <c r="H399" s="110">
        <f t="shared" ref="H399:I399" si="84">H400</f>
        <v>0</v>
      </c>
      <c r="I399" s="110">
        <f t="shared" si="84"/>
        <v>1800</v>
      </c>
      <c r="K399" s="85"/>
    </row>
    <row r="400" spans="1:11" ht="38.25" x14ac:dyDescent="0.2">
      <c r="A400" s="4" t="s">
        <v>205</v>
      </c>
      <c r="B400" s="3" t="s">
        <v>123</v>
      </c>
      <c r="C400" s="3" t="s">
        <v>42</v>
      </c>
      <c r="D400" s="3" t="s">
        <v>29</v>
      </c>
      <c r="E400" s="3" t="s">
        <v>433</v>
      </c>
      <c r="F400" s="3" t="s">
        <v>151</v>
      </c>
      <c r="G400" s="110">
        <v>1800</v>
      </c>
      <c r="H400" s="110"/>
      <c r="I400" s="110">
        <f>G400+H400</f>
        <v>1800</v>
      </c>
      <c r="J400" s="55">
        <v>1800</v>
      </c>
      <c r="K400" s="85">
        <f t="shared" si="76"/>
        <v>0</v>
      </c>
    </row>
    <row r="401" spans="1:11" ht="51" x14ac:dyDescent="0.2">
      <c r="A401" s="12" t="s">
        <v>447</v>
      </c>
      <c r="B401" s="3" t="s">
        <v>123</v>
      </c>
      <c r="C401" s="3" t="s">
        <v>42</v>
      </c>
      <c r="D401" s="3" t="s">
        <v>29</v>
      </c>
      <c r="E401" s="3" t="s">
        <v>405</v>
      </c>
      <c r="F401" s="3"/>
      <c r="G401" s="110">
        <f>G402+G403</f>
        <v>84</v>
      </c>
      <c r="H401" s="110">
        <f t="shared" ref="H401:I401" si="85">H402+H403</f>
        <v>0</v>
      </c>
      <c r="I401" s="110">
        <f t="shared" si="85"/>
        <v>84</v>
      </c>
      <c r="K401" s="85"/>
    </row>
    <row r="402" spans="1:11" ht="38.25" hidden="1" x14ac:dyDescent="0.2">
      <c r="A402" s="4" t="s">
        <v>61</v>
      </c>
      <c r="B402" s="3" t="s">
        <v>123</v>
      </c>
      <c r="C402" s="3" t="s">
        <v>42</v>
      </c>
      <c r="D402" s="3" t="s">
        <v>29</v>
      </c>
      <c r="E402" s="3" t="s">
        <v>405</v>
      </c>
      <c r="F402" s="3" t="s">
        <v>62</v>
      </c>
      <c r="G402" s="110">
        <v>0</v>
      </c>
      <c r="H402" s="110"/>
      <c r="I402" s="110">
        <f>G402+H402</f>
        <v>0</v>
      </c>
      <c r="J402" s="55">
        <v>0</v>
      </c>
      <c r="K402" s="85">
        <f t="shared" si="76"/>
        <v>0</v>
      </c>
    </row>
    <row r="403" spans="1:11" ht="25.5" x14ac:dyDescent="0.2">
      <c r="A403" s="4" t="s">
        <v>499</v>
      </c>
      <c r="B403" s="3" t="s">
        <v>123</v>
      </c>
      <c r="C403" s="3" t="s">
        <v>42</v>
      </c>
      <c r="D403" s="3" t="s">
        <v>29</v>
      </c>
      <c r="E403" s="3" t="s">
        <v>405</v>
      </c>
      <c r="F403" s="3" t="s">
        <v>100</v>
      </c>
      <c r="G403" s="110">
        <v>84</v>
      </c>
      <c r="H403" s="110"/>
      <c r="I403" s="110">
        <f>G403+H403</f>
        <v>84</v>
      </c>
      <c r="J403" s="55">
        <v>84</v>
      </c>
      <c r="K403" s="85">
        <f t="shared" si="76"/>
        <v>0</v>
      </c>
    </row>
    <row r="404" spans="1:11" ht="63.75" x14ac:dyDescent="0.2">
      <c r="A404" s="7" t="s">
        <v>203</v>
      </c>
      <c r="B404" s="3" t="s">
        <v>123</v>
      </c>
      <c r="C404" s="3" t="s">
        <v>42</v>
      </c>
      <c r="D404" s="3" t="s">
        <v>29</v>
      </c>
      <c r="E404" s="3" t="s">
        <v>204</v>
      </c>
      <c r="F404" s="3"/>
      <c r="G404" s="110">
        <f>SUM(G405:G407)</f>
        <v>650</v>
      </c>
      <c r="H404" s="110">
        <f>SUM(H405:H407)</f>
        <v>90.789000000000001</v>
      </c>
      <c r="I404" s="110">
        <f t="shared" ref="I404" si="86">SUM(I405:I407)</f>
        <v>740.78899999999999</v>
      </c>
      <c r="K404" s="85"/>
    </row>
    <row r="405" spans="1:11" ht="38.25" x14ac:dyDescent="0.2">
      <c r="A405" s="4" t="s">
        <v>205</v>
      </c>
      <c r="B405" s="3" t="s">
        <v>123</v>
      </c>
      <c r="C405" s="3" t="s">
        <v>42</v>
      </c>
      <c r="D405" s="3" t="s">
        <v>29</v>
      </c>
      <c r="E405" s="3" t="s">
        <v>204</v>
      </c>
      <c r="F405" s="3" t="s">
        <v>151</v>
      </c>
      <c r="G405" s="110">
        <v>98.99</v>
      </c>
      <c r="H405" s="110">
        <v>21.798999999999999</v>
      </c>
      <c r="I405" s="110">
        <f>G405+H405</f>
        <v>120.78899999999999</v>
      </c>
      <c r="J405" s="55">
        <v>120.789</v>
      </c>
      <c r="K405" s="85">
        <f t="shared" si="76"/>
        <v>0</v>
      </c>
    </row>
    <row r="406" spans="1:11" ht="38.25" x14ac:dyDescent="0.2">
      <c r="A406" s="4" t="s">
        <v>61</v>
      </c>
      <c r="B406" s="3" t="s">
        <v>123</v>
      </c>
      <c r="C406" s="3" t="s">
        <v>42</v>
      </c>
      <c r="D406" s="3" t="s">
        <v>29</v>
      </c>
      <c r="E406" s="3" t="s">
        <v>204</v>
      </c>
      <c r="F406" s="3" t="s">
        <v>62</v>
      </c>
      <c r="G406" s="110">
        <v>51.01</v>
      </c>
      <c r="H406" s="110">
        <f>-29.211-21.799</f>
        <v>-51.01</v>
      </c>
      <c r="I406" s="110">
        <f>G406+H406</f>
        <v>0</v>
      </c>
      <c r="K406" s="85">
        <f t="shared" si="76"/>
        <v>0</v>
      </c>
    </row>
    <row r="407" spans="1:11" ht="25.5" x14ac:dyDescent="0.2">
      <c r="A407" s="4" t="s">
        <v>499</v>
      </c>
      <c r="B407" s="3" t="s">
        <v>123</v>
      </c>
      <c r="C407" s="3" t="s">
        <v>42</v>
      </c>
      <c r="D407" s="3" t="s">
        <v>29</v>
      </c>
      <c r="E407" s="3" t="s">
        <v>204</v>
      </c>
      <c r="F407" s="3" t="s">
        <v>100</v>
      </c>
      <c r="G407" s="110">
        <v>500</v>
      </c>
      <c r="H407" s="110">
        <v>120</v>
      </c>
      <c r="I407" s="110">
        <f>G407+H407</f>
        <v>620</v>
      </c>
      <c r="J407" s="55">
        <v>620</v>
      </c>
      <c r="K407" s="85">
        <f t="shared" si="76"/>
        <v>0</v>
      </c>
    </row>
    <row r="408" spans="1:11" ht="51" x14ac:dyDescent="0.2">
      <c r="A408" s="7" t="s">
        <v>206</v>
      </c>
      <c r="B408" s="3" t="s">
        <v>123</v>
      </c>
      <c r="C408" s="3" t="s">
        <v>42</v>
      </c>
      <c r="D408" s="3" t="s">
        <v>29</v>
      </c>
      <c r="E408" s="3" t="s">
        <v>177</v>
      </c>
      <c r="F408" s="3"/>
      <c r="G408" s="110">
        <f>SUM(G409:G412)</f>
        <v>3202.4345400000002</v>
      </c>
      <c r="H408" s="110">
        <f>SUM(H409:H412)</f>
        <v>38.987200000000001</v>
      </c>
      <c r="I408" s="110">
        <f>SUM(I409:I412)</f>
        <v>3241.4217400000002</v>
      </c>
      <c r="K408" s="85"/>
    </row>
    <row r="409" spans="1:11" hidden="1" x14ac:dyDescent="0.2">
      <c r="A409" s="13" t="s">
        <v>53</v>
      </c>
      <c r="B409" s="3" t="s">
        <v>123</v>
      </c>
      <c r="C409" s="3" t="s">
        <v>42</v>
      </c>
      <c r="D409" s="3" t="s">
        <v>29</v>
      </c>
      <c r="E409" s="3" t="s">
        <v>177</v>
      </c>
      <c r="F409" s="3" t="s">
        <v>54</v>
      </c>
      <c r="G409" s="110"/>
      <c r="H409" s="110">
        <v>0</v>
      </c>
      <c r="I409" s="110">
        <f>G409+H409</f>
        <v>0</v>
      </c>
      <c r="K409" s="85">
        <f t="shared" si="76"/>
        <v>0</v>
      </c>
    </row>
    <row r="410" spans="1:11" ht="38.25" hidden="1" x14ac:dyDescent="0.2">
      <c r="A410" s="4" t="s">
        <v>205</v>
      </c>
      <c r="B410" s="3" t="s">
        <v>123</v>
      </c>
      <c r="C410" s="3" t="s">
        <v>42</v>
      </c>
      <c r="D410" s="3" t="s">
        <v>29</v>
      </c>
      <c r="E410" s="3" t="s">
        <v>177</v>
      </c>
      <c r="F410" s="3" t="s">
        <v>151</v>
      </c>
      <c r="G410" s="110"/>
      <c r="H410" s="110"/>
      <c r="I410" s="110">
        <f>G410+H410</f>
        <v>0</v>
      </c>
      <c r="K410" s="85">
        <f t="shared" si="76"/>
        <v>0</v>
      </c>
    </row>
    <row r="411" spans="1:11" ht="38.25" x14ac:dyDescent="0.2">
      <c r="A411" s="4" t="s">
        <v>61</v>
      </c>
      <c r="B411" s="3" t="s">
        <v>123</v>
      </c>
      <c r="C411" s="3" t="s">
        <v>42</v>
      </c>
      <c r="D411" s="3" t="s">
        <v>29</v>
      </c>
      <c r="E411" s="3" t="s">
        <v>177</v>
      </c>
      <c r="F411" s="3" t="s">
        <v>62</v>
      </c>
      <c r="G411" s="110">
        <v>307.67</v>
      </c>
      <c r="H411" s="110">
        <v>38.987200000000001</v>
      </c>
      <c r="I411" s="110">
        <f>G411+H411</f>
        <v>346.65719999999999</v>
      </c>
      <c r="J411" s="55">
        <v>346.65719999999999</v>
      </c>
      <c r="K411" s="85">
        <f t="shared" si="76"/>
        <v>0</v>
      </c>
    </row>
    <row r="412" spans="1:11" ht="38.25" x14ac:dyDescent="0.2">
      <c r="A412" s="4" t="s">
        <v>183</v>
      </c>
      <c r="B412" s="3" t="s">
        <v>123</v>
      </c>
      <c r="C412" s="3" t="s">
        <v>42</v>
      </c>
      <c r="D412" s="3" t="s">
        <v>29</v>
      </c>
      <c r="E412" s="3" t="s">
        <v>177</v>
      </c>
      <c r="F412" s="3" t="s">
        <v>184</v>
      </c>
      <c r="G412" s="110">
        <v>2894.7645400000001</v>
      </c>
      <c r="H412" s="110">
        <f>700-700</f>
        <v>0</v>
      </c>
      <c r="I412" s="110">
        <f>G412+H412</f>
        <v>2894.7645400000001</v>
      </c>
      <c r="J412" s="55">
        <v>3594.7645400000001</v>
      </c>
      <c r="K412" s="85">
        <f t="shared" si="76"/>
        <v>-700</v>
      </c>
    </row>
    <row r="413" spans="1:11" x14ac:dyDescent="0.2">
      <c r="A413" s="15" t="s">
        <v>207</v>
      </c>
      <c r="B413" s="9" t="s">
        <v>123</v>
      </c>
      <c r="C413" s="9" t="s">
        <v>42</v>
      </c>
      <c r="D413" s="9" t="s">
        <v>111</v>
      </c>
      <c r="E413" s="9"/>
      <c r="F413" s="9"/>
      <c r="G413" s="110">
        <f>G414</f>
        <v>2650.0468900000001</v>
      </c>
      <c r="H413" s="110">
        <f t="shared" ref="H413:I416" si="87">H414</f>
        <v>-95</v>
      </c>
      <c r="I413" s="110">
        <f t="shared" si="87"/>
        <v>2555.0468900000001</v>
      </c>
      <c r="K413" s="85"/>
    </row>
    <row r="414" spans="1:11" ht="51" x14ac:dyDescent="0.2">
      <c r="A414" s="5" t="s">
        <v>154</v>
      </c>
      <c r="B414" s="9" t="s">
        <v>123</v>
      </c>
      <c r="C414" s="9" t="s">
        <v>42</v>
      </c>
      <c r="D414" s="9" t="s">
        <v>111</v>
      </c>
      <c r="E414" s="9" t="s">
        <v>174</v>
      </c>
      <c r="F414" s="9"/>
      <c r="G414" s="110">
        <f>G415</f>
        <v>2650.0468900000001</v>
      </c>
      <c r="H414" s="110">
        <f t="shared" si="87"/>
        <v>-95</v>
      </c>
      <c r="I414" s="110">
        <f t="shared" si="87"/>
        <v>2555.0468900000001</v>
      </c>
      <c r="K414" s="85"/>
    </row>
    <row r="415" spans="1:11" ht="25.5" x14ac:dyDescent="0.2">
      <c r="A415" s="5" t="s">
        <v>175</v>
      </c>
      <c r="B415" s="9" t="s">
        <v>123</v>
      </c>
      <c r="C415" s="9" t="s">
        <v>42</v>
      </c>
      <c r="D415" s="9" t="s">
        <v>111</v>
      </c>
      <c r="E415" s="9" t="s">
        <v>176</v>
      </c>
      <c r="F415" s="9"/>
      <c r="G415" s="110">
        <f>G416+G418</f>
        <v>2650.0468900000001</v>
      </c>
      <c r="H415" s="110">
        <f>H416+H418</f>
        <v>-95</v>
      </c>
      <c r="I415" s="110">
        <f>I416+I418</f>
        <v>2555.0468900000001</v>
      </c>
      <c r="K415" s="85"/>
    </row>
    <row r="416" spans="1:11" ht="38.25" x14ac:dyDescent="0.2">
      <c r="A416" s="22" t="s">
        <v>208</v>
      </c>
      <c r="B416" s="9" t="s">
        <v>123</v>
      </c>
      <c r="C416" s="9" t="s">
        <v>42</v>
      </c>
      <c r="D416" s="9" t="s">
        <v>111</v>
      </c>
      <c r="E416" s="9" t="s">
        <v>209</v>
      </c>
      <c r="F416" s="9"/>
      <c r="G416" s="110">
        <f>G417</f>
        <v>84.785889999999995</v>
      </c>
      <c r="H416" s="110">
        <f t="shared" si="87"/>
        <v>-20</v>
      </c>
      <c r="I416" s="110">
        <f t="shared" si="87"/>
        <v>64.785889999999995</v>
      </c>
      <c r="K416" s="85"/>
    </row>
    <row r="417" spans="1:11" ht="38.25" x14ac:dyDescent="0.2">
      <c r="A417" s="4" t="s">
        <v>61</v>
      </c>
      <c r="B417" s="9" t="s">
        <v>123</v>
      </c>
      <c r="C417" s="9" t="s">
        <v>42</v>
      </c>
      <c r="D417" s="9" t="s">
        <v>111</v>
      </c>
      <c r="E417" s="9" t="s">
        <v>209</v>
      </c>
      <c r="F417" s="9" t="s">
        <v>62</v>
      </c>
      <c r="G417" s="110">
        <v>84.785889999999995</v>
      </c>
      <c r="H417" s="110">
        <v>-20</v>
      </c>
      <c r="I417" s="110">
        <f>G417+H417</f>
        <v>64.785889999999995</v>
      </c>
      <c r="J417" s="55">
        <v>64.785889999999995</v>
      </c>
      <c r="K417" s="85">
        <f t="shared" si="76"/>
        <v>0</v>
      </c>
    </row>
    <row r="418" spans="1:11" ht="25.5" x14ac:dyDescent="0.2">
      <c r="A418" s="22" t="s">
        <v>210</v>
      </c>
      <c r="B418" s="9" t="s">
        <v>123</v>
      </c>
      <c r="C418" s="9" t="s">
        <v>42</v>
      </c>
      <c r="D418" s="9" t="s">
        <v>111</v>
      </c>
      <c r="E418" s="9" t="s">
        <v>211</v>
      </c>
      <c r="F418" s="9"/>
      <c r="G418" s="110">
        <f>G419</f>
        <v>2565.261</v>
      </c>
      <c r="H418" s="110">
        <f>H419</f>
        <v>-75</v>
      </c>
      <c r="I418" s="110">
        <f>I419</f>
        <v>2490.261</v>
      </c>
      <c r="K418" s="85"/>
    </row>
    <row r="419" spans="1:11" ht="38.25" x14ac:dyDescent="0.2">
      <c r="A419" s="4" t="s">
        <v>61</v>
      </c>
      <c r="B419" s="9" t="s">
        <v>123</v>
      </c>
      <c r="C419" s="9" t="s">
        <v>42</v>
      </c>
      <c r="D419" s="9" t="s">
        <v>111</v>
      </c>
      <c r="E419" s="9" t="s">
        <v>211</v>
      </c>
      <c r="F419" s="9" t="s">
        <v>62</v>
      </c>
      <c r="G419" s="110">
        <v>2565.261</v>
      </c>
      <c r="H419" s="110">
        <v>-75</v>
      </c>
      <c r="I419" s="110">
        <f>G419+H419</f>
        <v>2490.261</v>
      </c>
      <c r="J419" s="55">
        <v>2490.261</v>
      </c>
      <c r="K419" s="85">
        <f t="shared" si="76"/>
        <v>0</v>
      </c>
    </row>
    <row r="420" spans="1:11" hidden="1" x14ac:dyDescent="0.2">
      <c r="A420" s="4" t="s">
        <v>313</v>
      </c>
      <c r="B420" s="9" t="s">
        <v>123</v>
      </c>
      <c r="C420" s="84" t="s">
        <v>85</v>
      </c>
      <c r="D420" s="84"/>
      <c r="E420" s="84"/>
      <c r="F420" s="84"/>
      <c r="G420" s="110">
        <f t="shared" ref="G420:I422" si="88">G421</f>
        <v>0</v>
      </c>
      <c r="H420" s="110">
        <f t="shared" si="88"/>
        <v>0</v>
      </c>
      <c r="I420" s="110">
        <f t="shared" si="88"/>
        <v>0</v>
      </c>
      <c r="K420" s="85"/>
    </row>
    <row r="421" spans="1:11" ht="25.5" hidden="1" x14ac:dyDescent="0.2">
      <c r="A421" s="4" t="s">
        <v>381</v>
      </c>
      <c r="B421" s="9" t="s">
        <v>123</v>
      </c>
      <c r="C421" s="84" t="s">
        <v>85</v>
      </c>
      <c r="D421" s="84" t="s">
        <v>42</v>
      </c>
      <c r="E421" s="84"/>
      <c r="F421" s="84"/>
      <c r="G421" s="110">
        <f t="shared" si="88"/>
        <v>0</v>
      </c>
      <c r="H421" s="110">
        <f t="shared" si="88"/>
        <v>0</v>
      </c>
      <c r="I421" s="110">
        <f t="shared" si="88"/>
        <v>0</v>
      </c>
      <c r="K421" s="85"/>
    </row>
    <row r="422" spans="1:11" hidden="1" x14ac:dyDescent="0.2">
      <c r="A422" s="67" t="s">
        <v>88</v>
      </c>
      <c r="B422" s="9" t="s">
        <v>123</v>
      </c>
      <c r="C422" s="84" t="s">
        <v>85</v>
      </c>
      <c r="D422" s="84" t="s">
        <v>42</v>
      </c>
      <c r="E422" s="84" t="s">
        <v>89</v>
      </c>
      <c r="F422" s="84"/>
      <c r="G422" s="110">
        <f t="shared" si="88"/>
        <v>0</v>
      </c>
      <c r="H422" s="110">
        <f t="shared" si="88"/>
        <v>0</v>
      </c>
      <c r="I422" s="110">
        <f t="shared" si="88"/>
        <v>0</v>
      </c>
      <c r="K422" s="85"/>
    </row>
    <row r="423" spans="1:11" ht="25.5" hidden="1" x14ac:dyDescent="0.2">
      <c r="A423" s="4" t="s">
        <v>382</v>
      </c>
      <c r="B423" s="9" t="s">
        <v>123</v>
      </c>
      <c r="C423" s="84" t="s">
        <v>85</v>
      </c>
      <c r="D423" s="84" t="s">
        <v>42</v>
      </c>
      <c r="E423" s="84" t="s">
        <v>384</v>
      </c>
      <c r="F423" s="84"/>
      <c r="G423" s="110">
        <f>G424+G425</f>
        <v>0</v>
      </c>
      <c r="H423" s="110">
        <f>H424+H425</f>
        <v>0</v>
      </c>
      <c r="I423" s="110">
        <f>I424+I425</f>
        <v>0</v>
      </c>
      <c r="K423" s="85"/>
    </row>
    <row r="424" spans="1:11" hidden="1" x14ac:dyDescent="0.2">
      <c r="A424" s="4" t="s">
        <v>383</v>
      </c>
      <c r="B424" s="9" t="s">
        <v>123</v>
      </c>
      <c r="C424" s="84" t="s">
        <v>85</v>
      </c>
      <c r="D424" s="84" t="s">
        <v>42</v>
      </c>
      <c r="E424" s="84" t="s">
        <v>384</v>
      </c>
      <c r="F424" s="84" t="s">
        <v>385</v>
      </c>
      <c r="G424" s="110">
        <v>0</v>
      </c>
      <c r="H424" s="110"/>
      <c r="I424" s="110">
        <f>H424+G424</f>
        <v>0</v>
      </c>
      <c r="J424" s="55">
        <v>393</v>
      </c>
      <c r="K424" s="85">
        <f t="shared" ref="K424:K486" si="89">I424-J424</f>
        <v>-393</v>
      </c>
    </row>
    <row r="425" spans="1:11" ht="25.5" hidden="1" x14ac:dyDescent="0.2">
      <c r="A425" s="4" t="s">
        <v>465</v>
      </c>
      <c r="B425" s="9" t="s">
        <v>123</v>
      </c>
      <c r="C425" s="84" t="s">
        <v>85</v>
      </c>
      <c r="D425" s="84" t="s">
        <v>42</v>
      </c>
      <c r="E425" s="84" t="s">
        <v>384</v>
      </c>
      <c r="F425" s="84" t="s">
        <v>100</v>
      </c>
      <c r="G425" s="110">
        <v>0</v>
      </c>
      <c r="H425" s="110"/>
      <c r="I425" s="110">
        <f>G425+H425</f>
        <v>0</v>
      </c>
      <c r="J425" s="55">
        <v>68.088719999999995</v>
      </c>
      <c r="K425" s="85">
        <f t="shared" si="89"/>
        <v>-68.088719999999995</v>
      </c>
    </row>
    <row r="426" spans="1:11" ht="13.5" customHeight="1" x14ac:dyDescent="0.2">
      <c r="A426" s="25" t="s">
        <v>212</v>
      </c>
      <c r="B426" s="3" t="s">
        <v>123</v>
      </c>
      <c r="C426" s="3" t="s">
        <v>13</v>
      </c>
      <c r="D426" s="3"/>
      <c r="E426" s="3"/>
      <c r="F426" s="3"/>
      <c r="G426" s="107">
        <f>G432+G427</f>
        <v>13421.964479999999</v>
      </c>
      <c r="H426" s="107">
        <f>H432+H427</f>
        <v>13767.18498</v>
      </c>
      <c r="I426" s="107">
        <f>I432+I427</f>
        <v>27189.149460000001</v>
      </c>
      <c r="K426" s="85"/>
    </row>
    <row r="427" spans="1:11" x14ac:dyDescent="0.2">
      <c r="A427" s="4" t="s">
        <v>14</v>
      </c>
      <c r="B427" s="3" t="s">
        <v>123</v>
      </c>
      <c r="C427" s="3" t="s">
        <v>13</v>
      </c>
      <c r="D427" s="3" t="s">
        <v>15</v>
      </c>
      <c r="E427" s="3"/>
      <c r="F427" s="3"/>
      <c r="G427" s="110">
        <f>G428</f>
        <v>0</v>
      </c>
      <c r="H427" s="110">
        <f>H428</f>
        <v>293.27999999999997</v>
      </c>
      <c r="I427" s="110">
        <f>I428</f>
        <v>293.27999999999997</v>
      </c>
      <c r="K427" s="85"/>
    </row>
    <row r="428" spans="1:11" ht="38.25" x14ac:dyDescent="0.2">
      <c r="A428" s="5" t="s">
        <v>137</v>
      </c>
      <c r="B428" s="3" t="s">
        <v>123</v>
      </c>
      <c r="C428" s="3" t="s">
        <v>13</v>
      </c>
      <c r="D428" s="3" t="s">
        <v>15</v>
      </c>
      <c r="E428" s="3" t="s">
        <v>138</v>
      </c>
      <c r="F428" s="3"/>
      <c r="G428" s="110">
        <f>G429</f>
        <v>0</v>
      </c>
      <c r="H428" s="110">
        <f t="shared" ref="H428:I430" si="90">H429</f>
        <v>293.27999999999997</v>
      </c>
      <c r="I428" s="110">
        <f t="shared" si="90"/>
        <v>293.27999999999997</v>
      </c>
      <c r="K428" s="85"/>
    </row>
    <row r="429" spans="1:11" ht="38.25" x14ac:dyDescent="0.2">
      <c r="A429" s="7" t="s">
        <v>170</v>
      </c>
      <c r="B429" s="3" t="s">
        <v>123</v>
      </c>
      <c r="C429" s="3" t="s">
        <v>13</v>
      </c>
      <c r="D429" s="3" t="s">
        <v>15</v>
      </c>
      <c r="E429" s="3" t="s">
        <v>171</v>
      </c>
      <c r="F429" s="3"/>
      <c r="G429" s="110">
        <f>G430</f>
        <v>0</v>
      </c>
      <c r="H429" s="110">
        <f t="shared" si="90"/>
        <v>293.27999999999997</v>
      </c>
      <c r="I429" s="110">
        <f t="shared" si="90"/>
        <v>293.27999999999997</v>
      </c>
      <c r="K429" s="85"/>
    </row>
    <row r="430" spans="1:11" ht="25.5" customHeight="1" x14ac:dyDescent="0.2">
      <c r="A430" s="7" t="s">
        <v>200</v>
      </c>
      <c r="B430" s="3" t="s">
        <v>123</v>
      </c>
      <c r="C430" s="3" t="s">
        <v>13</v>
      </c>
      <c r="D430" s="3" t="s">
        <v>15</v>
      </c>
      <c r="E430" s="3" t="s">
        <v>202</v>
      </c>
      <c r="F430" s="3"/>
      <c r="G430" s="110">
        <f>G431</f>
        <v>0</v>
      </c>
      <c r="H430" s="110">
        <f t="shared" si="90"/>
        <v>293.27999999999997</v>
      </c>
      <c r="I430" s="110">
        <f t="shared" si="90"/>
        <v>293.27999999999997</v>
      </c>
      <c r="K430" s="85"/>
    </row>
    <row r="431" spans="1:11" ht="33" customHeight="1" x14ac:dyDescent="0.2">
      <c r="A431" s="4" t="s">
        <v>183</v>
      </c>
      <c r="B431" s="3" t="s">
        <v>123</v>
      </c>
      <c r="C431" s="3" t="s">
        <v>13</v>
      </c>
      <c r="D431" s="3" t="s">
        <v>15</v>
      </c>
      <c r="E431" s="3" t="s">
        <v>202</v>
      </c>
      <c r="F431" s="3" t="s">
        <v>184</v>
      </c>
      <c r="G431" s="110"/>
      <c r="H431" s="110">
        <f>223.28+70</f>
        <v>293.27999999999997</v>
      </c>
      <c r="I431" s="110">
        <f>G431+H431</f>
        <v>293.27999999999997</v>
      </c>
      <c r="J431" s="55">
        <v>223.28</v>
      </c>
      <c r="K431" s="85">
        <f t="shared" si="89"/>
        <v>69.999999999999972</v>
      </c>
    </row>
    <row r="432" spans="1:11" ht="23.25" customHeight="1" x14ac:dyDescent="0.2">
      <c r="A432" s="4" t="s">
        <v>28</v>
      </c>
      <c r="B432" s="3" t="s">
        <v>123</v>
      </c>
      <c r="C432" s="3" t="s">
        <v>13</v>
      </c>
      <c r="D432" s="3" t="s">
        <v>29</v>
      </c>
      <c r="E432" s="3"/>
      <c r="F432" s="3"/>
      <c r="G432" s="110">
        <f>G433+G437</f>
        <v>13421.964479999999</v>
      </c>
      <c r="H432" s="110">
        <f>H433+H437</f>
        <v>13473.904979999999</v>
      </c>
      <c r="I432" s="110">
        <f>I433+I437</f>
        <v>26895.869460000002</v>
      </c>
      <c r="K432" s="85"/>
    </row>
    <row r="433" spans="1:11" ht="38.25" x14ac:dyDescent="0.2">
      <c r="A433" s="5" t="s">
        <v>137</v>
      </c>
      <c r="B433" s="3" t="s">
        <v>123</v>
      </c>
      <c r="C433" s="3" t="s">
        <v>13</v>
      </c>
      <c r="D433" s="3" t="s">
        <v>29</v>
      </c>
      <c r="E433" s="3" t="s">
        <v>138</v>
      </c>
      <c r="F433" s="3"/>
      <c r="G433" s="110">
        <f>G434</f>
        <v>686.74800000000005</v>
      </c>
      <c r="H433" s="110">
        <f t="shared" ref="H433:I435" si="91">H434</f>
        <v>8298.2745599999998</v>
      </c>
      <c r="I433" s="110">
        <f t="shared" si="91"/>
        <v>8985.0225599999994</v>
      </c>
      <c r="K433" s="85"/>
    </row>
    <row r="434" spans="1:11" ht="38.25" x14ac:dyDescent="0.2">
      <c r="A434" s="7" t="s">
        <v>170</v>
      </c>
      <c r="B434" s="3" t="s">
        <v>123</v>
      </c>
      <c r="C434" s="3" t="s">
        <v>13</v>
      </c>
      <c r="D434" s="3" t="s">
        <v>29</v>
      </c>
      <c r="E434" s="3" t="s">
        <v>171</v>
      </c>
      <c r="F434" s="3"/>
      <c r="G434" s="110">
        <f>G435</f>
        <v>686.74800000000005</v>
      </c>
      <c r="H434" s="110">
        <f t="shared" si="91"/>
        <v>8298.2745599999998</v>
      </c>
      <c r="I434" s="110">
        <f t="shared" si="91"/>
        <v>8985.0225599999994</v>
      </c>
      <c r="K434" s="85"/>
    </row>
    <row r="435" spans="1:11" ht="38.25" x14ac:dyDescent="0.2">
      <c r="A435" s="7" t="s">
        <v>200</v>
      </c>
      <c r="B435" s="3" t="s">
        <v>123</v>
      </c>
      <c r="C435" s="3" t="s">
        <v>13</v>
      </c>
      <c r="D435" s="3" t="s">
        <v>29</v>
      </c>
      <c r="E435" s="3" t="s">
        <v>202</v>
      </c>
      <c r="F435" s="3"/>
      <c r="G435" s="110">
        <f>G436</f>
        <v>686.74800000000005</v>
      </c>
      <c r="H435" s="110">
        <f t="shared" si="91"/>
        <v>8298.2745599999998</v>
      </c>
      <c r="I435" s="110">
        <f t="shared" si="91"/>
        <v>8985.0225599999994</v>
      </c>
      <c r="K435" s="85"/>
    </row>
    <row r="436" spans="1:11" ht="38.25" x14ac:dyDescent="0.2">
      <c r="A436" s="4" t="s">
        <v>183</v>
      </c>
      <c r="B436" s="3" t="s">
        <v>123</v>
      </c>
      <c r="C436" s="3" t="s">
        <v>13</v>
      </c>
      <c r="D436" s="3" t="s">
        <v>29</v>
      </c>
      <c r="E436" s="3" t="s">
        <v>202</v>
      </c>
      <c r="F436" s="3" t="s">
        <v>184</v>
      </c>
      <c r="G436" s="110">
        <v>686.74800000000005</v>
      </c>
      <c r="H436" s="110">
        <f>-223.28+8521.55456</f>
        <v>8298.2745599999998</v>
      </c>
      <c r="I436" s="110">
        <f>G436+H436</f>
        <v>8985.0225599999994</v>
      </c>
      <c r="J436" s="55">
        <v>395.37927999999999</v>
      </c>
      <c r="K436" s="85">
        <f t="shared" si="89"/>
        <v>8589.6432800000002</v>
      </c>
    </row>
    <row r="437" spans="1:11" ht="38.25" x14ac:dyDescent="0.2">
      <c r="A437" s="5" t="s">
        <v>16</v>
      </c>
      <c r="B437" s="3" t="s">
        <v>123</v>
      </c>
      <c r="C437" s="3" t="s">
        <v>13</v>
      </c>
      <c r="D437" s="3" t="s">
        <v>29</v>
      </c>
      <c r="E437" s="3" t="s">
        <v>43</v>
      </c>
      <c r="F437" s="3"/>
      <c r="G437" s="110">
        <f>G438</f>
        <v>12735.216479999999</v>
      </c>
      <c r="H437" s="110">
        <f>H438</f>
        <v>5175.6304199999995</v>
      </c>
      <c r="I437" s="110">
        <f>I438</f>
        <v>17910.8469</v>
      </c>
      <c r="K437" s="85"/>
    </row>
    <row r="438" spans="1:11" ht="38.25" x14ac:dyDescent="0.2">
      <c r="A438" s="7" t="s">
        <v>18</v>
      </c>
      <c r="B438" s="3" t="s">
        <v>123</v>
      </c>
      <c r="C438" s="3" t="s">
        <v>13</v>
      </c>
      <c r="D438" s="3" t="s">
        <v>29</v>
      </c>
      <c r="E438" s="3" t="s">
        <v>44</v>
      </c>
      <c r="F438" s="3"/>
      <c r="G438" s="110">
        <f>G439+G442+G445+G447</f>
        <v>12735.216479999999</v>
      </c>
      <c r="H438" s="110">
        <f>H439+H442+H445+H447</f>
        <v>5175.6304199999995</v>
      </c>
      <c r="I438" s="110">
        <f>I439+I442+I445+I447</f>
        <v>17910.8469</v>
      </c>
      <c r="K438" s="85"/>
    </row>
    <row r="439" spans="1:11" ht="63.75" x14ac:dyDescent="0.2">
      <c r="A439" s="5" t="s">
        <v>214</v>
      </c>
      <c r="B439" s="3" t="s">
        <v>123</v>
      </c>
      <c r="C439" s="3" t="s">
        <v>13</v>
      </c>
      <c r="D439" s="3" t="s">
        <v>29</v>
      </c>
      <c r="E439" s="20" t="s">
        <v>215</v>
      </c>
      <c r="F439" s="3"/>
      <c r="G439" s="110">
        <f>G440+G441</f>
        <v>0</v>
      </c>
      <c r="H439" s="110">
        <f>H440+H441</f>
        <v>647.66</v>
      </c>
      <c r="I439" s="110">
        <f>I440+I441</f>
        <v>647.66</v>
      </c>
      <c r="K439" s="85"/>
    </row>
    <row r="440" spans="1:11" ht="38.25" x14ac:dyDescent="0.2">
      <c r="A440" s="15" t="s">
        <v>191</v>
      </c>
      <c r="B440" s="3" t="s">
        <v>123</v>
      </c>
      <c r="C440" s="3" t="s">
        <v>13</v>
      </c>
      <c r="D440" s="3" t="s">
        <v>29</v>
      </c>
      <c r="E440" s="3" t="s">
        <v>216</v>
      </c>
      <c r="F440" s="3" t="s">
        <v>192</v>
      </c>
      <c r="G440" s="110">
        <v>0</v>
      </c>
      <c r="H440" s="110">
        <v>647.66</v>
      </c>
      <c r="I440" s="110">
        <f>G440+H440</f>
        <v>647.66</v>
      </c>
      <c r="J440" s="55">
        <v>647.66</v>
      </c>
      <c r="K440" s="85">
        <f t="shared" si="89"/>
        <v>0</v>
      </c>
    </row>
    <row r="441" spans="1:11" ht="25.5" hidden="1" x14ac:dyDescent="0.2">
      <c r="A441" s="4" t="s">
        <v>217</v>
      </c>
      <c r="B441" s="3" t="s">
        <v>123</v>
      </c>
      <c r="C441" s="3" t="s">
        <v>13</v>
      </c>
      <c r="D441" s="3" t="s">
        <v>29</v>
      </c>
      <c r="E441" s="3" t="s">
        <v>216</v>
      </c>
      <c r="F441" s="3" t="s">
        <v>218</v>
      </c>
      <c r="G441" s="110"/>
      <c r="H441" s="110"/>
      <c r="I441" s="110">
        <f>G441+H441</f>
        <v>0</v>
      </c>
      <c r="K441" s="85">
        <f t="shared" si="89"/>
        <v>0</v>
      </c>
    </row>
    <row r="442" spans="1:11" ht="54" customHeight="1" x14ac:dyDescent="0.2">
      <c r="A442" s="91" t="s">
        <v>219</v>
      </c>
      <c r="B442" s="3" t="s">
        <v>123</v>
      </c>
      <c r="C442" s="3" t="s">
        <v>13</v>
      </c>
      <c r="D442" s="3" t="s">
        <v>29</v>
      </c>
      <c r="E442" s="20" t="s">
        <v>220</v>
      </c>
      <c r="F442" s="3"/>
      <c r="G442" s="110">
        <f>G443+G444</f>
        <v>0</v>
      </c>
      <c r="H442" s="110">
        <f>H443+H444</f>
        <v>3427.9704200000001</v>
      </c>
      <c r="I442" s="110">
        <f>I443+I444</f>
        <v>3427.9704200000001</v>
      </c>
      <c r="K442" s="85"/>
    </row>
    <row r="443" spans="1:11" ht="38.25" x14ac:dyDescent="0.2">
      <c r="A443" s="15" t="s">
        <v>191</v>
      </c>
      <c r="B443" s="3" t="s">
        <v>123</v>
      </c>
      <c r="C443" s="3" t="s">
        <v>13</v>
      </c>
      <c r="D443" s="3" t="s">
        <v>29</v>
      </c>
      <c r="E443" s="20" t="s">
        <v>220</v>
      </c>
      <c r="F443" s="3" t="s">
        <v>192</v>
      </c>
      <c r="G443" s="110">
        <v>0</v>
      </c>
      <c r="H443" s="110">
        <v>3427.9704200000001</v>
      </c>
      <c r="I443" s="110">
        <f>G443+H443</f>
        <v>3427.9704200000001</v>
      </c>
      <c r="J443" s="55">
        <v>3427.9704200000001</v>
      </c>
      <c r="K443" s="85">
        <f t="shared" si="89"/>
        <v>0</v>
      </c>
    </row>
    <row r="444" spans="1:11" ht="25.5" hidden="1" x14ac:dyDescent="0.2">
      <c r="A444" s="4" t="s">
        <v>217</v>
      </c>
      <c r="B444" s="3" t="s">
        <v>123</v>
      </c>
      <c r="C444" s="3" t="s">
        <v>13</v>
      </c>
      <c r="D444" s="3" t="s">
        <v>29</v>
      </c>
      <c r="E444" s="20" t="s">
        <v>220</v>
      </c>
      <c r="F444" s="3" t="s">
        <v>218</v>
      </c>
      <c r="G444" s="110"/>
      <c r="H444" s="110"/>
      <c r="I444" s="110">
        <f>G444+H444</f>
        <v>0</v>
      </c>
      <c r="K444" s="85">
        <f t="shared" si="89"/>
        <v>0</v>
      </c>
    </row>
    <row r="445" spans="1:11" ht="63.75" customHeight="1" x14ac:dyDescent="0.2">
      <c r="A445" s="67" t="s">
        <v>444</v>
      </c>
      <c r="B445" s="3" t="s">
        <v>123</v>
      </c>
      <c r="C445" s="3" t="s">
        <v>13</v>
      </c>
      <c r="D445" s="3" t="s">
        <v>29</v>
      </c>
      <c r="E445" s="20" t="s">
        <v>434</v>
      </c>
      <c r="F445" s="3"/>
      <c r="G445" s="110">
        <f>G446</f>
        <v>12449.91901</v>
      </c>
      <c r="H445" s="110">
        <f>H446</f>
        <v>0</v>
      </c>
      <c r="I445" s="110">
        <f>I446</f>
        <v>12449.91901</v>
      </c>
      <c r="K445" s="85"/>
    </row>
    <row r="446" spans="1:11" ht="38.25" x14ac:dyDescent="0.2">
      <c r="A446" s="4" t="s">
        <v>183</v>
      </c>
      <c r="B446" s="3" t="s">
        <v>123</v>
      </c>
      <c r="C446" s="3" t="s">
        <v>13</v>
      </c>
      <c r="D446" s="3" t="s">
        <v>29</v>
      </c>
      <c r="E446" s="20" t="s">
        <v>434</v>
      </c>
      <c r="F446" s="3" t="s">
        <v>184</v>
      </c>
      <c r="G446" s="110">
        <v>12449.91901</v>
      </c>
      <c r="H446" s="110"/>
      <c r="I446" s="110">
        <f>G446+H446</f>
        <v>12449.91901</v>
      </c>
      <c r="J446" s="55">
        <v>12449.91901</v>
      </c>
      <c r="K446" s="85">
        <f t="shared" si="89"/>
        <v>0</v>
      </c>
    </row>
    <row r="447" spans="1:11" ht="63.75" x14ac:dyDescent="0.2">
      <c r="A447" s="67" t="s">
        <v>445</v>
      </c>
      <c r="B447" s="3" t="s">
        <v>123</v>
      </c>
      <c r="C447" s="3" t="s">
        <v>13</v>
      </c>
      <c r="D447" s="3" t="s">
        <v>29</v>
      </c>
      <c r="E447" s="20" t="s">
        <v>435</v>
      </c>
      <c r="F447" s="3"/>
      <c r="G447" s="110">
        <f>G448</f>
        <v>285.29746999999998</v>
      </c>
      <c r="H447" s="110">
        <f>H448</f>
        <v>1100</v>
      </c>
      <c r="I447" s="110">
        <f>I448</f>
        <v>1385.29747</v>
      </c>
      <c r="K447" s="85"/>
    </row>
    <row r="448" spans="1:11" ht="38.25" x14ac:dyDescent="0.2">
      <c r="A448" s="4" t="s">
        <v>183</v>
      </c>
      <c r="B448" s="3" t="s">
        <v>123</v>
      </c>
      <c r="C448" s="3" t="s">
        <v>13</v>
      </c>
      <c r="D448" s="3" t="s">
        <v>29</v>
      </c>
      <c r="E448" s="20" t="s">
        <v>435</v>
      </c>
      <c r="F448" s="3" t="s">
        <v>184</v>
      </c>
      <c r="G448" s="110">
        <v>285.29746999999998</v>
      </c>
      <c r="H448" s="110">
        <v>1100</v>
      </c>
      <c r="I448" s="110">
        <f>G448+H448</f>
        <v>1385.29747</v>
      </c>
      <c r="J448" s="55">
        <v>1385.29747</v>
      </c>
      <c r="K448" s="85">
        <f t="shared" si="89"/>
        <v>0</v>
      </c>
    </row>
    <row r="449" spans="1:11" x14ac:dyDescent="0.2">
      <c r="A449" s="10" t="s">
        <v>221</v>
      </c>
      <c r="B449" s="3" t="s">
        <v>123</v>
      </c>
      <c r="C449" s="3" t="s">
        <v>50</v>
      </c>
      <c r="D449" s="3"/>
      <c r="E449" s="3"/>
      <c r="F449" s="3"/>
      <c r="G449" s="110">
        <f>G456+G450</f>
        <v>7007.4</v>
      </c>
      <c r="H449" s="110">
        <f t="shared" ref="H449:I449" si="92">H456+H450</f>
        <v>-10</v>
      </c>
      <c r="I449" s="110">
        <f t="shared" si="92"/>
        <v>6997.4</v>
      </c>
      <c r="K449" s="85"/>
    </row>
    <row r="450" spans="1:11" x14ac:dyDescent="0.2">
      <c r="A450" s="10" t="s">
        <v>318</v>
      </c>
      <c r="B450" s="3" t="s">
        <v>123</v>
      </c>
      <c r="C450" s="3" t="s">
        <v>50</v>
      </c>
      <c r="D450" s="3" t="s">
        <v>15</v>
      </c>
      <c r="E450" s="3"/>
      <c r="F450" s="3"/>
      <c r="G450" s="110">
        <f>G451</f>
        <v>6482.4</v>
      </c>
      <c r="H450" s="110">
        <f t="shared" ref="H450:I454" si="93">H451</f>
        <v>0</v>
      </c>
      <c r="I450" s="110">
        <f t="shared" si="93"/>
        <v>6482.4</v>
      </c>
      <c r="K450" s="85"/>
    </row>
    <row r="451" spans="1:11" ht="38.25" x14ac:dyDescent="0.2">
      <c r="A451" s="69" t="s">
        <v>484</v>
      </c>
      <c r="B451" s="3" t="s">
        <v>123</v>
      </c>
      <c r="C451" s="3" t="s">
        <v>50</v>
      </c>
      <c r="D451" s="3" t="s">
        <v>15</v>
      </c>
      <c r="E451" s="3" t="s">
        <v>138</v>
      </c>
      <c r="F451" s="3"/>
      <c r="G451" s="110">
        <f>G452</f>
        <v>6482.4</v>
      </c>
      <c r="H451" s="110">
        <f t="shared" si="93"/>
        <v>0</v>
      </c>
      <c r="I451" s="110">
        <f t="shared" si="93"/>
        <v>6482.4</v>
      </c>
      <c r="K451" s="85"/>
    </row>
    <row r="452" spans="1:11" ht="25.5" x14ac:dyDescent="0.2">
      <c r="A452" s="69" t="s">
        <v>485</v>
      </c>
      <c r="B452" s="3" t="s">
        <v>123</v>
      </c>
      <c r="C452" s="3" t="s">
        <v>50</v>
      </c>
      <c r="D452" s="3" t="s">
        <v>15</v>
      </c>
      <c r="E452" s="3" t="s">
        <v>171</v>
      </c>
      <c r="F452" s="3"/>
      <c r="G452" s="110">
        <f>G453</f>
        <v>6482.4</v>
      </c>
      <c r="H452" s="110">
        <f t="shared" si="93"/>
        <v>0</v>
      </c>
      <c r="I452" s="110">
        <f t="shared" si="93"/>
        <v>6482.4</v>
      </c>
      <c r="K452" s="85"/>
    </row>
    <row r="453" spans="1:11" ht="25.5" x14ac:dyDescent="0.2">
      <c r="A453" s="69" t="s">
        <v>486</v>
      </c>
      <c r="B453" s="3" t="s">
        <v>123</v>
      </c>
      <c r="C453" s="3" t="s">
        <v>50</v>
      </c>
      <c r="D453" s="3" t="s">
        <v>15</v>
      </c>
      <c r="E453" s="3" t="s">
        <v>202</v>
      </c>
      <c r="F453" s="3"/>
      <c r="G453" s="110">
        <f>G454</f>
        <v>6482.4</v>
      </c>
      <c r="H453" s="110">
        <f t="shared" si="93"/>
        <v>0</v>
      </c>
      <c r="I453" s="110">
        <f t="shared" si="93"/>
        <v>6482.4</v>
      </c>
      <c r="K453" s="85"/>
    </row>
    <row r="454" spans="1:11" x14ac:dyDescent="0.2">
      <c r="A454" s="10" t="s">
        <v>487</v>
      </c>
      <c r="B454" s="3" t="s">
        <v>123</v>
      </c>
      <c r="C454" s="3" t="s">
        <v>50</v>
      </c>
      <c r="D454" s="3" t="s">
        <v>15</v>
      </c>
      <c r="E454" s="3" t="s">
        <v>483</v>
      </c>
      <c r="F454" s="3"/>
      <c r="G454" s="110">
        <f>G455</f>
        <v>6482.4</v>
      </c>
      <c r="H454" s="110">
        <f t="shared" si="93"/>
        <v>0</v>
      </c>
      <c r="I454" s="110">
        <f t="shared" si="93"/>
        <v>6482.4</v>
      </c>
      <c r="K454" s="85"/>
    </row>
    <row r="455" spans="1:11" ht="38.25" x14ac:dyDescent="0.2">
      <c r="A455" s="4" t="s">
        <v>183</v>
      </c>
      <c r="B455" s="3" t="s">
        <v>123</v>
      </c>
      <c r="C455" s="3" t="s">
        <v>50</v>
      </c>
      <c r="D455" s="3" t="s">
        <v>15</v>
      </c>
      <c r="E455" s="3" t="s">
        <v>483</v>
      </c>
      <c r="F455" s="3" t="s">
        <v>184</v>
      </c>
      <c r="G455" s="110">
        <v>6482.4</v>
      </c>
      <c r="H455" s="110">
        <f>2850-2850</f>
        <v>0</v>
      </c>
      <c r="I455" s="110">
        <f>G455+H455</f>
        <v>6482.4</v>
      </c>
      <c r="J455" s="55">
        <v>9332.4</v>
      </c>
      <c r="K455" s="85">
        <f t="shared" si="89"/>
        <v>-2850</v>
      </c>
    </row>
    <row r="456" spans="1:11" x14ac:dyDescent="0.2">
      <c r="A456" s="4" t="s">
        <v>222</v>
      </c>
      <c r="B456" s="3" t="s">
        <v>123</v>
      </c>
      <c r="C456" s="3" t="s">
        <v>50</v>
      </c>
      <c r="D456" s="3" t="s">
        <v>50</v>
      </c>
      <c r="E456" s="3"/>
      <c r="F456" s="3"/>
      <c r="G456" s="110">
        <f>G457</f>
        <v>525</v>
      </c>
      <c r="H456" s="110">
        <f t="shared" ref="H456:I456" si="94">H457</f>
        <v>-10</v>
      </c>
      <c r="I456" s="110">
        <f t="shared" si="94"/>
        <v>515</v>
      </c>
      <c r="K456" s="85"/>
    </row>
    <row r="457" spans="1:11" ht="38.25" x14ac:dyDescent="0.2">
      <c r="A457" s="5" t="s">
        <v>16</v>
      </c>
      <c r="B457" s="3" t="s">
        <v>123</v>
      </c>
      <c r="C457" s="3" t="s">
        <v>50</v>
      </c>
      <c r="D457" s="3" t="s">
        <v>50</v>
      </c>
      <c r="E457" s="3" t="s">
        <v>43</v>
      </c>
      <c r="F457" s="3"/>
      <c r="G457" s="110">
        <f>G458</f>
        <v>525</v>
      </c>
      <c r="H457" s="110">
        <f t="shared" ref="H457:I459" si="95">H458</f>
        <v>-10</v>
      </c>
      <c r="I457" s="110">
        <f t="shared" si="95"/>
        <v>515</v>
      </c>
      <c r="K457" s="85"/>
    </row>
    <row r="458" spans="1:11" ht="51" x14ac:dyDescent="0.2">
      <c r="A458" s="7" t="s">
        <v>223</v>
      </c>
      <c r="B458" s="3" t="s">
        <v>123</v>
      </c>
      <c r="C458" s="3" t="s">
        <v>50</v>
      </c>
      <c r="D458" s="3" t="s">
        <v>50</v>
      </c>
      <c r="E458" s="3" t="s">
        <v>224</v>
      </c>
      <c r="F458" s="3"/>
      <c r="G458" s="110">
        <f>G459</f>
        <v>525</v>
      </c>
      <c r="H458" s="110">
        <f t="shared" si="95"/>
        <v>-10</v>
      </c>
      <c r="I458" s="110">
        <f t="shared" si="95"/>
        <v>515</v>
      </c>
      <c r="K458" s="85"/>
    </row>
    <row r="459" spans="1:11" ht="51" x14ac:dyDescent="0.2">
      <c r="A459" s="7" t="s">
        <v>225</v>
      </c>
      <c r="B459" s="3" t="s">
        <v>123</v>
      </c>
      <c r="C459" s="3" t="s">
        <v>50</v>
      </c>
      <c r="D459" s="3" t="s">
        <v>50</v>
      </c>
      <c r="E459" s="20" t="s">
        <v>226</v>
      </c>
      <c r="F459" s="3"/>
      <c r="G459" s="110">
        <f>G460</f>
        <v>525</v>
      </c>
      <c r="H459" s="110">
        <f t="shared" si="95"/>
        <v>-10</v>
      </c>
      <c r="I459" s="110">
        <f t="shared" si="95"/>
        <v>515</v>
      </c>
      <c r="K459" s="85"/>
    </row>
    <row r="460" spans="1:11" ht="38.25" x14ac:dyDescent="0.2">
      <c r="A460" s="4" t="s">
        <v>61</v>
      </c>
      <c r="B460" s="3" t="s">
        <v>123</v>
      </c>
      <c r="C460" s="3" t="s">
        <v>50</v>
      </c>
      <c r="D460" s="3" t="s">
        <v>50</v>
      </c>
      <c r="E460" s="20" t="s">
        <v>226</v>
      </c>
      <c r="F460" s="3" t="s">
        <v>62</v>
      </c>
      <c r="G460" s="110">
        <v>525</v>
      </c>
      <c r="H460" s="110">
        <v>-10</v>
      </c>
      <c r="I460" s="110">
        <f>G460+H460</f>
        <v>515</v>
      </c>
      <c r="J460" s="55">
        <v>525</v>
      </c>
      <c r="K460" s="85">
        <f t="shared" si="89"/>
        <v>-10</v>
      </c>
    </row>
    <row r="461" spans="1:11" hidden="1" x14ac:dyDescent="0.2">
      <c r="A461" s="15" t="s">
        <v>227</v>
      </c>
      <c r="B461" s="3" t="s">
        <v>123</v>
      </c>
      <c r="C461" s="3" t="s">
        <v>50</v>
      </c>
      <c r="D461" s="3" t="s">
        <v>50</v>
      </c>
      <c r="E461" s="3" t="s">
        <v>27</v>
      </c>
      <c r="F461" s="3"/>
      <c r="G461" s="110" t="e">
        <f>G462</f>
        <v>#REF!</v>
      </c>
      <c r="H461" s="110">
        <f>H462</f>
        <v>0</v>
      </c>
      <c r="I461" s="110" t="e">
        <f>I462</f>
        <v>#REF!</v>
      </c>
      <c r="K461" s="85" t="e">
        <f t="shared" si="89"/>
        <v>#REF!</v>
      </c>
    </row>
    <row r="462" spans="1:11" ht="51" hidden="1" x14ac:dyDescent="0.2">
      <c r="A462" s="10" t="s">
        <v>228</v>
      </c>
      <c r="B462" s="3" t="s">
        <v>123</v>
      </c>
      <c r="C462" s="3" t="s">
        <v>50</v>
      </c>
      <c r="D462" s="3" t="s">
        <v>50</v>
      </c>
      <c r="E462" s="3" t="s">
        <v>229</v>
      </c>
      <c r="F462" s="3"/>
      <c r="G462" s="110" t="e">
        <f>G463+G464</f>
        <v>#REF!</v>
      </c>
      <c r="H462" s="110">
        <f>H463+H464</f>
        <v>0</v>
      </c>
      <c r="I462" s="110" t="e">
        <f>I463+I464</f>
        <v>#REF!</v>
      </c>
      <c r="K462" s="85" t="e">
        <f t="shared" si="89"/>
        <v>#REF!</v>
      </c>
    </row>
    <row r="463" spans="1:11" ht="38.25" hidden="1" x14ac:dyDescent="0.2">
      <c r="A463" s="4" t="s">
        <v>61</v>
      </c>
      <c r="B463" s="3" t="s">
        <v>123</v>
      </c>
      <c r="C463" s="3" t="s">
        <v>50</v>
      </c>
      <c r="D463" s="3" t="s">
        <v>50</v>
      </c>
      <c r="E463" s="3" t="s">
        <v>229</v>
      </c>
      <c r="F463" s="3" t="s">
        <v>62</v>
      </c>
      <c r="G463" s="107" t="e">
        <f>#REF!+#REF!</f>
        <v>#REF!</v>
      </c>
      <c r="H463" s="110"/>
      <c r="I463" s="107" t="e">
        <f>G463+H463</f>
        <v>#REF!</v>
      </c>
      <c r="K463" s="85" t="e">
        <f t="shared" si="89"/>
        <v>#REF!</v>
      </c>
    </row>
    <row r="464" spans="1:11" ht="51" hidden="1" x14ac:dyDescent="0.2">
      <c r="A464" s="4" t="s">
        <v>196</v>
      </c>
      <c r="B464" s="3" t="s">
        <v>123</v>
      </c>
      <c r="C464" s="3" t="s">
        <v>50</v>
      </c>
      <c r="D464" s="3" t="s">
        <v>50</v>
      </c>
      <c r="E464" s="3" t="s">
        <v>229</v>
      </c>
      <c r="F464" s="3" t="s">
        <v>197</v>
      </c>
      <c r="G464" s="107" t="e">
        <f>#REF!+#REF!</f>
        <v>#REF!</v>
      </c>
      <c r="H464" s="110"/>
      <c r="I464" s="107" t="e">
        <f>G464+H464</f>
        <v>#REF!</v>
      </c>
      <c r="K464" s="85" t="e">
        <f t="shared" si="89"/>
        <v>#REF!</v>
      </c>
    </row>
    <row r="465" spans="1:11" x14ac:dyDescent="0.2">
      <c r="A465" s="16" t="s">
        <v>69</v>
      </c>
      <c r="B465" s="3" t="s">
        <v>123</v>
      </c>
      <c r="C465" s="3" t="s">
        <v>70</v>
      </c>
      <c r="D465" s="3" t="s">
        <v>109</v>
      </c>
      <c r="E465" s="3"/>
      <c r="F465" s="3"/>
      <c r="G465" s="107">
        <f>G470+G466+G501+G497</f>
        <v>14630.272699999998</v>
      </c>
      <c r="H465" s="107">
        <f>H470+H466+H501+H497</f>
        <v>20</v>
      </c>
      <c r="I465" s="107">
        <f>I470+I466+I501+I497</f>
        <v>14650.272699999998</v>
      </c>
      <c r="K465" s="85"/>
    </row>
    <row r="466" spans="1:11" x14ac:dyDescent="0.2">
      <c r="A466" s="15" t="s">
        <v>230</v>
      </c>
      <c r="B466" s="3" t="s">
        <v>123</v>
      </c>
      <c r="C466" s="3" t="s">
        <v>70</v>
      </c>
      <c r="D466" s="3" t="s">
        <v>15</v>
      </c>
      <c r="E466" s="3"/>
      <c r="F466" s="3"/>
      <c r="G466" s="107">
        <f t="shared" ref="G466:I468" si="96">G467</f>
        <v>103.19</v>
      </c>
      <c r="H466" s="107">
        <f t="shared" si="96"/>
        <v>0</v>
      </c>
      <c r="I466" s="107">
        <f t="shared" si="96"/>
        <v>103.19</v>
      </c>
      <c r="K466" s="85"/>
    </row>
    <row r="467" spans="1:11" ht="38.25" x14ac:dyDescent="0.2">
      <c r="A467" s="12" t="s">
        <v>131</v>
      </c>
      <c r="B467" s="3" t="s">
        <v>123</v>
      </c>
      <c r="C467" s="3" t="s">
        <v>70</v>
      </c>
      <c r="D467" s="3" t="s">
        <v>15</v>
      </c>
      <c r="E467" s="3" t="s">
        <v>89</v>
      </c>
      <c r="F467" s="3"/>
      <c r="G467" s="107">
        <f t="shared" si="96"/>
        <v>103.19</v>
      </c>
      <c r="H467" s="107">
        <f t="shared" si="96"/>
        <v>0</v>
      </c>
      <c r="I467" s="107">
        <f t="shared" si="96"/>
        <v>103.19</v>
      </c>
      <c r="K467" s="85"/>
    </row>
    <row r="468" spans="1:11" x14ac:dyDescent="0.2">
      <c r="A468" s="26" t="s">
        <v>231</v>
      </c>
      <c r="B468" s="3" t="s">
        <v>123</v>
      </c>
      <c r="C468" s="3" t="s">
        <v>70</v>
      </c>
      <c r="D468" s="3" t="s">
        <v>15</v>
      </c>
      <c r="E468" s="3" t="s">
        <v>232</v>
      </c>
      <c r="F468" s="3"/>
      <c r="G468" s="107">
        <f t="shared" si="96"/>
        <v>103.19</v>
      </c>
      <c r="H468" s="107">
        <f t="shared" si="96"/>
        <v>0</v>
      </c>
      <c r="I468" s="107">
        <f t="shared" si="96"/>
        <v>103.19</v>
      </c>
      <c r="K468" s="85"/>
    </row>
    <row r="469" spans="1:11" x14ac:dyDescent="0.2">
      <c r="A469" s="4" t="s">
        <v>233</v>
      </c>
      <c r="B469" s="3" t="s">
        <v>123</v>
      </c>
      <c r="C469" s="3" t="s">
        <v>70</v>
      </c>
      <c r="D469" s="3" t="s">
        <v>15</v>
      </c>
      <c r="E469" s="3" t="s">
        <v>232</v>
      </c>
      <c r="F469" s="3" t="s">
        <v>234</v>
      </c>
      <c r="G469" s="107">
        <v>103.19</v>
      </c>
      <c r="H469" s="107"/>
      <c r="I469" s="107">
        <f>G469+H469</f>
        <v>103.19</v>
      </c>
      <c r="J469" s="55">
        <v>103.19</v>
      </c>
      <c r="K469" s="85">
        <f t="shared" si="89"/>
        <v>0</v>
      </c>
    </row>
    <row r="470" spans="1:11" x14ac:dyDescent="0.2">
      <c r="A470" s="16" t="s">
        <v>235</v>
      </c>
      <c r="B470" s="3" t="s">
        <v>123</v>
      </c>
      <c r="C470" s="3" t="s">
        <v>70</v>
      </c>
      <c r="D470" s="3" t="s">
        <v>111</v>
      </c>
      <c r="E470" s="3"/>
      <c r="F470" s="3"/>
      <c r="G470" s="107">
        <f>G471+G479+G487</f>
        <v>5347.9521999999997</v>
      </c>
      <c r="H470" s="107">
        <f>H471+H479+H487</f>
        <v>0</v>
      </c>
      <c r="I470" s="107">
        <f>I471+I479+I487</f>
        <v>5347.9521999999997</v>
      </c>
      <c r="K470" s="85"/>
    </row>
    <row r="471" spans="1:11" ht="38.25" x14ac:dyDescent="0.2">
      <c r="A471" s="5" t="s">
        <v>137</v>
      </c>
      <c r="B471" s="3" t="s">
        <v>123</v>
      </c>
      <c r="C471" s="3" t="s">
        <v>70</v>
      </c>
      <c r="D471" s="3" t="s">
        <v>111</v>
      </c>
      <c r="E471" s="3" t="s">
        <v>138</v>
      </c>
      <c r="F471" s="3"/>
      <c r="G471" s="107">
        <f>G472</f>
        <v>2963.355</v>
      </c>
      <c r="H471" s="107">
        <f>H472</f>
        <v>0</v>
      </c>
      <c r="I471" s="107">
        <f>I472</f>
        <v>2963.355</v>
      </c>
      <c r="K471" s="85"/>
    </row>
    <row r="472" spans="1:11" ht="38.25" x14ac:dyDescent="0.2">
      <c r="A472" s="7" t="s">
        <v>170</v>
      </c>
      <c r="B472" s="3" t="s">
        <v>123</v>
      </c>
      <c r="C472" s="3" t="s">
        <v>70</v>
      </c>
      <c r="D472" s="3" t="s">
        <v>111</v>
      </c>
      <c r="E472" s="3" t="s">
        <v>171</v>
      </c>
      <c r="F472" s="3"/>
      <c r="G472" s="107">
        <f>G477+G473+G475</f>
        <v>2963.355</v>
      </c>
      <c r="H472" s="107">
        <f>H477+H473+H475</f>
        <v>0</v>
      </c>
      <c r="I472" s="107">
        <f t="shared" ref="I472" si="97">I477+I473+I475</f>
        <v>2963.355</v>
      </c>
      <c r="K472" s="85"/>
    </row>
    <row r="473" spans="1:11" ht="70.5" customHeight="1" x14ac:dyDescent="0.2">
      <c r="A473" s="73" t="s">
        <v>443</v>
      </c>
      <c r="B473" s="3" t="s">
        <v>123</v>
      </c>
      <c r="C473" s="3" t="s">
        <v>70</v>
      </c>
      <c r="D473" s="3" t="s">
        <v>111</v>
      </c>
      <c r="E473" s="3" t="s">
        <v>436</v>
      </c>
      <c r="F473" s="3"/>
      <c r="G473" s="107">
        <f>G474</f>
        <v>1245.309</v>
      </c>
      <c r="H473" s="107">
        <f t="shared" ref="H473:I477" si="98">H474</f>
        <v>0</v>
      </c>
      <c r="I473" s="107">
        <f t="shared" si="98"/>
        <v>1245.309</v>
      </c>
      <c r="K473" s="85"/>
    </row>
    <row r="474" spans="1:11" ht="38.25" x14ac:dyDescent="0.2">
      <c r="A474" s="4" t="s">
        <v>244</v>
      </c>
      <c r="B474" s="3" t="s">
        <v>123</v>
      </c>
      <c r="C474" s="3" t="s">
        <v>70</v>
      </c>
      <c r="D474" s="3" t="s">
        <v>111</v>
      </c>
      <c r="E474" s="3" t="s">
        <v>436</v>
      </c>
      <c r="F474" s="3" t="s">
        <v>245</v>
      </c>
      <c r="G474" s="107">
        <v>1245.309</v>
      </c>
      <c r="H474" s="107"/>
      <c r="I474" s="107">
        <f>G474+H474</f>
        <v>1245.309</v>
      </c>
      <c r="J474" s="55">
        <v>1245.309</v>
      </c>
      <c r="K474" s="85">
        <f t="shared" si="89"/>
        <v>0</v>
      </c>
    </row>
    <row r="475" spans="1:11" ht="67.5" customHeight="1" x14ac:dyDescent="0.2">
      <c r="A475" s="73" t="s">
        <v>443</v>
      </c>
      <c r="B475" s="3" t="s">
        <v>123</v>
      </c>
      <c r="C475" s="3" t="s">
        <v>70</v>
      </c>
      <c r="D475" s="3" t="s">
        <v>111</v>
      </c>
      <c r="E475" s="3" t="s">
        <v>481</v>
      </c>
      <c r="F475" s="3"/>
      <c r="G475" s="107">
        <f>G476</f>
        <v>1718.046</v>
      </c>
      <c r="H475" s="107">
        <f t="shared" si="98"/>
        <v>0</v>
      </c>
      <c r="I475" s="107">
        <f t="shared" si="98"/>
        <v>1718.046</v>
      </c>
      <c r="K475" s="85"/>
    </row>
    <row r="476" spans="1:11" ht="38.25" x14ac:dyDescent="0.2">
      <c r="A476" s="4" t="s">
        <v>244</v>
      </c>
      <c r="B476" s="3" t="s">
        <v>123</v>
      </c>
      <c r="C476" s="3" t="s">
        <v>70</v>
      </c>
      <c r="D476" s="3" t="s">
        <v>111</v>
      </c>
      <c r="E476" s="3" t="s">
        <v>481</v>
      </c>
      <c r="F476" s="3" t="s">
        <v>245</v>
      </c>
      <c r="G476" s="107">
        <v>1718.046</v>
      </c>
      <c r="H476" s="107"/>
      <c r="I476" s="107">
        <f>G476+H476</f>
        <v>1718.046</v>
      </c>
      <c r="J476" s="55">
        <v>1718.046</v>
      </c>
      <c r="K476" s="85">
        <f t="shared" si="89"/>
        <v>0</v>
      </c>
    </row>
    <row r="477" spans="1:11" ht="38.25" hidden="1" x14ac:dyDescent="0.2">
      <c r="A477" s="7" t="s">
        <v>200</v>
      </c>
      <c r="B477" s="3" t="s">
        <v>123</v>
      </c>
      <c r="C477" s="3" t="s">
        <v>70</v>
      </c>
      <c r="D477" s="3" t="s">
        <v>111</v>
      </c>
      <c r="E477" s="3" t="s">
        <v>202</v>
      </c>
      <c r="F477" s="3"/>
      <c r="G477" s="107">
        <f>G478</f>
        <v>0</v>
      </c>
      <c r="H477" s="107">
        <f t="shared" si="98"/>
        <v>0</v>
      </c>
      <c r="I477" s="107">
        <f t="shared" si="98"/>
        <v>0</v>
      </c>
      <c r="K477" s="85"/>
    </row>
    <row r="478" spans="1:11" ht="38.25" hidden="1" x14ac:dyDescent="0.2">
      <c r="A478" s="4" t="s">
        <v>244</v>
      </c>
      <c r="B478" s="3" t="s">
        <v>123</v>
      </c>
      <c r="C478" s="3" t="s">
        <v>70</v>
      </c>
      <c r="D478" s="3" t="s">
        <v>111</v>
      </c>
      <c r="E478" s="3" t="s">
        <v>236</v>
      </c>
      <c r="F478" s="3" t="s">
        <v>245</v>
      </c>
      <c r="G478" s="107">
        <v>0</v>
      </c>
      <c r="H478" s="107"/>
      <c r="I478" s="107">
        <f>G478+H478</f>
        <v>0</v>
      </c>
      <c r="J478" s="55">
        <v>0</v>
      </c>
      <c r="K478" s="85">
        <f t="shared" si="89"/>
        <v>0</v>
      </c>
    </row>
    <row r="479" spans="1:11" ht="38.25" x14ac:dyDescent="0.2">
      <c r="A479" s="5" t="s">
        <v>16</v>
      </c>
      <c r="B479" s="3" t="s">
        <v>123</v>
      </c>
      <c r="C479" s="3" t="s">
        <v>70</v>
      </c>
      <c r="D479" s="3" t="s">
        <v>111</v>
      </c>
      <c r="E479" s="3" t="s">
        <v>43</v>
      </c>
      <c r="F479" s="3"/>
      <c r="G479" s="107">
        <f>G480</f>
        <v>1100.8871999999999</v>
      </c>
      <c r="H479" s="107">
        <f>H480</f>
        <v>0</v>
      </c>
      <c r="I479" s="107">
        <f>I480</f>
        <v>1100.8871999999999</v>
      </c>
      <c r="K479" s="85"/>
    </row>
    <row r="480" spans="1:11" ht="51" x14ac:dyDescent="0.2">
      <c r="A480" s="7" t="s">
        <v>237</v>
      </c>
      <c r="B480" s="3" t="s">
        <v>123</v>
      </c>
      <c r="C480" s="3" t="s">
        <v>70</v>
      </c>
      <c r="D480" s="3" t="s">
        <v>111</v>
      </c>
      <c r="E480" s="3" t="s">
        <v>147</v>
      </c>
      <c r="F480" s="3"/>
      <c r="G480" s="107">
        <f>G481+G483+G485</f>
        <v>1100.8871999999999</v>
      </c>
      <c r="H480" s="107">
        <f>H481+H483+H485</f>
        <v>0</v>
      </c>
      <c r="I480" s="107">
        <f>I481+I483+I485</f>
        <v>1100.8871999999999</v>
      </c>
      <c r="K480" s="85"/>
    </row>
    <row r="481" spans="1:11" ht="38.25" x14ac:dyDescent="0.2">
      <c r="A481" s="7" t="s">
        <v>238</v>
      </c>
      <c r="B481" s="3" t="s">
        <v>123</v>
      </c>
      <c r="C481" s="3" t="s">
        <v>70</v>
      </c>
      <c r="D481" s="3" t="s">
        <v>111</v>
      </c>
      <c r="E481" s="20" t="s">
        <v>258</v>
      </c>
      <c r="F481" s="3"/>
      <c r="G481" s="107">
        <f>G482</f>
        <v>200</v>
      </c>
      <c r="H481" s="107">
        <f t="shared" ref="H481:I481" si="99">H482</f>
        <v>0</v>
      </c>
      <c r="I481" s="107">
        <f t="shared" si="99"/>
        <v>200</v>
      </c>
      <c r="K481" s="85"/>
    </row>
    <row r="482" spans="1:11" ht="38.25" x14ac:dyDescent="0.2">
      <c r="A482" s="4" t="s">
        <v>244</v>
      </c>
      <c r="B482" s="3" t="s">
        <v>123</v>
      </c>
      <c r="C482" s="3" t="s">
        <v>70</v>
      </c>
      <c r="D482" s="3" t="s">
        <v>111</v>
      </c>
      <c r="E482" s="3" t="s">
        <v>239</v>
      </c>
      <c r="F482" s="3" t="s">
        <v>245</v>
      </c>
      <c r="G482" s="107">
        <v>200</v>
      </c>
      <c r="H482" s="107"/>
      <c r="I482" s="107">
        <f>G482+H482</f>
        <v>200</v>
      </c>
      <c r="J482" s="55">
        <v>200</v>
      </c>
      <c r="K482" s="85">
        <f t="shared" si="89"/>
        <v>0</v>
      </c>
    </row>
    <row r="483" spans="1:11" x14ac:dyDescent="0.2">
      <c r="A483" s="102" t="s">
        <v>479</v>
      </c>
      <c r="B483" s="3" t="s">
        <v>123</v>
      </c>
      <c r="C483" s="3" t="s">
        <v>70</v>
      </c>
      <c r="D483" s="3" t="s">
        <v>111</v>
      </c>
      <c r="E483" s="3" t="s">
        <v>477</v>
      </c>
      <c r="F483" s="3"/>
      <c r="G483" s="107">
        <f>G484</f>
        <v>447.79199999999997</v>
      </c>
      <c r="H483" s="107">
        <f t="shared" ref="H483:I483" si="100">H484</f>
        <v>0</v>
      </c>
      <c r="I483" s="107">
        <f t="shared" si="100"/>
        <v>447.79199999999997</v>
      </c>
      <c r="K483" s="85"/>
    </row>
    <row r="484" spans="1:11" ht="38.25" x14ac:dyDescent="0.2">
      <c r="A484" s="4" t="s">
        <v>244</v>
      </c>
      <c r="B484" s="3" t="s">
        <v>123</v>
      </c>
      <c r="C484" s="3" t="s">
        <v>70</v>
      </c>
      <c r="D484" s="3" t="s">
        <v>111</v>
      </c>
      <c r="E484" s="3" t="s">
        <v>477</v>
      </c>
      <c r="F484" s="3" t="s">
        <v>245</v>
      </c>
      <c r="G484" s="107">
        <v>447.79199999999997</v>
      </c>
      <c r="H484" s="107"/>
      <c r="I484" s="107">
        <f>G484+H484</f>
        <v>447.79199999999997</v>
      </c>
      <c r="J484" s="55">
        <v>447.79199999999997</v>
      </c>
      <c r="K484" s="85">
        <f t="shared" si="89"/>
        <v>0</v>
      </c>
    </row>
    <row r="485" spans="1:11" x14ac:dyDescent="0.2">
      <c r="A485" s="102" t="s">
        <v>480</v>
      </c>
      <c r="B485" s="3" t="s">
        <v>123</v>
      </c>
      <c r="C485" s="3" t="s">
        <v>70</v>
      </c>
      <c r="D485" s="3" t="s">
        <v>111</v>
      </c>
      <c r="E485" s="3" t="s">
        <v>478</v>
      </c>
      <c r="F485" s="3"/>
      <c r="G485" s="107">
        <f>G486</f>
        <v>453.09519999999998</v>
      </c>
      <c r="H485" s="107">
        <f t="shared" ref="H485:I485" si="101">H486</f>
        <v>0</v>
      </c>
      <c r="I485" s="107">
        <f t="shared" si="101"/>
        <v>453.09519999999998</v>
      </c>
      <c r="K485" s="85"/>
    </row>
    <row r="486" spans="1:11" ht="38.25" x14ac:dyDescent="0.2">
      <c r="A486" s="4" t="s">
        <v>244</v>
      </c>
      <c r="B486" s="3" t="s">
        <v>123</v>
      </c>
      <c r="C486" s="3" t="s">
        <v>70</v>
      </c>
      <c r="D486" s="3" t="s">
        <v>111</v>
      </c>
      <c r="E486" s="3" t="s">
        <v>478</v>
      </c>
      <c r="F486" s="3" t="s">
        <v>245</v>
      </c>
      <c r="G486" s="107">
        <v>453.09519999999998</v>
      </c>
      <c r="H486" s="107"/>
      <c r="I486" s="107">
        <f>G486+H486</f>
        <v>453.09519999999998</v>
      </c>
      <c r="J486" s="55">
        <v>453.09519999999998</v>
      </c>
      <c r="K486" s="85">
        <f t="shared" si="89"/>
        <v>0</v>
      </c>
    </row>
    <row r="487" spans="1:11" x14ac:dyDescent="0.2">
      <c r="A487" s="12" t="s">
        <v>379</v>
      </c>
      <c r="B487" s="3" t="s">
        <v>123</v>
      </c>
      <c r="C487" s="3" t="s">
        <v>70</v>
      </c>
      <c r="D487" s="3" t="s">
        <v>111</v>
      </c>
      <c r="E487" s="3" t="s">
        <v>89</v>
      </c>
      <c r="F487" s="3"/>
      <c r="G487" s="107">
        <f>G495+G488+G490+G493</f>
        <v>1283.71</v>
      </c>
      <c r="H487" s="107">
        <f t="shared" ref="H487:I487" si="102">H495+H488+H490+H493</f>
        <v>0</v>
      </c>
      <c r="I487" s="107">
        <f t="shared" si="102"/>
        <v>1283.71</v>
      </c>
      <c r="K487" s="85"/>
    </row>
    <row r="488" spans="1:11" ht="25.5" x14ac:dyDescent="0.2">
      <c r="A488" s="27" t="s">
        <v>240</v>
      </c>
      <c r="B488" s="3" t="s">
        <v>123</v>
      </c>
      <c r="C488" s="3" t="s">
        <v>70</v>
      </c>
      <c r="D488" s="3" t="s">
        <v>111</v>
      </c>
      <c r="E488" s="3" t="s">
        <v>241</v>
      </c>
      <c r="F488" s="3"/>
      <c r="G488" s="107">
        <f>G489</f>
        <v>420</v>
      </c>
      <c r="H488" s="107">
        <f>H489</f>
        <v>0</v>
      </c>
      <c r="I488" s="107">
        <f>I489</f>
        <v>420</v>
      </c>
      <c r="K488" s="85"/>
    </row>
    <row r="489" spans="1:11" ht="38.25" x14ac:dyDescent="0.2">
      <c r="A489" s="4" t="s">
        <v>74</v>
      </c>
      <c r="B489" s="3" t="s">
        <v>123</v>
      </c>
      <c r="C489" s="3" t="s">
        <v>70</v>
      </c>
      <c r="D489" s="3" t="s">
        <v>111</v>
      </c>
      <c r="E489" s="3" t="s">
        <v>241</v>
      </c>
      <c r="F489" s="3" t="s">
        <v>75</v>
      </c>
      <c r="G489" s="107">
        <v>420</v>
      </c>
      <c r="H489" s="107"/>
      <c r="I489" s="107">
        <f>G489+H489</f>
        <v>420</v>
      </c>
      <c r="J489" s="55">
        <v>420</v>
      </c>
      <c r="K489" s="85">
        <f t="shared" ref="K489:K550" si="103">I489-J489</f>
        <v>0</v>
      </c>
    </row>
    <row r="490" spans="1:11" ht="38.25" x14ac:dyDescent="0.2">
      <c r="A490" s="67" t="s">
        <v>376</v>
      </c>
      <c r="B490" s="3" t="s">
        <v>123</v>
      </c>
      <c r="C490" s="3" t="s">
        <v>70</v>
      </c>
      <c r="D490" s="3" t="s">
        <v>111</v>
      </c>
      <c r="E490" s="3" t="s">
        <v>380</v>
      </c>
      <c r="F490" s="3"/>
      <c r="G490" s="107">
        <f>G492+G491</f>
        <v>220</v>
      </c>
      <c r="H490" s="107">
        <f>H492+H491</f>
        <v>0</v>
      </c>
      <c r="I490" s="107">
        <f>I492+I491</f>
        <v>220</v>
      </c>
      <c r="K490" s="85"/>
    </row>
    <row r="491" spans="1:11" hidden="1" x14ac:dyDescent="0.2">
      <c r="A491" s="67"/>
      <c r="B491" s="3" t="s">
        <v>123</v>
      </c>
      <c r="C491" s="3" t="s">
        <v>70</v>
      </c>
      <c r="D491" s="3" t="s">
        <v>111</v>
      </c>
      <c r="E491" s="3" t="s">
        <v>380</v>
      </c>
      <c r="F491" s="3" t="s">
        <v>62</v>
      </c>
      <c r="G491" s="107"/>
      <c r="H491" s="107"/>
      <c r="I491" s="107">
        <f>G491+H491</f>
        <v>0</v>
      </c>
      <c r="K491" s="85">
        <f t="shared" si="103"/>
        <v>0</v>
      </c>
    </row>
    <row r="492" spans="1:11" ht="38.25" x14ac:dyDescent="0.2">
      <c r="A492" s="4" t="s">
        <v>74</v>
      </c>
      <c r="B492" s="3" t="s">
        <v>123</v>
      </c>
      <c r="C492" s="3" t="s">
        <v>70</v>
      </c>
      <c r="D492" s="3" t="s">
        <v>111</v>
      </c>
      <c r="E492" s="3" t="s">
        <v>380</v>
      </c>
      <c r="F492" s="3" t="s">
        <v>75</v>
      </c>
      <c r="G492" s="107">
        <v>220</v>
      </c>
      <c r="H492" s="107"/>
      <c r="I492" s="107">
        <f>G492+H492</f>
        <v>220</v>
      </c>
      <c r="J492" s="55">
        <v>220</v>
      </c>
      <c r="K492" s="85">
        <f t="shared" si="103"/>
        <v>0</v>
      </c>
    </row>
    <row r="493" spans="1:11" ht="25.5" x14ac:dyDescent="0.2">
      <c r="A493" s="67" t="s">
        <v>473</v>
      </c>
      <c r="B493" s="3" t="s">
        <v>123</v>
      </c>
      <c r="C493" s="3" t="s">
        <v>70</v>
      </c>
      <c r="D493" s="3" t="s">
        <v>111</v>
      </c>
      <c r="E493" s="3" t="s">
        <v>399</v>
      </c>
      <c r="F493" s="3"/>
      <c r="G493" s="107">
        <f>G494</f>
        <v>34.5</v>
      </c>
      <c r="H493" s="107">
        <f t="shared" ref="H493:I493" si="104">H494</f>
        <v>0</v>
      </c>
      <c r="I493" s="107">
        <f t="shared" si="104"/>
        <v>34.5</v>
      </c>
      <c r="K493" s="85"/>
    </row>
    <row r="494" spans="1:11" ht="38.25" x14ac:dyDescent="0.2">
      <c r="A494" s="4" t="s">
        <v>74</v>
      </c>
      <c r="B494" s="3" t="s">
        <v>123</v>
      </c>
      <c r="C494" s="3" t="s">
        <v>70</v>
      </c>
      <c r="D494" s="3" t="s">
        <v>111</v>
      </c>
      <c r="E494" s="3" t="s">
        <v>399</v>
      </c>
      <c r="F494" s="3" t="s">
        <v>75</v>
      </c>
      <c r="G494" s="107">
        <v>34.5</v>
      </c>
      <c r="H494" s="107"/>
      <c r="I494" s="107">
        <f>G494+H494</f>
        <v>34.5</v>
      </c>
      <c r="J494" s="55">
        <v>34.5</v>
      </c>
      <c r="K494" s="85">
        <f t="shared" si="103"/>
        <v>0</v>
      </c>
    </row>
    <row r="495" spans="1:11" ht="75" customHeight="1" x14ac:dyDescent="0.2">
      <c r="A495" s="12" t="s">
        <v>242</v>
      </c>
      <c r="B495" s="3" t="s">
        <v>123</v>
      </c>
      <c r="C495" s="3" t="s">
        <v>70</v>
      </c>
      <c r="D495" s="3" t="s">
        <v>111</v>
      </c>
      <c r="E495" s="3" t="s">
        <v>243</v>
      </c>
      <c r="F495" s="3"/>
      <c r="G495" s="107">
        <f>G496</f>
        <v>609.21</v>
      </c>
      <c r="H495" s="107">
        <f>H496</f>
        <v>0</v>
      </c>
      <c r="I495" s="107">
        <f>I496</f>
        <v>609.21</v>
      </c>
      <c r="K495" s="85"/>
    </row>
    <row r="496" spans="1:11" ht="38.25" x14ac:dyDescent="0.2">
      <c r="A496" s="4" t="s">
        <v>244</v>
      </c>
      <c r="B496" s="3" t="s">
        <v>123</v>
      </c>
      <c r="C496" s="3" t="s">
        <v>70</v>
      </c>
      <c r="D496" s="3" t="s">
        <v>111</v>
      </c>
      <c r="E496" s="3" t="s">
        <v>243</v>
      </c>
      <c r="F496" s="3" t="s">
        <v>245</v>
      </c>
      <c r="G496" s="107">
        <v>609.21</v>
      </c>
      <c r="H496" s="107"/>
      <c r="I496" s="107">
        <f>G496+H496</f>
        <v>609.21</v>
      </c>
      <c r="J496" s="55">
        <v>609.21</v>
      </c>
      <c r="K496" s="85">
        <f t="shared" si="103"/>
        <v>0</v>
      </c>
    </row>
    <row r="497" spans="1:11" x14ac:dyDescent="0.2">
      <c r="A497" s="4" t="s">
        <v>71</v>
      </c>
      <c r="B497" s="3" t="s">
        <v>123</v>
      </c>
      <c r="C497" s="3" t="s">
        <v>70</v>
      </c>
      <c r="D497" s="3" t="s">
        <v>72</v>
      </c>
      <c r="E497" s="3"/>
      <c r="F497" s="3"/>
      <c r="G497" s="107">
        <f>G498</f>
        <v>8826.1304999999993</v>
      </c>
      <c r="H497" s="107">
        <f t="shared" ref="H497:I499" si="105">H498</f>
        <v>0</v>
      </c>
      <c r="I497" s="107">
        <f t="shared" si="105"/>
        <v>8826.1304999999993</v>
      </c>
      <c r="K497" s="85"/>
    </row>
    <row r="498" spans="1:11" x14ac:dyDescent="0.2">
      <c r="A498" s="12" t="s">
        <v>88</v>
      </c>
      <c r="B498" s="3" t="s">
        <v>123</v>
      </c>
      <c r="C498" s="3" t="s">
        <v>70</v>
      </c>
      <c r="D498" s="3" t="s">
        <v>72</v>
      </c>
      <c r="E498" s="3" t="s">
        <v>89</v>
      </c>
      <c r="F498" s="3"/>
      <c r="G498" s="107">
        <f>G499</f>
        <v>8826.1304999999993</v>
      </c>
      <c r="H498" s="107">
        <f t="shared" si="105"/>
        <v>0</v>
      </c>
      <c r="I498" s="107">
        <f t="shared" si="105"/>
        <v>8826.1304999999993</v>
      </c>
      <c r="K498" s="85"/>
    </row>
    <row r="499" spans="1:11" ht="25.5" x14ac:dyDescent="0.2">
      <c r="A499" s="90" t="s">
        <v>401</v>
      </c>
      <c r="B499" s="3" t="s">
        <v>123</v>
      </c>
      <c r="C499" s="3" t="s">
        <v>70</v>
      </c>
      <c r="D499" s="3" t="s">
        <v>72</v>
      </c>
      <c r="E499" s="3" t="s">
        <v>398</v>
      </c>
      <c r="F499" s="3"/>
      <c r="G499" s="107">
        <f>G500</f>
        <v>8826.1304999999993</v>
      </c>
      <c r="H499" s="107">
        <f t="shared" si="105"/>
        <v>0</v>
      </c>
      <c r="I499" s="107">
        <f t="shared" si="105"/>
        <v>8826.1304999999993</v>
      </c>
      <c r="K499" s="85"/>
    </row>
    <row r="500" spans="1:11" ht="38.25" x14ac:dyDescent="0.2">
      <c r="A500" s="4" t="s">
        <v>402</v>
      </c>
      <c r="B500" s="3" t="s">
        <v>123</v>
      </c>
      <c r="C500" s="3" t="s">
        <v>70</v>
      </c>
      <c r="D500" s="3" t="s">
        <v>72</v>
      </c>
      <c r="E500" s="3" t="s">
        <v>398</v>
      </c>
      <c r="F500" s="3" t="s">
        <v>197</v>
      </c>
      <c r="G500" s="107">
        <v>8826.1304999999993</v>
      </c>
      <c r="H500" s="107"/>
      <c r="I500" s="107">
        <f>G500+H500</f>
        <v>8826.1304999999993</v>
      </c>
      <c r="J500" s="55">
        <v>8826.1304999999993</v>
      </c>
      <c r="K500" s="85">
        <f t="shared" si="103"/>
        <v>0</v>
      </c>
    </row>
    <row r="501" spans="1:11" x14ac:dyDescent="0.2">
      <c r="A501" s="15" t="s">
        <v>246</v>
      </c>
      <c r="B501" s="3" t="s">
        <v>123</v>
      </c>
      <c r="C501" s="3" t="s">
        <v>70</v>
      </c>
      <c r="D501" s="3" t="s">
        <v>85</v>
      </c>
      <c r="E501" s="3"/>
      <c r="F501" s="3"/>
      <c r="G501" s="107">
        <f>G502+G504</f>
        <v>353</v>
      </c>
      <c r="H501" s="107">
        <f>H502+H504</f>
        <v>20</v>
      </c>
      <c r="I501" s="107">
        <f>I502+I504</f>
        <v>373</v>
      </c>
      <c r="K501" s="85"/>
    </row>
    <row r="502" spans="1:11" ht="38.25" x14ac:dyDescent="0.2">
      <c r="A502" s="27" t="s">
        <v>247</v>
      </c>
      <c r="B502" s="3" t="s">
        <v>123</v>
      </c>
      <c r="C502" s="3" t="s">
        <v>70</v>
      </c>
      <c r="D502" s="3" t="s">
        <v>85</v>
      </c>
      <c r="E502" s="3" t="s">
        <v>248</v>
      </c>
      <c r="F502" s="3"/>
      <c r="G502" s="107">
        <f>G503</f>
        <v>53</v>
      </c>
      <c r="H502" s="107">
        <f>H503</f>
        <v>20</v>
      </c>
      <c r="I502" s="107">
        <f>I503</f>
        <v>73</v>
      </c>
      <c r="K502" s="85"/>
    </row>
    <row r="503" spans="1:11" ht="38.25" x14ac:dyDescent="0.2">
      <c r="A503" s="4" t="s">
        <v>53</v>
      </c>
      <c r="B503" s="3" t="s">
        <v>123</v>
      </c>
      <c r="C503" s="3" t="s">
        <v>70</v>
      </c>
      <c r="D503" s="3" t="s">
        <v>85</v>
      </c>
      <c r="E503" s="3" t="s">
        <v>248</v>
      </c>
      <c r="F503" s="3" t="s">
        <v>54</v>
      </c>
      <c r="G503" s="107">
        <v>53</v>
      </c>
      <c r="H503" s="107">
        <v>20</v>
      </c>
      <c r="I503" s="107">
        <f>H503+G503</f>
        <v>73</v>
      </c>
      <c r="J503" s="55">
        <v>73</v>
      </c>
      <c r="K503" s="85">
        <f t="shared" si="103"/>
        <v>0</v>
      </c>
    </row>
    <row r="504" spans="1:11" x14ac:dyDescent="0.2">
      <c r="A504" s="12" t="s">
        <v>379</v>
      </c>
      <c r="B504" s="3" t="s">
        <v>123</v>
      </c>
      <c r="C504" s="3" t="s">
        <v>70</v>
      </c>
      <c r="D504" s="3" t="s">
        <v>85</v>
      </c>
      <c r="E504" s="3" t="s">
        <v>89</v>
      </c>
      <c r="F504" s="3"/>
      <c r="G504" s="107">
        <f t="shared" ref="G504:I505" si="106">G505</f>
        <v>300</v>
      </c>
      <c r="H504" s="107">
        <f t="shared" si="106"/>
        <v>0</v>
      </c>
      <c r="I504" s="107">
        <f t="shared" si="106"/>
        <v>300</v>
      </c>
      <c r="K504" s="85"/>
    </row>
    <row r="505" spans="1:11" ht="38.25" x14ac:dyDescent="0.2">
      <c r="A505" s="67" t="s">
        <v>376</v>
      </c>
      <c r="B505" s="3" t="s">
        <v>123</v>
      </c>
      <c r="C505" s="3" t="s">
        <v>70</v>
      </c>
      <c r="D505" s="3" t="s">
        <v>85</v>
      </c>
      <c r="E505" s="3" t="s">
        <v>380</v>
      </c>
      <c r="F505" s="3"/>
      <c r="G505" s="107">
        <f t="shared" si="106"/>
        <v>300</v>
      </c>
      <c r="H505" s="107">
        <f t="shared" si="106"/>
        <v>0</v>
      </c>
      <c r="I505" s="107">
        <f t="shared" si="106"/>
        <v>300</v>
      </c>
      <c r="K505" s="85"/>
    </row>
    <row r="506" spans="1:11" ht="38.25" x14ac:dyDescent="0.2">
      <c r="A506" s="4" t="s">
        <v>61</v>
      </c>
      <c r="B506" s="3" t="s">
        <v>123</v>
      </c>
      <c r="C506" s="3" t="s">
        <v>70</v>
      </c>
      <c r="D506" s="3" t="s">
        <v>85</v>
      </c>
      <c r="E506" s="3" t="s">
        <v>380</v>
      </c>
      <c r="F506" s="3" t="s">
        <v>62</v>
      </c>
      <c r="G506" s="107">
        <v>300</v>
      </c>
      <c r="H506" s="107"/>
      <c r="I506" s="107">
        <f>G506+H506</f>
        <v>300</v>
      </c>
      <c r="J506" s="55">
        <v>300</v>
      </c>
      <c r="K506" s="85">
        <f t="shared" si="103"/>
        <v>0</v>
      </c>
    </row>
    <row r="507" spans="1:11" x14ac:dyDescent="0.2">
      <c r="A507" s="15" t="s">
        <v>249</v>
      </c>
      <c r="B507" s="3" t="s">
        <v>123</v>
      </c>
      <c r="C507" s="3" t="s">
        <v>98</v>
      </c>
      <c r="D507" s="3"/>
      <c r="E507" s="3"/>
      <c r="F507" s="3"/>
      <c r="G507" s="110">
        <f t="shared" ref="G507:H510" si="107">G508</f>
        <v>1519.04</v>
      </c>
      <c r="H507" s="110">
        <f t="shared" si="107"/>
        <v>0</v>
      </c>
      <c r="I507" s="107">
        <f>G507+H507</f>
        <v>1519.04</v>
      </c>
      <c r="K507" s="85"/>
    </row>
    <row r="508" spans="1:11" x14ac:dyDescent="0.2">
      <c r="A508" s="15" t="s">
        <v>250</v>
      </c>
      <c r="B508" s="3" t="s">
        <v>123</v>
      </c>
      <c r="C508" s="3" t="s">
        <v>98</v>
      </c>
      <c r="D508" s="3" t="s">
        <v>29</v>
      </c>
      <c r="E508" s="3"/>
      <c r="F508" s="3"/>
      <c r="G508" s="110">
        <f t="shared" si="107"/>
        <v>1519.04</v>
      </c>
      <c r="H508" s="110">
        <f t="shared" si="107"/>
        <v>0</v>
      </c>
      <c r="I508" s="110">
        <f>I509</f>
        <v>1519.04</v>
      </c>
      <c r="K508" s="85"/>
    </row>
    <row r="509" spans="1:11" ht="38.25" x14ac:dyDescent="0.2">
      <c r="A509" s="5" t="s">
        <v>137</v>
      </c>
      <c r="B509" s="3" t="s">
        <v>123</v>
      </c>
      <c r="C509" s="3" t="s">
        <v>98</v>
      </c>
      <c r="D509" s="3" t="s">
        <v>29</v>
      </c>
      <c r="E509" s="3" t="s">
        <v>251</v>
      </c>
      <c r="F509" s="3"/>
      <c r="G509" s="110">
        <f t="shared" si="107"/>
        <v>1519.04</v>
      </c>
      <c r="H509" s="110">
        <f t="shared" si="107"/>
        <v>0</v>
      </c>
      <c r="I509" s="110">
        <f>I510</f>
        <v>1519.04</v>
      </c>
      <c r="K509" s="85"/>
    </row>
    <row r="510" spans="1:11" ht="63.75" x14ac:dyDescent="0.2">
      <c r="A510" s="7" t="s">
        <v>252</v>
      </c>
      <c r="B510" s="3" t="s">
        <v>123</v>
      </c>
      <c r="C510" s="3" t="s">
        <v>98</v>
      </c>
      <c r="D510" s="3" t="s">
        <v>29</v>
      </c>
      <c r="E510" s="3" t="s">
        <v>213</v>
      </c>
      <c r="F510" s="3"/>
      <c r="G510" s="107">
        <f t="shared" si="107"/>
        <v>1519.04</v>
      </c>
      <c r="H510" s="107">
        <f t="shared" si="107"/>
        <v>0</v>
      </c>
      <c r="I510" s="107">
        <f>I511</f>
        <v>1519.04</v>
      </c>
      <c r="K510" s="85"/>
    </row>
    <row r="511" spans="1:11" ht="38.25" x14ac:dyDescent="0.2">
      <c r="A511" s="7" t="s">
        <v>253</v>
      </c>
      <c r="B511" s="3" t="s">
        <v>123</v>
      </c>
      <c r="C511" s="3" t="s">
        <v>98</v>
      </c>
      <c r="D511" s="3" t="s">
        <v>29</v>
      </c>
      <c r="E511" s="3" t="s">
        <v>254</v>
      </c>
      <c r="F511" s="3"/>
      <c r="G511" s="107">
        <f>G512+G513</f>
        <v>1519.04</v>
      </c>
      <c r="H511" s="107">
        <f>H512+H513</f>
        <v>0</v>
      </c>
      <c r="I511" s="107">
        <f>I512+I513</f>
        <v>1519.04</v>
      </c>
      <c r="K511" s="85"/>
    </row>
    <row r="512" spans="1:11" ht="38.25" x14ac:dyDescent="0.2">
      <c r="A512" s="15" t="s">
        <v>191</v>
      </c>
      <c r="B512" s="3" t="s">
        <v>123</v>
      </c>
      <c r="C512" s="3" t="s">
        <v>98</v>
      </c>
      <c r="D512" s="3" t="s">
        <v>29</v>
      </c>
      <c r="E512" s="3" t="s">
        <v>254</v>
      </c>
      <c r="F512" s="3" t="s">
        <v>192</v>
      </c>
      <c r="G512" s="107">
        <v>1519.04</v>
      </c>
      <c r="H512" s="107"/>
      <c r="I512" s="107">
        <f>G512+H512</f>
        <v>1519.04</v>
      </c>
      <c r="J512" s="55">
        <v>1519.04</v>
      </c>
      <c r="K512" s="85">
        <f t="shared" si="103"/>
        <v>0</v>
      </c>
    </row>
    <row r="513" spans="1:11" ht="25.5" hidden="1" x14ac:dyDescent="0.2">
      <c r="A513" s="4" t="s">
        <v>217</v>
      </c>
      <c r="B513" s="3" t="s">
        <v>123</v>
      </c>
      <c r="C513" s="3" t="s">
        <v>98</v>
      </c>
      <c r="D513" s="3" t="s">
        <v>29</v>
      </c>
      <c r="E513" s="3" t="s">
        <v>254</v>
      </c>
      <c r="F513" s="3" t="s">
        <v>218</v>
      </c>
      <c r="G513" s="107"/>
      <c r="H513" s="107"/>
      <c r="I513" s="107">
        <f>G513+H513</f>
        <v>0</v>
      </c>
      <c r="K513" s="85">
        <f t="shared" si="103"/>
        <v>0</v>
      </c>
    </row>
    <row r="514" spans="1:11" s="79" customFormat="1" x14ac:dyDescent="0.2">
      <c r="A514" s="4" t="s">
        <v>255</v>
      </c>
      <c r="B514" s="3" t="s">
        <v>100</v>
      </c>
      <c r="C514" s="3"/>
      <c r="D514" s="3"/>
      <c r="E514" s="3"/>
      <c r="F514" s="3"/>
      <c r="G514" s="109">
        <f>G515+G520+G538+G588+G582</f>
        <v>31593.940999999995</v>
      </c>
      <c r="H514" s="109">
        <f>H515+H520+H538+H588+H582</f>
        <v>-647.66000000000008</v>
      </c>
      <c r="I514" s="109">
        <f>I515+I520+I538+I588+I582</f>
        <v>30946.281000000003</v>
      </c>
      <c r="K514" s="85"/>
    </row>
    <row r="515" spans="1:11" s="79" customFormat="1" hidden="1" x14ac:dyDescent="0.2">
      <c r="A515" s="15" t="s">
        <v>124</v>
      </c>
      <c r="B515" s="3" t="s">
        <v>100</v>
      </c>
      <c r="C515" s="3" t="s">
        <v>15</v>
      </c>
      <c r="D515" s="3"/>
      <c r="E515" s="3"/>
      <c r="F515" s="3"/>
      <c r="G515" s="107">
        <f t="shared" ref="G515:I518" si="108">G516</f>
        <v>0</v>
      </c>
      <c r="H515" s="107">
        <f t="shared" si="108"/>
        <v>0</v>
      </c>
      <c r="I515" s="107">
        <f t="shared" si="108"/>
        <v>0</v>
      </c>
      <c r="K515" s="85"/>
    </row>
    <row r="516" spans="1:11" s="79" customFormat="1" ht="51" hidden="1" x14ac:dyDescent="0.2">
      <c r="A516" s="15" t="s">
        <v>79</v>
      </c>
      <c r="B516" s="3" t="s">
        <v>100</v>
      </c>
      <c r="C516" s="3" t="s">
        <v>15</v>
      </c>
      <c r="D516" s="3" t="s">
        <v>72</v>
      </c>
      <c r="E516" s="3"/>
      <c r="F516" s="3"/>
      <c r="G516" s="107">
        <f t="shared" si="108"/>
        <v>0</v>
      </c>
      <c r="H516" s="107">
        <f t="shared" si="108"/>
        <v>0</v>
      </c>
      <c r="I516" s="107">
        <f t="shared" si="108"/>
        <v>0</v>
      </c>
      <c r="K516" s="85"/>
    </row>
    <row r="517" spans="1:11" s="79" customFormat="1" ht="38.25" hidden="1" x14ac:dyDescent="0.2">
      <c r="A517" s="5" t="s">
        <v>16</v>
      </c>
      <c r="B517" s="3" t="s">
        <v>100</v>
      </c>
      <c r="C517" s="3" t="s">
        <v>15</v>
      </c>
      <c r="D517" s="3" t="s">
        <v>72</v>
      </c>
      <c r="E517" s="3" t="s">
        <v>43</v>
      </c>
      <c r="F517" s="3"/>
      <c r="G517" s="107">
        <f t="shared" si="108"/>
        <v>0</v>
      </c>
      <c r="H517" s="107">
        <f t="shared" si="108"/>
        <v>0</v>
      </c>
      <c r="I517" s="107">
        <f t="shared" si="108"/>
        <v>0</v>
      </c>
      <c r="K517" s="85"/>
    </row>
    <row r="518" spans="1:11" s="79" customFormat="1" ht="76.5" hidden="1" x14ac:dyDescent="0.2">
      <c r="A518" s="7" t="s">
        <v>256</v>
      </c>
      <c r="B518" s="3" t="s">
        <v>100</v>
      </c>
      <c r="C518" s="3" t="s">
        <v>15</v>
      </c>
      <c r="D518" s="3" t="s">
        <v>72</v>
      </c>
      <c r="E518" s="3" t="s">
        <v>257</v>
      </c>
      <c r="F518" s="3"/>
      <c r="G518" s="107">
        <f t="shared" si="108"/>
        <v>0</v>
      </c>
      <c r="H518" s="107">
        <f t="shared" si="108"/>
        <v>0</v>
      </c>
      <c r="I518" s="107">
        <f t="shared" si="108"/>
        <v>0</v>
      </c>
      <c r="K518" s="85"/>
    </row>
    <row r="519" spans="1:11" s="79" customFormat="1" hidden="1" x14ac:dyDescent="0.2">
      <c r="A519" s="13" t="s">
        <v>53</v>
      </c>
      <c r="B519" s="3" t="s">
        <v>100</v>
      </c>
      <c r="C519" s="3" t="s">
        <v>15</v>
      </c>
      <c r="D519" s="3" t="s">
        <v>72</v>
      </c>
      <c r="E519" s="3" t="s">
        <v>257</v>
      </c>
      <c r="F519" s="3" t="s">
        <v>54</v>
      </c>
      <c r="G519" s="107">
        <v>0</v>
      </c>
      <c r="H519" s="107"/>
      <c r="I519" s="107">
        <f>G519+H519</f>
        <v>0</v>
      </c>
      <c r="J519" s="79">
        <v>1145.76</v>
      </c>
      <c r="K519" s="85"/>
    </row>
    <row r="520" spans="1:11" s="79" customFormat="1" x14ac:dyDescent="0.2">
      <c r="A520" s="25" t="s">
        <v>212</v>
      </c>
      <c r="B520" s="3" t="s">
        <v>100</v>
      </c>
      <c r="C520" s="3" t="s">
        <v>13</v>
      </c>
      <c r="D520" s="3"/>
      <c r="E520" s="3"/>
      <c r="F520" s="3"/>
      <c r="G520" s="107">
        <f>G531+G521</f>
        <v>5635.1410000000005</v>
      </c>
      <c r="H520" s="107">
        <f>H531+H521</f>
        <v>-291.67399999999998</v>
      </c>
      <c r="I520" s="107">
        <f>I531+I521</f>
        <v>5343.4670000000006</v>
      </c>
      <c r="K520" s="85"/>
    </row>
    <row r="521" spans="1:11" s="79" customFormat="1" x14ac:dyDescent="0.2">
      <c r="A521" s="4" t="s">
        <v>28</v>
      </c>
      <c r="B521" s="3" t="s">
        <v>100</v>
      </c>
      <c r="C521" s="3" t="s">
        <v>13</v>
      </c>
      <c r="D521" s="3" t="s">
        <v>29</v>
      </c>
      <c r="E521" s="3"/>
      <c r="F521" s="3"/>
      <c r="G521" s="107">
        <f t="shared" ref="G521:I522" si="109">G522</f>
        <v>5505.1410000000005</v>
      </c>
      <c r="H521" s="107">
        <f t="shared" si="109"/>
        <v>-291.67399999999998</v>
      </c>
      <c r="I521" s="107">
        <f t="shared" si="109"/>
        <v>5213.4670000000006</v>
      </c>
      <c r="K521" s="85"/>
    </row>
    <row r="522" spans="1:11" ht="38.25" x14ac:dyDescent="0.2">
      <c r="A522" s="5" t="s">
        <v>16</v>
      </c>
      <c r="B522" s="3" t="s">
        <v>100</v>
      </c>
      <c r="C522" s="3" t="s">
        <v>13</v>
      </c>
      <c r="D522" s="3" t="s">
        <v>29</v>
      </c>
      <c r="E522" s="3" t="s">
        <v>43</v>
      </c>
      <c r="F522" s="3"/>
      <c r="G522" s="110">
        <f t="shared" si="109"/>
        <v>5505.1410000000005</v>
      </c>
      <c r="H522" s="110">
        <f t="shared" si="109"/>
        <v>-291.67399999999998</v>
      </c>
      <c r="I522" s="110">
        <f t="shared" si="109"/>
        <v>5213.4670000000006</v>
      </c>
      <c r="K522" s="85"/>
    </row>
    <row r="523" spans="1:11" ht="38.25" x14ac:dyDescent="0.2">
      <c r="A523" s="7" t="s">
        <v>18</v>
      </c>
      <c r="B523" s="3" t="s">
        <v>100</v>
      </c>
      <c r="C523" s="3" t="s">
        <v>13</v>
      </c>
      <c r="D523" s="3" t="s">
        <v>29</v>
      </c>
      <c r="E523" s="3" t="s">
        <v>44</v>
      </c>
      <c r="F523" s="3"/>
      <c r="G523" s="110">
        <f>G528+G524+G526</f>
        <v>5505.1410000000005</v>
      </c>
      <c r="H523" s="110">
        <f>H528+H524+H526</f>
        <v>-291.67399999999998</v>
      </c>
      <c r="I523" s="110">
        <f>I528+I524+I526</f>
        <v>5213.4670000000006</v>
      </c>
      <c r="K523" s="85"/>
    </row>
    <row r="524" spans="1:11" ht="51" x14ac:dyDescent="0.2">
      <c r="A524" s="90" t="s">
        <v>457</v>
      </c>
      <c r="B524" s="3" t="s">
        <v>100</v>
      </c>
      <c r="C524" s="3" t="s">
        <v>13</v>
      </c>
      <c r="D524" s="3" t="s">
        <v>29</v>
      </c>
      <c r="E524" s="3" t="s">
        <v>421</v>
      </c>
      <c r="F524" s="3"/>
      <c r="G524" s="110">
        <f>G525</f>
        <v>564.13099999999997</v>
      </c>
      <c r="H524" s="110">
        <f t="shared" ref="H524:I524" si="110">H525</f>
        <v>0</v>
      </c>
      <c r="I524" s="110">
        <f t="shared" si="110"/>
        <v>564.13099999999997</v>
      </c>
      <c r="K524" s="85"/>
    </row>
    <row r="525" spans="1:11" ht="38.25" x14ac:dyDescent="0.2">
      <c r="A525" s="15" t="s">
        <v>191</v>
      </c>
      <c r="B525" s="3" t="s">
        <v>100</v>
      </c>
      <c r="C525" s="3" t="s">
        <v>13</v>
      </c>
      <c r="D525" s="3" t="s">
        <v>29</v>
      </c>
      <c r="E525" s="3" t="s">
        <v>421</v>
      </c>
      <c r="F525" s="3" t="s">
        <v>192</v>
      </c>
      <c r="G525" s="110">
        <v>564.13099999999997</v>
      </c>
      <c r="H525" s="110"/>
      <c r="I525" s="110">
        <f>G525+H525</f>
        <v>564.13099999999997</v>
      </c>
      <c r="J525" s="55">
        <v>564.13099999999997</v>
      </c>
      <c r="K525" s="85">
        <f t="shared" si="103"/>
        <v>0</v>
      </c>
    </row>
    <row r="526" spans="1:11" ht="38.25" x14ac:dyDescent="0.2">
      <c r="A526" s="15" t="s">
        <v>489</v>
      </c>
      <c r="B526" s="3" t="s">
        <v>100</v>
      </c>
      <c r="C526" s="3" t="s">
        <v>13</v>
      </c>
      <c r="D526" s="3" t="s">
        <v>29</v>
      </c>
      <c r="E526" s="3" t="s">
        <v>488</v>
      </c>
      <c r="F526" s="3"/>
      <c r="G526" s="110">
        <f>G527</f>
        <v>500</v>
      </c>
      <c r="H526" s="110">
        <f t="shared" ref="H526:I526" si="111">H527</f>
        <v>0</v>
      </c>
      <c r="I526" s="110">
        <f t="shared" si="111"/>
        <v>500</v>
      </c>
      <c r="K526" s="85"/>
    </row>
    <row r="527" spans="1:11" ht="25.5" x14ac:dyDescent="0.2">
      <c r="A527" s="15" t="s">
        <v>217</v>
      </c>
      <c r="B527" s="3" t="s">
        <v>100</v>
      </c>
      <c r="C527" s="3" t="s">
        <v>13</v>
      </c>
      <c r="D527" s="3" t="s">
        <v>29</v>
      </c>
      <c r="E527" s="3" t="s">
        <v>488</v>
      </c>
      <c r="F527" s="3" t="s">
        <v>218</v>
      </c>
      <c r="G527" s="110">
        <v>500</v>
      </c>
      <c r="H527" s="110"/>
      <c r="I527" s="110">
        <f>G527+H527</f>
        <v>500</v>
      </c>
      <c r="J527" s="55">
        <v>500</v>
      </c>
      <c r="K527" s="85">
        <f t="shared" si="103"/>
        <v>0</v>
      </c>
    </row>
    <row r="528" spans="1:11" ht="63.75" x14ac:dyDescent="0.2">
      <c r="A528" s="5" t="s">
        <v>214</v>
      </c>
      <c r="B528" s="3" t="s">
        <v>100</v>
      </c>
      <c r="C528" s="3" t="s">
        <v>13</v>
      </c>
      <c r="D528" s="3" t="s">
        <v>29</v>
      </c>
      <c r="E528" s="20" t="s">
        <v>215</v>
      </c>
      <c r="F528" s="3"/>
      <c r="G528" s="110">
        <f>G529+G530</f>
        <v>4441.01</v>
      </c>
      <c r="H528" s="110">
        <f t="shared" ref="H528:I528" si="112">H529+H530</f>
        <v>-291.67399999999998</v>
      </c>
      <c r="I528" s="110">
        <f t="shared" si="112"/>
        <v>4149.3360000000002</v>
      </c>
      <c r="K528" s="85"/>
    </row>
    <row r="529" spans="1:11" ht="38.25" x14ac:dyDescent="0.2">
      <c r="A529" s="15" t="s">
        <v>191</v>
      </c>
      <c r="B529" s="3" t="s">
        <v>100</v>
      </c>
      <c r="C529" s="3" t="s">
        <v>13</v>
      </c>
      <c r="D529" s="3" t="s">
        <v>29</v>
      </c>
      <c r="E529" s="3" t="s">
        <v>216</v>
      </c>
      <c r="F529" s="3" t="s">
        <v>192</v>
      </c>
      <c r="G529" s="110">
        <v>4441.01</v>
      </c>
      <c r="H529" s="110">
        <f>68.355-647.66</f>
        <v>-579.30499999999995</v>
      </c>
      <c r="I529" s="110">
        <f>G529+H529</f>
        <v>3861.7050000000004</v>
      </c>
      <c r="J529" s="55">
        <v>3861.7049999999999</v>
      </c>
      <c r="K529" s="85">
        <f t="shared" si="103"/>
        <v>0</v>
      </c>
    </row>
    <row r="530" spans="1:11" ht="25.5" x14ac:dyDescent="0.2">
      <c r="A530" s="15" t="s">
        <v>217</v>
      </c>
      <c r="B530" s="3" t="s">
        <v>100</v>
      </c>
      <c r="C530" s="3" t="s">
        <v>13</v>
      </c>
      <c r="D530" s="3" t="s">
        <v>29</v>
      </c>
      <c r="E530" s="3" t="s">
        <v>216</v>
      </c>
      <c r="F530" s="3" t="s">
        <v>218</v>
      </c>
      <c r="G530" s="110"/>
      <c r="H530" s="110">
        <f>150+137.631</f>
        <v>287.63099999999997</v>
      </c>
      <c r="I530" s="110">
        <f>G530+H530</f>
        <v>287.63099999999997</v>
      </c>
      <c r="J530" s="55">
        <v>287.63099999999997</v>
      </c>
      <c r="K530" s="85">
        <f t="shared" si="103"/>
        <v>0</v>
      </c>
    </row>
    <row r="531" spans="1:11" s="79" customFormat="1" ht="12" customHeight="1" x14ac:dyDescent="0.2">
      <c r="A531" s="15" t="s">
        <v>45</v>
      </c>
      <c r="B531" s="3" t="s">
        <v>100</v>
      </c>
      <c r="C531" s="3" t="s">
        <v>13</v>
      </c>
      <c r="D531" s="3" t="s">
        <v>13</v>
      </c>
      <c r="E531" s="3"/>
      <c r="F531" s="3"/>
      <c r="G531" s="107">
        <f t="shared" ref="G531:I533" si="113">G532</f>
        <v>130</v>
      </c>
      <c r="H531" s="107">
        <f t="shared" si="113"/>
        <v>0</v>
      </c>
      <c r="I531" s="107">
        <f t="shared" si="113"/>
        <v>130</v>
      </c>
      <c r="K531" s="85"/>
    </row>
    <row r="532" spans="1:11" s="79" customFormat="1" ht="38.25" x14ac:dyDescent="0.2">
      <c r="A532" s="5" t="s">
        <v>16</v>
      </c>
      <c r="B532" s="3" t="s">
        <v>100</v>
      </c>
      <c r="C532" s="3" t="s">
        <v>13</v>
      </c>
      <c r="D532" s="3" t="s">
        <v>13</v>
      </c>
      <c r="E532" s="3" t="s">
        <v>43</v>
      </c>
      <c r="F532" s="3"/>
      <c r="G532" s="107">
        <f t="shared" si="113"/>
        <v>130</v>
      </c>
      <c r="H532" s="107">
        <f t="shared" si="113"/>
        <v>0</v>
      </c>
      <c r="I532" s="107">
        <f t="shared" si="113"/>
        <v>130</v>
      </c>
      <c r="K532" s="85"/>
    </row>
    <row r="533" spans="1:11" s="79" customFormat="1" ht="39.75" customHeight="1" x14ac:dyDescent="0.2">
      <c r="A533" s="7" t="s">
        <v>237</v>
      </c>
      <c r="B533" s="3" t="s">
        <v>100</v>
      </c>
      <c r="C533" s="3" t="s">
        <v>13</v>
      </c>
      <c r="D533" s="3" t="s">
        <v>13</v>
      </c>
      <c r="E533" s="3" t="s">
        <v>147</v>
      </c>
      <c r="F533" s="3"/>
      <c r="G533" s="107">
        <f t="shared" si="113"/>
        <v>130</v>
      </c>
      <c r="H533" s="107">
        <f t="shared" si="113"/>
        <v>0</v>
      </c>
      <c r="I533" s="107">
        <f t="shared" si="113"/>
        <v>130</v>
      </c>
      <c r="K533" s="85"/>
    </row>
    <row r="534" spans="1:11" s="79" customFormat="1" ht="38.25" x14ac:dyDescent="0.2">
      <c r="A534" s="7" t="s">
        <v>238</v>
      </c>
      <c r="B534" s="3" t="s">
        <v>100</v>
      </c>
      <c r="C534" s="3" t="s">
        <v>13</v>
      </c>
      <c r="D534" s="3" t="s">
        <v>13</v>
      </c>
      <c r="E534" s="3" t="s">
        <v>258</v>
      </c>
      <c r="F534" s="3"/>
      <c r="G534" s="107">
        <f>G535+G536+G537</f>
        <v>130</v>
      </c>
      <c r="H534" s="107">
        <f>H535+H536+H537</f>
        <v>0</v>
      </c>
      <c r="I534" s="107">
        <f>I535+I536+I537</f>
        <v>130</v>
      </c>
      <c r="K534" s="85"/>
    </row>
    <row r="535" spans="1:11" s="79" customFormat="1" hidden="1" x14ac:dyDescent="0.2">
      <c r="A535" s="13" t="s">
        <v>53</v>
      </c>
      <c r="B535" s="3" t="s">
        <v>100</v>
      </c>
      <c r="C535" s="3" t="s">
        <v>13</v>
      </c>
      <c r="D535" s="3" t="s">
        <v>13</v>
      </c>
      <c r="E535" s="3" t="s">
        <v>258</v>
      </c>
      <c r="F535" s="3" t="s">
        <v>54</v>
      </c>
      <c r="G535" s="107"/>
      <c r="H535" s="107"/>
      <c r="I535" s="107">
        <f>G535+H535</f>
        <v>0</v>
      </c>
      <c r="K535" s="85">
        <f t="shared" si="103"/>
        <v>0</v>
      </c>
    </row>
    <row r="536" spans="1:11" s="79" customFormat="1" ht="38.25" x14ac:dyDescent="0.2">
      <c r="A536" s="4" t="s">
        <v>55</v>
      </c>
      <c r="B536" s="3" t="s">
        <v>100</v>
      </c>
      <c r="C536" s="3" t="s">
        <v>13</v>
      </c>
      <c r="D536" s="3" t="s">
        <v>13</v>
      </c>
      <c r="E536" s="3" t="s">
        <v>258</v>
      </c>
      <c r="F536" s="3" t="s">
        <v>56</v>
      </c>
      <c r="G536" s="107">
        <v>5</v>
      </c>
      <c r="H536" s="107"/>
      <c r="I536" s="107">
        <f>G536+H536</f>
        <v>5</v>
      </c>
      <c r="J536" s="79">
        <v>5</v>
      </c>
      <c r="K536" s="85">
        <f t="shared" si="103"/>
        <v>0</v>
      </c>
    </row>
    <row r="537" spans="1:11" s="79" customFormat="1" ht="38.25" x14ac:dyDescent="0.2">
      <c r="A537" s="4" t="s">
        <v>61</v>
      </c>
      <c r="B537" s="3" t="s">
        <v>100</v>
      </c>
      <c r="C537" s="3" t="s">
        <v>13</v>
      </c>
      <c r="D537" s="3" t="s">
        <v>13</v>
      </c>
      <c r="E537" s="3" t="s">
        <v>258</v>
      </c>
      <c r="F537" s="3" t="s">
        <v>62</v>
      </c>
      <c r="G537" s="107">
        <v>125</v>
      </c>
      <c r="H537" s="107"/>
      <c r="I537" s="107">
        <f>G537+H537</f>
        <v>125</v>
      </c>
      <c r="J537" s="79">
        <v>125</v>
      </c>
      <c r="K537" s="85">
        <f t="shared" si="103"/>
        <v>0</v>
      </c>
    </row>
    <row r="538" spans="1:11" s="79" customFormat="1" x14ac:dyDescent="0.2">
      <c r="A538" s="15" t="s">
        <v>259</v>
      </c>
      <c r="B538" s="3" t="s">
        <v>100</v>
      </c>
      <c r="C538" s="3" t="s">
        <v>260</v>
      </c>
      <c r="D538" s="3"/>
      <c r="E538" s="3"/>
      <c r="F538" s="3"/>
      <c r="G538" s="107">
        <f>G539+G562</f>
        <v>23280.569999999996</v>
      </c>
      <c r="H538" s="107">
        <f>H539+H562</f>
        <v>-339.87579000000005</v>
      </c>
      <c r="I538" s="107">
        <f>I539+I562</f>
        <v>22940.694210000001</v>
      </c>
      <c r="K538" s="85"/>
    </row>
    <row r="539" spans="1:11" s="79" customFormat="1" x14ac:dyDescent="0.2">
      <c r="A539" s="15" t="s">
        <v>261</v>
      </c>
      <c r="B539" s="3" t="s">
        <v>100</v>
      </c>
      <c r="C539" s="3" t="s">
        <v>260</v>
      </c>
      <c r="D539" s="3" t="s">
        <v>15</v>
      </c>
      <c r="E539" s="3"/>
      <c r="F539" s="3"/>
      <c r="G539" s="107">
        <f>G540</f>
        <v>21292.619999999995</v>
      </c>
      <c r="H539" s="107">
        <f>H540</f>
        <v>-1464.3910000000001</v>
      </c>
      <c r="I539" s="107">
        <f>I540</f>
        <v>19828.229000000003</v>
      </c>
      <c r="K539" s="85"/>
    </row>
    <row r="540" spans="1:11" s="79" customFormat="1" ht="38.25" x14ac:dyDescent="0.2">
      <c r="A540" s="5" t="s">
        <v>16</v>
      </c>
      <c r="B540" s="3" t="s">
        <v>100</v>
      </c>
      <c r="C540" s="3" t="s">
        <v>260</v>
      </c>
      <c r="D540" s="3" t="s">
        <v>15</v>
      </c>
      <c r="E540" s="3" t="s">
        <v>43</v>
      </c>
      <c r="F540" s="3"/>
      <c r="G540" s="107">
        <f>G543+G541</f>
        <v>21292.619999999995</v>
      </c>
      <c r="H540" s="107">
        <f>H543+H541</f>
        <v>-1464.3910000000001</v>
      </c>
      <c r="I540" s="107">
        <f>I543+I541</f>
        <v>19828.229000000003</v>
      </c>
      <c r="K540" s="85"/>
    </row>
    <row r="541" spans="1:11" s="79" customFormat="1" ht="76.5" x14ac:dyDescent="0.2">
      <c r="A541" s="7" t="s">
        <v>256</v>
      </c>
      <c r="B541" s="3" t="s">
        <v>100</v>
      </c>
      <c r="C541" s="3" t="s">
        <v>260</v>
      </c>
      <c r="D541" s="3" t="s">
        <v>15</v>
      </c>
      <c r="E541" s="3" t="s">
        <v>257</v>
      </c>
      <c r="F541" s="3"/>
      <c r="G541" s="107">
        <f>G542</f>
        <v>1145.76</v>
      </c>
      <c r="H541" s="107">
        <f>H542</f>
        <v>-1145.76</v>
      </c>
      <c r="I541" s="107">
        <f>I542</f>
        <v>0</v>
      </c>
      <c r="K541" s="85"/>
    </row>
    <row r="542" spans="1:11" s="79" customFormat="1" x14ac:dyDescent="0.2">
      <c r="A542" s="13" t="s">
        <v>53</v>
      </c>
      <c r="B542" s="3" t="s">
        <v>100</v>
      </c>
      <c r="C542" s="3" t="s">
        <v>260</v>
      </c>
      <c r="D542" s="3" t="s">
        <v>15</v>
      </c>
      <c r="E542" s="3" t="s">
        <v>257</v>
      </c>
      <c r="F542" s="3" t="s">
        <v>54</v>
      </c>
      <c r="G542" s="107">
        <v>1145.76</v>
      </c>
      <c r="H542" s="107">
        <f>-58.02829-1087.73171</f>
        <v>-1145.76</v>
      </c>
      <c r="I542" s="107">
        <f>G542+H542</f>
        <v>0</v>
      </c>
      <c r="J542" s="79">
        <v>1087.73171</v>
      </c>
      <c r="K542" s="85">
        <f t="shared" si="103"/>
        <v>-1087.73171</v>
      </c>
    </row>
    <row r="543" spans="1:11" s="79" customFormat="1" ht="51" x14ac:dyDescent="0.2">
      <c r="A543" s="7" t="s">
        <v>237</v>
      </c>
      <c r="B543" s="3" t="s">
        <v>100</v>
      </c>
      <c r="C543" s="3" t="s">
        <v>260</v>
      </c>
      <c r="D543" s="3" t="s">
        <v>15</v>
      </c>
      <c r="E543" s="3" t="s">
        <v>147</v>
      </c>
      <c r="F543" s="3"/>
      <c r="G543" s="107">
        <f>G544+G551+G556+G558+G560+G547+G549</f>
        <v>20146.859999999997</v>
      </c>
      <c r="H543" s="107">
        <f>H544+H551+H556+H558+H560+H547+H549</f>
        <v>-318.63099999999997</v>
      </c>
      <c r="I543" s="107">
        <f>I544+I551+I556+I558+I560+I547+I549</f>
        <v>19828.229000000003</v>
      </c>
      <c r="K543" s="85"/>
    </row>
    <row r="544" spans="1:11" s="79" customFormat="1" ht="38.25" x14ac:dyDescent="0.2">
      <c r="A544" s="7" t="s">
        <v>262</v>
      </c>
      <c r="B544" s="3" t="s">
        <v>100</v>
      </c>
      <c r="C544" s="3" t="s">
        <v>260</v>
      </c>
      <c r="D544" s="3" t="s">
        <v>15</v>
      </c>
      <c r="E544" s="3" t="s">
        <v>263</v>
      </c>
      <c r="F544" s="3"/>
      <c r="G544" s="107">
        <f>G545+G546</f>
        <v>8635.99</v>
      </c>
      <c r="H544" s="107">
        <f>H545+H546</f>
        <v>0</v>
      </c>
      <c r="I544" s="107">
        <f>I545+I546</f>
        <v>8635.99</v>
      </c>
      <c r="K544" s="85"/>
    </row>
    <row r="545" spans="1:11" s="79" customFormat="1" ht="51" x14ac:dyDescent="0.2">
      <c r="A545" s="4" t="s">
        <v>388</v>
      </c>
      <c r="B545" s="3" t="s">
        <v>100</v>
      </c>
      <c r="C545" s="3" t="s">
        <v>260</v>
      </c>
      <c r="D545" s="3" t="s">
        <v>15</v>
      </c>
      <c r="E545" s="3" t="s">
        <v>263</v>
      </c>
      <c r="F545" s="3" t="s">
        <v>24</v>
      </c>
      <c r="G545" s="107">
        <v>8635.99</v>
      </c>
      <c r="H545" s="107"/>
      <c r="I545" s="107">
        <f>G545+H545</f>
        <v>8635.99</v>
      </c>
      <c r="J545" s="79">
        <v>8635.99</v>
      </c>
      <c r="K545" s="85">
        <f t="shared" si="103"/>
        <v>0</v>
      </c>
    </row>
    <row r="546" spans="1:11" s="79" customFormat="1" ht="25.5" hidden="1" x14ac:dyDescent="0.2">
      <c r="A546" s="4" t="s">
        <v>264</v>
      </c>
      <c r="B546" s="3" t="s">
        <v>100</v>
      </c>
      <c r="C546" s="3" t="s">
        <v>260</v>
      </c>
      <c r="D546" s="3" t="s">
        <v>15</v>
      </c>
      <c r="E546" s="3" t="s">
        <v>263</v>
      </c>
      <c r="F546" s="3" t="s">
        <v>26</v>
      </c>
      <c r="G546" s="107"/>
      <c r="H546" s="107"/>
      <c r="I546" s="107">
        <f>G546+H546</f>
        <v>0</v>
      </c>
      <c r="K546" s="85">
        <f t="shared" si="103"/>
        <v>0</v>
      </c>
    </row>
    <row r="547" spans="1:11" s="79" customFormat="1" ht="38.25" x14ac:dyDescent="0.2">
      <c r="A547" s="90" t="s">
        <v>440</v>
      </c>
      <c r="B547" s="3" t="s">
        <v>100</v>
      </c>
      <c r="C547" s="3" t="s">
        <v>260</v>
      </c>
      <c r="D547" s="3" t="s">
        <v>15</v>
      </c>
      <c r="E547" s="3" t="s">
        <v>437</v>
      </c>
      <c r="F547" s="3"/>
      <c r="G547" s="107">
        <f>G548</f>
        <v>3438.92</v>
      </c>
      <c r="H547" s="107">
        <f>H548</f>
        <v>0</v>
      </c>
      <c r="I547" s="107">
        <f>I548</f>
        <v>3438.92</v>
      </c>
      <c r="K547" s="85"/>
    </row>
    <row r="548" spans="1:11" s="79" customFormat="1" ht="51" x14ac:dyDescent="0.2">
      <c r="A548" s="4" t="s">
        <v>388</v>
      </c>
      <c r="B548" s="3" t="s">
        <v>100</v>
      </c>
      <c r="C548" s="3" t="s">
        <v>260</v>
      </c>
      <c r="D548" s="3" t="s">
        <v>15</v>
      </c>
      <c r="E548" s="3" t="s">
        <v>437</v>
      </c>
      <c r="F548" s="3" t="s">
        <v>24</v>
      </c>
      <c r="G548" s="107">
        <v>3438.92</v>
      </c>
      <c r="H548" s="107"/>
      <c r="I548" s="107">
        <f>G548+H548</f>
        <v>3438.92</v>
      </c>
      <c r="J548" s="79">
        <v>3438.92</v>
      </c>
      <c r="K548" s="85">
        <f t="shared" si="103"/>
        <v>0</v>
      </c>
    </row>
    <row r="549" spans="1:11" s="79" customFormat="1" ht="25.5" x14ac:dyDescent="0.2">
      <c r="A549" s="68" t="s">
        <v>491</v>
      </c>
      <c r="B549" s="3" t="s">
        <v>100</v>
      </c>
      <c r="C549" s="3" t="s">
        <v>260</v>
      </c>
      <c r="D549" s="3" t="s">
        <v>15</v>
      </c>
      <c r="E549" s="3" t="s">
        <v>490</v>
      </c>
      <c r="F549" s="3"/>
      <c r="G549" s="107">
        <f>G550</f>
        <v>88.02</v>
      </c>
      <c r="H549" s="107">
        <f>H550</f>
        <v>0</v>
      </c>
      <c r="I549" s="107">
        <f>I550</f>
        <v>88.02</v>
      </c>
      <c r="K549" s="85"/>
    </row>
    <row r="550" spans="1:11" s="79" customFormat="1" ht="25.5" x14ac:dyDescent="0.2">
      <c r="A550" s="4" t="s">
        <v>264</v>
      </c>
      <c r="B550" s="3" t="s">
        <v>100</v>
      </c>
      <c r="C550" s="3" t="s">
        <v>260</v>
      </c>
      <c r="D550" s="3" t="s">
        <v>15</v>
      </c>
      <c r="E550" s="3" t="s">
        <v>490</v>
      </c>
      <c r="F550" s="3" t="s">
        <v>26</v>
      </c>
      <c r="G550" s="107">
        <v>88.02</v>
      </c>
      <c r="H550" s="107"/>
      <c r="I550" s="107">
        <f>G550+H550</f>
        <v>88.02</v>
      </c>
      <c r="J550" s="79">
        <v>88.02</v>
      </c>
      <c r="K550" s="85">
        <f t="shared" si="103"/>
        <v>0</v>
      </c>
    </row>
    <row r="551" spans="1:11" s="79" customFormat="1" ht="38.25" x14ac:dyDescent="0.2">
      <c r="A551" s="7" t="s">
        <v>265</v>
      </c>
      <c r="B551" s="3" t="s">
        <v>100</v>
      </c>
      <c r="C551" s="3" t="s">
        <v>260</v>
      </c>
      <c r="D551" s="3" t="s">
        <v>15</v>
      </c>
      <c r="E551" s="3" t="s">
        <v>266</v>
      </c>
      <c r="F551" s="3"/>
      <c r="G551" s="107">
        <f>G552+G553+G554</f>
        <v>7829.43</v>
      </c>
      <c r="H551" s="107">
        <f>H552+H553+H554</f>
        <v>-318.63099999999997</v>
      </c>
      <c r="I551" s="107">
        <f>I552+I553+I554</f>
        <v>7510.799</v>
      </c>
      <c r="K551" s="85"/>
    </row>
    <row r="552" spans="1:11" s="79" customFormat="1" ht="51" x14ac:dyDescent="0.2">
      <c r="A552" s="4" t="s">
        <v>388</v>
      </c>
      <c r="B552" s="3" t="s">
        <v>100</v>
      </c>
      <c r="C552" s="3" t="s">
        <v>260</v>
      </c>
      <c r="D552" s="3" t="s">
        <v>15</v>
      </c>
      <c r="E552" s="3" t="s">
        <v>266</v>
      </c>
      <c r="F552" s="3" t="s">
        <v>24</v>
      </c>
      <c r="G552" s="107">
        <v>7479.43</v>
      </c>
      <c r="H552" s="107">
        <f>-31.75-30.541-31</f>
        <v>-93.290999999999997</v>
      </c>
      <c r="I552" s="107">
        <f>G552+H552</f>
        <v>7386.1390000000001</v>
      </c>
      <c r="J552" s="79">
        <v>7417.1390000000001</v>
      </c>
      <c r="K552" s="85">
        <f t="shared" ref="K552:K606" si="114">I552-J552</f>
        <v>-31</v>
      </c>
    </row>
    <row r="553" spans="1:11" s="79" customFormat="1" ht="25.5" x14ac:dyDescent="0.2">
      <c r="A553" s="4" t="s">
        <v>264</v>
      </c>
      <c r="B553" s="3" t="s">
        <v>100</v>
      </c>
      <c r="C553" s="3" t="s">
        <v>260</v>
      </c>
      <c r="D553" s="3" t="s">
        <v>15</v>
      </c>
      <c r="E553" s="3" t="s">
        <v>266</v>
      </c>
      <c r="F553" s="3" t="s">
        <v>26</v>
      </c>
      <c r="G553" s="107"/>
      <c r="H553" s="107">
        <f>31.75+30.541</f>
        <v>62.290999999999997</v>
      </c>
      <c r="I553" s="107">
        <f>G553+H553</f>
        <v>62.290999999999997</v>
      </c>
      <c r="J553" s="79">
        <v>62.290999999999997</v>
      </c>
      <c r="K553" s="85">
        <f t="shared" si="114"/>
        <v>0</v>
      </c>
    </row>
    <row r="554" spans="1:11" s="79" customFormat="1" ht="25.5" x14ac:dyDescent="0.2">
      <c r="A554" s="68" t="s">
        <v>350</v>
      </c>
      <c r="B554" s="3" t="s">
        <v>100</v>
      </c>
      <c r="C554" s="3" t="s">
        <v>260</v>
      </c>
      <c r="D554" s="3" t="s">
        <v>15</v>
      </c>
      <c r="E554" s="5" t="s">
        <v>377</v>
      </c>
      <c r="F554" s="3"/>
      <c r="G554" s="107">
        <f>G555</f>
        <v>350</v>
      </c>
      <c r="H554" s="107">
        <f>H555</f>
        <v>-287.63099999999997</v>
      </c>
      <c r="I554" s="107">
        <f>I555</f>
        <v>62.369000000000028</v>
      </c>
      <c r="K554" s="85"/>
    </row>
    <row r="555" spans="1:11" s="79" customFormat="1" ht="51" x14ac:dyDescent="0.2">
      <c r="A555" s="4" t="s">
        <v>388</v>
      </c>
      <c r="B555" s="3" t="s">
        <v>100</v>
      </c>
      <c r="C555" s="3" t="s">
        <v>260</v>
      </c>
      <c r="D555" s="3" t="s">
        <v>15</v>
      </c>
      <c r="E555" s="5" t="s">
        <v>377</v>
      </c>
      <c r="F555" s="3" t="s">
        <v>24</v>
      </c>
      <c r="G555" s="107">
        <v>350</v>
      </c>
      <c r="H555" s="107">
        <f>-150-137.631</f>
        <v>-287.63099999999997</v>
      </c>
      <c r="I555" s="107">
        <f>G555+H555</f>
        <v>62.369000000000028</v>
      </c>
      <c r="J555" s="79">
        <v>62.369</v>
      </c>
      <c r="K555" s="85">
        <f t="shared" si="114"/>
        <v>0</v>
      </c>
    </row>
    <row r="556" spans="1:11" s="79" customFormat="1" ht="76.5" x14ac:dyDescent="0.2">
      <c r="A556" s="27" t="s">
        <v>267</v>
      </c>
      <c r="B556" s="3" t="s">
        <v>100</v>
      </c>
      <c r="C556" s="3" t="s">
        <v>260</v>
      </c>
      <c r="D556" s="3" t="s">
        <v>15</v>
      </c>
      <c r="E556" s="28" t="s">
        <v>268</v>
      </c>
      <c r="F556" s="3"/>
      <c r="G556" s="107">
        <f>G557</f>
        <v>4.5</v>
      </c>
      <c r="H556" s="107">
        <f t="shared" ref="H556:I560" si="115">H557</f>
        <v>0</v>
      </c>
      <c r="I556" s="107">
        <f t="shared" si="115"/>
        <v>4.5</v>
      </c>
      <c r="K556" s="85"/>
    </row>
    <row r="557" spans="1:11" s="79" customFormat="1" ht="51" x14ac:dyDescent="0.2">
      <c r="A557" s="4" t="s">
        <v>388</v>
      </c>
      <c r="B557" s="3" t="s">
        <v>100</v>
      </c>
      <c r="C557" s="3" t="s">
        <v>260</v>
      </c>
      <c r="D557" s="3" t="s">
        <v>15</v>
      </c>
      <c r="E557" s="28" t="s">
        <v>268</v>
      </c>
      <c r="F557" s="3" t="s">
        <v>24</v>
      </c>
      <c r="G557" s="107">
        <v>4.5</v>
      </c>
      <c r="H557" s="107"/>
      <c r="I557" s="107">
        <f>G557+H557</f>
        <v>4.5</v>
      </c>
      <c r="J557" s="79">
        <v>4.5</v>
      </c>
      <c r="K557" s="85">
        <f t="shared" si="114"/>
        <v>0</v>
      </c>
    </row>
    <row r="558" spans="1:11" s="79" customFormat="1" ht="38.25" x14ac:dyDescent="0.2">
      <c r="A558" s="90" t="s">
        <v>441</v>
      </c>
      <c r="B558" s="3" t="s">
        <v>100</v>
      </c>
      <c r="C558" s="3" t="s">
        <v>260</v>
      </c>
      <c r="D558" s="3" t="s">
        <v>15</v>
      </c>
      <c r="E558" s="28" t="s">
        <v>439</v>
      </c>
      <c r="F558" s="3"/>
      <c r="G558" s="107">
        <f>G559</f>
        <v>100</v>
      </c>
      <c r="H558" s="107">
        <f t="shared" si="115"/>
        <v>0</v>
      </c>
      <c r="I558" s="107">
        <f t="shared" si="115"/>
        <v>100</v>
      </c>
      <c r="K558" s="85"/>
    </row>
    <row r="559" spans="1:11" s="79" customFormat="1" ht="25.5" x14ac:dyDescent="0.2">
      <c r="A559" s="4" t="s">
        <v>25</v>
      </c>
      <c r="B559" s="3" t="s">
        <v>100</v>
      </c>
      <c r="C559" s="3" t="s">
        <v>260</v>
      </c>
      <c r="D559" s="3" t="s">
        <v>15</v>
      </c>
      <c r="E559" s="28" t="s">
        <v>439</v>
      </c>
      <c r="F559" s="3" t="s">
        <v>26</v>
      </c>
      <c r="G559" s="107">
        <v>100</v>
      </c>
      <c r="H559" s="107"/>
      <c r="I559" s="107">
        <f>G559+H559</f>
        <v>100</v>
      </c>
      <c r="J559" s="79">
        <v>100</v>
      </c>
      <c r="K559" s="85">
        <f t="shared" si="114"/>
        <v>0</v>
      </c>
    </row>
    <row r="560" spans="1:11" s="79" customFormat="1" ht="51" x14ac:dyDescent="0.2">
      <c r="A560" s="90" t="s">
        <v>442</v>
      </c>
      <c r="B560" s="3" t="s">
        <v>100</v>
      </c>
      <c r="C560" s="3" t="s">
        <v>260</v>
      </c>
      <c r="D560" s="3" t="s">
        <v>15</v>
      </c>
      <c r="E560" s="28" t="s">
        <v>438</v>
      </c>
      <c r="F560" s="3"/>
      <c r="G560" s="107">
        <f>G561</f>
        <v>50</v>
      </c>
      <c r="H560" s="107">
        <f t="shared" si="115"/>
        <v>0</v>
      </c>
      <c r="I560" s="107">
        <f t="shared" si="115"/>
        <v>50</v>
      </c>
      <c r="K560" s="85"/>
    </row>
    <row r="561" spans="1:11" s="79" customFormat="1" ht="25.5" x14ac:dyDescent="0.2">
      <c r="A561" s="4" t="s">
        <v>25</v>
      </c>
      <c r="B561" s="3" t="s">
        <v>100</v>
      </c>
      <c r="C561" s="3" t="s">
        <v>260</v>
      </c>
      <c r="D561" s="3" t="s">
        <v>15</v>
      </c>
      <c r="E561" s="28" t="s">
        <v>438</v>
      </c>
      <c r="F561" s="3" t="s">
        <v>26</v>
      </c>
      <c r="G561" s="107">
        <v>50</v>
      </c>
      <c r="H561" s="107"/>
      <c r="I561" s="107">
        <f>G561+H561</f>
        <v>50</v>
      </c>
      <c r="J561" s="79">
        <v>50</v>
      </c>
      <c r="K561" s="85">
        <f t="shared" si="114"/>
        <v>0</v>
      </c>
    </row>
    <row r="562" spans="1:11" s="79" customFormat="1" ht="25.5" x14ac:dyDescent="0.2">
      <c r="A562" s="15" t="s">
        <v>269</v>
      </c>
      <c r="B562" s="3" t="s">
        <v>100</v>
      </c>
      <c r="C562" s="3" t="s">
        <v>260</v>
      </c>
      <c r="D562" s="3" t="s">
        <v>72</v>
      </c>
      <c r="E562" s="3"/>
      <c r="F562" s="3"/>
      <c r="G562" s="107">
        <f>G563+G576</f>
        <v>1987.9499999999998</v>
      </c>
      <c r="H562" s="107">
        <f>H563+H576</f>
        <v>1124.51521</v>
      </c>
      <c r="I562" s="107">
        <f>I563+I576</f>
        <v>3112.4652099999998</v>
      </c>
      <c r="K562" s="85"/>
    </row>
    <row r="563" spans="1:11" s="79" customFormat="1" ht="38.25" x14ac:dyDescent="0.2">
      <c r="A563" s="5" t="s">
        <v>16</v>
      </c>
      <c r="B563" s="3" t="s">
        <v>100</v>
      </c>
      <c r="C563" s="3" t="s">
        <v>260</v>
      </c>
      <c r="D563" s="3" t="s">
        <v>72</v>
      </c>
      <c r="E563" s="3" t="s">
        <v>43</v>
      </c>
      <c r="F563" s="3"/>
      <c r="G563" s="107">
        <f>G566+G564</f>
        <v>1727.0799999999997</v>
      </c>
      <c r="H563" s="107">
        <f t="shared" ref="H563:I563" si="116">H566+H564</f>
        <v>1124.51521</v>
      </c>
      <c r="I563" s="107">
        <f t="shared" si="116"/>
        <v>2851.59521</v>
      </c>
      <c r="K563" s="85"/>
    </row>
    <row r="564" spans="1:11" s="79" customFormat="1" ht="76.5" x14ac:dyDescent="0.2">
      <c r="A564" s="7" t="s">
        <v>256</v>
      </c>
      <c r="B564" s="3" t="s">
        <v>100</v>
      </c>
      <c r="C564" s="3" t="s">
        <v>260</v>
      </c>
      <c r="D564" s="3" t="s">
        <v>72</v>
      </c>
      <c r="E564" s="3" t="s">
        <v>257</v>
      </c>
      <c r="F564" s="3"/>
      <c r="G564" s="107">
        <f>G565</f>
        <v>0</v>
      </c>
      <c r="H564" s="107">
        <f>H565</f>
        <v>1087.73171</v>
      </c>
      <c r="I564" s="107">
        <f>I565</f>
        <v>1087.73171</v>
      </c>
      <c r="K564" s="85"/>
    </row>
    <row r="565" spans="1:11" s="79" customFormat="1" x14ac:dyDescent="0.2">
      <c r="A565" s="13" t="s">
        <v>53</v>
      </c>
      <c r="B565" s="3" t="s">
        <v>100</v>
      </c>
      <c r="C565" s="3" t="s">
        <v>260</v>
      </c>
      <c r="D565" s="3" t="s">
        <v>72</v>
      </c>
      <c r="E565" s="3" t="s">
        <v>257</v>
      </c>
      <c r="F565" s="3" t="s">
        <v>54</v>
      </c>
      <c r="G565" s="107"/>
      <c r="H565" s="79">
        <v>1087.73171</v>
      </c>
      <c r="I565" s="107">
        <f>G565+H565</f>
        <v>1087.73171</v>
      </c>
      <c r="K565" s="85"/>
    </row>
    <row r="566" spans="1:11" s="79" customFormat="1" ht="51" x14ac:dyDescent="0.2">
      <c r="A566" s="7" t="s">
        <v>237</v>
      </c>
      <c r="B566" s="3" t="s">
        <v>100</v>
      </c>
      <c r="C566" s="3" t="s">
        <v>260</v>
      </c>
      <c r="D566" s="3" t="s">
        <v>72</v>
      </c>
      <c r="E566" s="3" t="s">
        <v>147</v>
      </c>
      <c r="F566" s="3"/>
      <c r="G566" s="107">
        <f>G567</f>
        <v>1727.0799999999997</v>
      </c>
      <c r="H566" s="107">
        <f>H567</f>
        <v>36.783500000000004</v>
      </c>
      <c r="I566" s="107">
        <f>I567</f>
        <v>1763.8634999999999</v>
      </c>
      <c r="K566" s="85"/>
    </row>
    <row r="567" spans="1:11" s="79" customFormat="1" ht="63.75" x14ac:dyDescent="0.2">
      <c r="A567" s="4" t="s">
        <v>270</v>
      </c>
      <c r="B567" s="3" t="s">
        <v>100</v>
      </c>
      <c r="C567" s="3" t="s">
        <v>260</v>
      </c>
      <c r="D567" s="3" t="s">
        <v>72</v>
      </c>
      <c r="E567" s="20" t="s">
        <v>271</v>
      </c>
      <c r="F567" s="3"/>
      <c r="G567" s="107">
        <f>SUM(G568:G575)</f>
        <v>1727.0799999999997</v>
      </c>
      <c r="H567" s="107">
        <f>SUM(H568:H575)</f>
        <v>36.783500000000004</v>
      </c>
      <c r="I567" s="107">
        <f>SUM(I568:I575)</f>
        <v>1763.8634999999999</v>
      </c>
      <c r="K567" s="85"/>
    </row>
    <row r="568" spans="1:11" s="79" customFormat="1" x14ac:dyDescent="0.2">
      <c r="A568" s="13" t="s">
        <v>53</v>
      </c>
      <c r="B568" s="3" t="s">
        <v>100</v>
      </c>
      <c r="C568" s="3" t="s">
        <v>260</v>
      </c>
      <c r="D568" s="3" t="s">
        <v>72</v>
      </c>
      <c r="E568" s="20" t="s">
        <v>271</v>
      </c>
      <c r="F568" s="3" t="s">
        <v>54</v>
      </c>
      <c r="G568" s="107">
        <v>325.5</v>
      </c>
      <c r="H568" s="107">
        <f>5.38265+5.16535-4.7645</f>
        <v>5.7835000000000001</v>
      </c>
      <c r="I568" s="107">
        <f t="shared" ref="I568:I575" si="117">G568+H568</f>
        <v>331.2835</v>
      </c>
      <c r="J568" s="79">
        <v>331.2835</v>
      </c>
      <c r="K568" s="85">
        <f t="shared" si="114"/>
        <v>0</v>
      </c>
    </row>
    <row r="569" spans="1:11" s="79" customFormat="1" ht="38.25" x14ac:dyDescent="0.2">
      <c r="A569" s="4" t="s">
        <v>55</v>
      </c>
      <c r="B569" s="3" t="s">
        <v>100</v>
      </c>
      <c r="C569" s="3" t="s">
        <v>260</v>
      </c>
      <c r="D569" s="3" t="s">
        <v>72</v>
      </c>
      <c r="E569" s="20" t="s">
        <v>271</v>
      </c>
      <c r="F569" s="3" t="s">
        <v>56</v>
      </c>
      <c r="G569" s="107">
        <v>7</v>
      </c>
      <c r="H569" s="107"/>
      <c r="I569" s="107">
        <f t="shared" si="117"/>
        <v>7</v>
      </c>
      <c r="J569" s="79">
        <v>7</v>
      </c>
      <c r="K569" s="85">
        <f t="shared" si="114"/>
        <v>0</v>
      </c>
    </row>
    <row r="570" spans="1:11" s="79" customFormat="1" ht="49.5" customHeight="1" x14ac:dyDescent="0.2">
      <c r="A570" s="4" t="s">
        <v>57</v>
      </c>
      <c r="B570" s="3" t="s">
        <v>100</v>
      </c>
      <c r="C570" s="3" t="s">
        <v>260</v>
      </c>
      <c r="D570" s="3" t="s">
        <v>72</v>
      </c>
      <c r="E570" s="20" t="s">
        <v>271</v>
      </c>
      <c r="F570" s="3" t="s">
        <v>58</v>
      </c>
      <c r="G570" s="107">
        <v>305</v>
      </c>
      <c r="H570" s="107">
        <v>-3.9863599999999999</v>
      </c>
      <c r="I570" s="107">
        <f t="shared" si="117"/>
        <v>301.01364000000001</v>
      </c>
      <c r="J570" s="79">
        <v>301.01364000000001</v>
      </c>
      <c r="K570" s="85">
        <f t="shared" si="114"/>
        <v>0</v>
      </c>
    </row>
    <row r="571" spans="1:11" s="79" customFormat="1" ht="25.5" x14ac:dyDescent="0.2">
      <c r="A571" s="14" t="s">
        <v>59</v>
      </c>
      <c r="B571" s="3" t="s">
        <v>100</v>
      </c>
      <c r="C571" s="3" t="s">
        <v>260</v>
      </c>
      <c r="D571" s="3" t="s">
        <v>72</v>
      </c>
      <c r="E571" s="20" t="s">
        <v>271</v>
      </c>
      <c r="F571" s="3" t="s">
        <v>60</v>
      </c>
      <c r="G571" s="107">
        <v>68.400000000000006</v>
      </c>
      <c r="H571" s="107">
        <f>54.12552</f>
        <v>54.125520000000002</v>
      </c>
      <c r="I571" s="107">
        <f t="shared" si="117"/>
        <v>122.52552</v>
      </c>
      <c r="J571" s="79">
        <v>122.52552</v>
      </c>
      <c r="K571" s="85">
        <f t="shared" si="114"/>
        <v>0</v>
      </c>
    </row>
    <row r="572" spans="1:11" s="79" customFormat="1" ht="38.25" x14ac:dyDescent="0.2">
      <c r="A572" s="4" t="s">
        <v>61</v>
      </c>
      <c r="B572" s="3" t="s">
        <v>100</v>
      </c>
      <c r="C572" s="3" t="s">
        <v>260</v>
      </c>
      <c r="D572" s="3" t="s">
        <v>72</v>
      </c>
      <c r="E572" s="20" t="s">
        <v>271</v>
      </c>
      <c r="F572" s="3" t="s">
        <v>62</v>
      </c>
      <c r="G572" s="107">
        <v>945.78</v>
      </c>
      <c r="H572" s="107">
        <f>-8-14.83916-3.16647+31</f>
        <v>4.99437</v>
      </c>
      <c r="I572" s="107">
        <f t="shared" si="117"/>
        <v>950.77436999999998</v>
      </c>
      <c r="J572" s="79">
        <v>919.77436999999998</v>
      </c>
      <c r="K572" s="85">
        <f t="shared" si="114"/>
        <v>31</v>
      </c>
    </row>
    <row r="573" spans="1:11" s="79" customFormat="1" ht="25.5" x14ac:dyDescent="0.2">
      <c r="A573" s="4" t="s">
        <v>25</v>
      </c>
      <c r="B573" s="3" t="s">
        <v>100</v>
      </c>
      <c r="C573" s="3" t="s">
        <v>260</v>
      </c>
      <c r="D573" s="3" t="s">
        <v>72</v>
      </c>
      <c r="E573" s="20" t="s">
        <v>416</v>
      </c>
      <c r="F573" s="3" t="s">
        <v>26</v>
      </c>
      <c r="G573" s="107">
        <v>35</v>
      </c>
      <c r="H573" s="107"/>
      <c r="I573" s="107">
        <f t="shared" si="117"/>
        <v>35</v>
      </c>
      <c r="J573" s="79">
        <v>35</v>
      </c>
      <c r="K573" s="85">
        <f t="shared" si="114"/>
        <v>0</v>
      </c>
    </row>
    <row r="574" spans="1:11" s="79" customFormat="1" ht="25.5" x14ac:dyDescent="0.2">
      <c r="A574" s="4" t="s">
        <v>272</v>
      </c>
      <c r="B574" s="3" t="s">
        <v>100</v>
      </c>
      <c r="C574" s="3" t="s">
        <v>260</v>
      </c>
      <c r="D574" s="3" t="s">
        <v>72</v>
      </c>
      <c r="E574" s="20" t="s">
        <v>271</v>
      </c>
      <c r="F574" s="3" t="s">
        <v>64</v>
      </c>
      <c r="G574" s="107">
        <v>17.3</v>
      </c>
      <c r="H574" s="107">
        <f>-17.3</f>
        <v>-17.3</v>
      </c>
      <c r="I574" s="107">
        <f t="shared" si="117"/>
        <v>0</v>
      </c>
      <c r="K574" s="85">
        <f t="shared" si="114"/>
        <v>0</v>
      </c>
    </row>
    <row r="575" spans="1:11" s="79" customFormat="1" x14ac:dyDescent="0.2">
      <c r="A575" s="10" t="s">
        <v>65</v>
      </c>
      <c r="B575" s="3" t="s">
        <v>100</v>
      </c>
      <c r="C575" s="3" t="s">
        <v>260</v>
      </c>
      <c r="D575" s="3" t="s">
        <v>72</v>
      </c>
      <c r="E575" s="20" t="s">
        <v>271</v>
      </c>
      <c r="F575" s="3" t="s">
        <v>66</v>
      </c>
      <c r="G575" s="107">
        <v>23.1</v>
      </c>
      <c r="H575" s="107">
        <f>-10+3.16647</f>
        <v>-6.8335299999999997</v>
      </c>
      <c r="I575" s="107">
        <f t="shared" si="117"/>
        <v>16.266470000000002</v>
      </c>
      <c r="J575" s="79">
        <v>16.266470000000002</v>
      </c>
      <c r="K575" s="85">
        <f t="shared" si="114"/>
        <v>0</v>
      </c>
    </row>
    <row r="576" spans="1:11" s="79" customFormat="1" x14ac:dyDescent="0.2">
      <c r="A576" s="12" t="s">
        <v>88</v>
      </c>
      <c r="B576" s="3" t="s">
        <v>100</v>
      </c>
      <c r="C576" s="3" t="s">
        <v>260</v>
      </c>
      <c r="D576" s="3" t="s">
        <v>72</v>
      </c>
      <c r="E576" s="3" t="s">
        <v>89</v>
      </c>
      <c r="F576" s="3"/>
      <c r="G576" s="107">
        <f>G577+G579</f>
        <v>260.87</v>
      </c>
      <c r="H576" s="107">
        <f>H577+H579</f>
        <v>0</v>
      </c>
      <c r="I576" s="107">
        <f>I577+I579</f>
        <v>260.87</v>
      </c>
      <c r="K576" s="85"/>
    </row>
    <row r="577" spans="1:11" s="79" customFormat="1" ht="38.25" hidden="1" x14ac:dyDescent="0.2">
      <c r="A577" s="67" t="s">
        <v>376</v>
      </c>
      <c r="B577" s="3" t="s">
        <v>100</v>
      </c>
      <c r="C577" s="3" t="s">
        <v>260</v>
      </c>
      <c r="D577" s="3" t="s">
        <v>72</v>
      </c>
      <c r="E577" s="3" t="s">
        <v>241</v>
      </c>
      <c r="F577" s="3"/>
      <c r="G577" s="107">
        <f>G578</f>
        <v>0</v>
      </c>
      <c r="H577" s="107">
        <f>H578</f>
        <v>0</v>
      </c>
      <c r="I577" s="107">
        <f>I578</f>
        <v>0</v>
      </c>
      <c r="K577" s="85"/>
    </row>
    <row r="578" spans="1:11" s="79" customFormat="1" ht="38.25" hidden="1" x14ac:dyDescent="0.2">
      <c r="A578" s="4" t="s">
        <v>61</v>
      </c>
      <c r="B578" s="3" t="s">
        <v>100</v>
      </c>
      <c r="C578" s="3" t="s">
        <v>260</v>
      </c>
      <c r="D578" s="3" t="s">
        <v>72</v>
      </c>
      <c r="E578" s="3" t="s">
        <v>241</v>
      </c>
      <c r="F578" s="3" t="s">
        <v>62</v>
      </c>
      <c r="G578" s="107">
        <v>0</v>
      </c>
      <c r="H578" s="107"/>
      <c r="I578" s="107">
        <f>G578+H578</f>
        <v>0</v>
      </c>
      <c r="J578" s="79">
        <v>0</v>
      </c>
      <c r="K578" s="85"/>
    </row>
    <row r="579" spans="1:11" s="79" customFormat="1" ht="38.25" x14ac:dyDescent="0.2">
      <c r="A579" s="67" t="s">
        <v>376</v>
      </c>
      <c r="B579" s="3" t="s">
        <v>100</v>
      </c>
      <c r="C579" s="3" t="s">
        <v>260</v>
      </c>
      <c r="D579" s="3" t="s">
        <v>72</v>
      </c>
      <c r="E579" s="3" t="s">
        <v>380</v>
      </c>
      <c r="F579" s="3"/>
      <c r="G579" s="107">
        <f>G580+G581</f>
        <v>260.87</v>
      </c>
      <c r="H579" s="107">
        <f>H580+H581</f>
        <v>0</v>
      </c>
      <c r="I579" s="107">
        <f>I580+I581</f>
        <v>260.87</v>
      </c>
      <c r="K579" s="85"/>
    </row>
    <row r="580" spans="1:11" s="79" customFormat="1" ht="39" customHeight="1" x14ac:dyDescent="0.2">
      <c r="A580" s="4" t="s">
        <v>61</v>
      </c>
      <c r="B580" s="3" t="s">
        <v>100</v>
      </c>
      <c r="C580" s="3" t="s">
        <v>260</v>
      </c>
      <c r="D580" s="3" t="s">
        <v>72</v>
      </c>
      <c r="E580" s="3" t="s">
        <v>380</v>
      </c>
      <c r="F580" s="3" t="s">
        <v>62</v>
      </c>
      <c r="G580" s="107">
        <v>165.87</v>
      </c>
      <c r="H580" s="107"/>
      <c r="I580" s="107">
        <f>G580+H580</f>
        <v>165.87</v>
      </c>
      <c r="J580" s="79">
        <v>165.87</v>
      </c>
      <c r="K580" s="85">
        <f t="shared" si="114"/>
        <v>0</v>
      </c>
    </row>
    <row r="581" spans="1:11" s="79" customFormat="1" ht="39" customHeight="1" x14ac:dyDescent="0.2">
      <c r="A581" s="4" t="s">
        <v>25</v>
      </c>
      <c r="B581" s="3" t="s">
        <v>100</v>
      </c>
      <c r="C581" s="3" t="s">
        <v>260</v>
      </c>
      <c r="D581" s="3" t="s">
        <v>72</v>
      </c>
      <c r="E581" s="3" t="s">
        <v>380</v>
      </c>
      <c r="F581" s="3" t="s">
        <v>26</v>
      </c>
      <c r="G581" s="107">
        <v>95</v>
      </c>
      <c r="H581" s="107"/>
      <c r="I581" s="107">
        <f>G581+H581</f>
        <v>95</v>
      </c>
      <c r="J581" s="79">
        <v>95</v>
      </c>
      <c r="K581" s="85">
        <f t="shared" si="114"/>
        <v>0</v>
      </c>
    </row>
    <row r="582" spans="1:11" s="79" customFormat="1" x14ac:dyDescent="0.2">
      <c r="A582" s="16" t="s">
        <v>69</v>
      </c>
      <c r="B582" s="3" t="s">
        <v>100</v>
      </c>
      <c r="C582" s="3" t="s">
        <v>70</v>
      </c>
      <c r="D582" s="3" t="s">
        <v>109</v>
      </c>
      <c r="E582" s="3"/>
      <c r="F582" s="3"/>
      <c r="G582" s="107">
        <f t="shared" ref="G582:I583" si="118">G583</f>
        <v>320</v>
      </c>
      <c r="H582" s="107">
        <f t="shared" si="118"/>
        <v>0</v>
      </c>
      <c r="I582" s="107">
        <f t="shared" si="118"/>
        <v>320</v>
      </c>
      <c r="K582" s="85"/>
    </row>
    <row r="583" spans="1:11" s="79" customFormat="1" x14ac:dyDescent="0.2">
      <c r="A583" s="15" t="s">
        <v>246</v>
      </c>
      <c r="B583" s="3" t="s">
        <v>100</v>
      </c>
      <c r="C583" s="3" t="s">
        <v>70</v>
      </c>
      <c r="D583" s="3" t="s">
        <v>85</v>
      </c>
      <c r="E583" s="3"/>
      <c r="F583" s="3"/>
      <c r="G583" s="107">
        <f>G584</f>
        <v>320</v>
      </c>
      <c r="H583" s="107">
        <f t="shared" si="118"/>
        <v>0</v>
      </c>
      <c r="I583" s="107">
        <f t="shared" si="118"/>
        <v>320</v>
      </c>
      <c r="K583" s="85"/>
    </row>
    <row r="584" spans="1:11" s="79" customFormat="1" ht="38.25" x14ac:dyDescent="0.2">
      <c r="A584" s="5" t="s">
        <v>16</v>
      </c>
      <c r="B584" s="3" t="s">
        <v>100</v>
      </c>
      <c r="C584" s="3" t="s">
        <v>70</v>
      </c>
      <c r="D584" s="3" t="s">
        <v>85</v>
      </c>
      <c r="E584" s="3" t="s">
        <v>43</v>
      </c>
      <c r="F584" s="3"/>
      <c r="G584" s="107">
        <f>G585</f>
        <v>320</v>
      </c>
      <c r="H584" s="107">
        <f>H585</f>
        <v>0</v>
      </c>
      <c r="I584" s="107">
        <f>I585</f>
        <v>320</v>
      </c>
      <c r="K584" s="85"/>
    </row>
    <row r="585" spans="1:11" s="79" customFormat="1" ht="51" x14ac:dyDescent="0.2">
      <c r="A585" s="7" t="s">
        <v>223</v>
      </c>
      <c r="B585" s="3" t="s">
        <v>100</v>
      </c>
      <c r="C585" s="3" t="s">
        <v>70</v>
      </c>
      <c r="D585" s="3" t="s">
        <v>85</v>
      </c>
      <c r="E585" s="6" t="s">
        <v>273</v>
      </c>
      <c r="F585" s="3"/>
      <c r="G585" s="107">
        <f t="shared" ref="G585:I586" si="119">G586</f>
        <v>320</v>
      </c>
      <c r="H585" s="107">
        <f t="shared" si="119"/>
        <v>0</v>
      </c>
      <c r="I585" s="107">
        <f t="shared" si="119"/>
        <v>320</v>
      </c>
      <c r="K585" s="85"/>
    </row>
    <row r="586" spans="1:11" s="79" customFormat="1" ht="38.25" x14ac:dyDescent="0.2">
      <c r="A586" s="7" t="s">
        <v>274</v>
      </c>
      <c r="B586" s="3" t="s">
        <v>100</v>
      </c>
      <c r="C586" s="3" t="s">
        <v>70</v>
      </c>
      <c r="D586" s="3" t="s">
        <v>85</v>
      </c>
      <c r="E586" s="6" t="s">
        <v>275</v>
      </c>
      <c r="F586" s="3"/>
      <c r="G586" s="107">
        <f t="shared" si="119"/>
        <v>320</v>
      </c>
      <c r="H586" s="107">
        <f t="shared" si="119"/>
        <v>0</v>
      </c>
      <c r="I586" s="107">
        <f t="shared" si="119"/>
        <v>320</v>
      </c>
      <c r="K586" s="85"/>
    </row>
    <row r="587" spans="1:11" s="79" customFormat="1" ht="38.25" x14ac:dyDescent="0.2">
      <c r="A587" s="4" t="s">
        <v>61</v>
      </c>
      <c r="B587" s="3" t="s">
        <v>100</v>
      </c>
      <c r="C587" s="3" t="s">
        <v>70</v>
      </c>
      <c r="D587" s="3" t="s">
        <v>85</v>
      </c>
      <c r="E587" s="6" t="s">
        <v>275</v>
      </c>
      <c r="F587" s="3" t="s">
        <v>62</v>
      </c>
      <c r="G587" s="107">
        <v>320</v>
      </c>
      <c r="H587" s="107"/>
      <c r="I587" s="107">
        <f>G587+H587</f>
        <v>320</v>
      </c>
      <c r="J587" s="79">
        <v>320</v>
      </c>
      <c r="K587" s="85">
        <f t="shared" si="114"/>
        <v>0</v>
      </c>
    </row>
    <row r="588" spans="1:11" s="79" customFormat="1" x14ac:dyDescent="0.2">
      <c r="A588" s="4" t="s">
        <v>276</v>
      </c>
      <c r="B588" s="3" t="s">
        <v>100</v>
      </c>
      <c r="C588" s="3" t="s">
        <v>87</v>
      </c>
      <c r="D588" s="3"/>
      <c r="E588" s="3"/>
      <c r="F588" s="3"/>
      <c r="G588" s="107">
        <f>G589+G595</f>
        <v>2358.23</v>
      </c>
      <c r="H588" s="107">
        <f>H589+H595</f>
        <v>-16.110210000000002</v>
      </c>
      <c r="I588" s="107">
        <f>I589+I595</f>
        <v>2342.1197899999997</v>
      </c>
      <c r="K588" s="85"/>
    </row>
    <row r="589" spans="1:11" s="79" customFormat="1" x14ac:dyDescent="0.2">
      <c r="A589" s="15" t="s">
        <v>277</v>
      </c>
      <c r="B589" s="3" t="s">
        <v>100</v>
      </c>
      <c r="C589" s="3" t="s">
        <v>87</v>
      </c>
      <c r="D589" s="3" t="s">
        <v>15</v>
      </c>
      <c r="E589" s="3"/>
      <c r="F589" s="3"/>
      <c r="G589" s="107">
        <f>+G590</f>
        <v>625.5</v>
      </c>
      <c r="H589" s="107">
        <f>+H590</f>
        <v>0</v>
      </c>
      <c r="I589" s="107">
        <f>+I590</f>
        <v>625.5</v>
      </c>
      <c r="K589" s="85"/>
    </row>
    <row r="590" spans="1:11" s="79" customFormat="1" ht="38.25" x14ac:dyDescent="0.2">
      <c r="A590" s="5" t="s">
        <v>16</v>
      </c>
      <c r="B590" s="29" t="s">
        <v>100</v>
      </c>
      <c r="C590" s="29" t="s">
        <v>87</v>
      </c>
      <c r="D590" s="29" t="s">
        <v>15</v>
      </c>
      <c r="E590" s="29" t="s">
        <v>43</v>
      </c>
      <c r="F590" s="29"/>
      <c r="G590" s="107">
        <f t="shared" ref="G590:I591" si="120">G591</f>
        <v>625.5</v>
      </c>
      <c r="H590" s="107">
        <f t="shared" si="120"/>
        <v>0</v>
      </c>
      <c r="I590" s="107">
        <f t="shared" si="120"/>
        <v>625.5</v>
      </c>
      <c r="K590" s="85"/>
    </row>
    <row r="591" spans="1:11" s="79" customFormat="1" ht="36" customHeight="1" x14ac:dyDescent="0.2">
      <c r="A591" s="7" t="s">
        <v>237</v>
      </c>
      <c r="B591" s="29" t="s">
        <v>100</v>
      </c>
      <c r="C591" s="29" t="s">
        <v>87</v>
      </c>
      <c r="D591" s="29" t="s">
        <v>15</v>
      </c>
      <c r="E591" s="29" t="s">
        <v>147</v>
      </c>
      <c r="F591" s="29"/>
      <c r="G591" s="107">
        <f t="shared" si="120"/>
        <v>625.5</v>
      </c>
      <c r="H591" s="107">
        <f t="shared" si="120"/>
        <v>0</v>
      </c>
      <c r="I591" s="107">
        <f t="shared" si="120"/>
        <v>625.5</v>
      </c>
      <c r="K591" s="85"/>
    </row>
    <row r="592" spans="1:11" s="79" customFormat="1" ht="51" x14ac:dyDescent="0.2">
      <c r="A592" s="7" t="s">
        <v>278</v>
      </c>
      <c r="B592" s="29" t="s">
        <v>100</v>
      </c>
      <c r="C592" s="29" t="s">
        <v>87</v>
      </c>
      <c r="D592" s="29" t="s">
        <v>15</v>
      </c>
      <c r="E592" s="29" t="s">
        <v>279</v>
      </c>
      <c r="F592" s="29"/>
      <c r="G592" s="107">
        <f>G593+G594</f>
        <v>625.5</v>
      </c>
      <c r="H592" s="107">
        <f>H593+H594</f>
        <v>0</v>
      </c>
      <c r="I592" s="107">
        <f>I593+I594</f>
        <v>625.5</v>
      </c>
      <c r="K592" s="85"/>
    </row>
    <row r="593" spans="1:11" s="79" customFormat="1" ht="38.25" x14ac:dyDescent="0.2">
      <c r="A593" s="4" t="s">
        <v>55</v>
      </c>
      <c r="B593" s="29" t="s">
        <v>100</v>
      </c>
      <c r="C593" s="29" t="s">
        <v>87</v>
      </c>
      <c r="D593" s="29" t="s">
        <v>15</v>
      </c>
      <c r="E593" s="29" t="s">
        <v>279</v>
      </c>
      <c r="F593" s="29" t="s">
        <v>56</v>
      </c>
      <c r="G593" s="107">
        <v>87.5</v>
      </c>
      <c r="H593" s="107"/>
      <c r="I593" s="107">
        <f>G593++H593</f>
        <v>87.5</v>
      </c>
      <c r="J593" s="79">
        <v>87.5</v>
      </c>
      <c r="K593" s="85">
        <f t="shared" si="114"/>
        <v>0</v>
      </c>
    </row>
    <row r="594" spans="1:11" s="79" customFormat="1" ht="38.25" x14ac:dyDescent="0.2">
      <c r="A594" s="4" t="s">
        <v>61</v>
      </c>
      <c r="B594" s="3" t="s">
        <v>100</v>
      </c>
      <c r="C594" s="3" t="s">
        <v>87</v>
      </c>
      <c r="D594" s="3" t="s">
        <v>15</v>
      </c>
      <c r="E594" s="3" t="s">
        <v>279</v>
      </c>
      <c r="F594" s="3" t="s">
        <v>62</v>
      </c>
      <c r="G594" s="107">
        <v>538</v>
      </c>
      <c r="H594" s="107"/>
      <c r="I594" s="107">
        <f>G594++H594</f>
        <v>538</v>
      </c>
      <c r="J594" s="79">
        <v>538</v>
      </c>
      <c r="K594" s="85">
        <f t="shared" si="114"/>
        <v>0</v>
      </c>
    </row>
    <row r="595" spans="1:11" s="79" customFormat="1" ht="27.75" customHeight="1" x14ac:dyDescent="0.2">
      <c r="A595" s="93" t="s">
        <v>409</v>
      </c>
      <c r="B595" s="3" t="s">
        <v>100</v>
      </c>
      <c r="C595" s="3" t="s">
        <v>87</v>
      </c>
      <c r="D595" s="3" t="s">
        <v>42</v>
      </c>
      <c r="E595" s="3"/>
      <c r="F595" s="3"/>
      <c r="G595" s="107">
        <f t="shared" ref="G595:I596" si="121">G596</f>
        <v>1732.73</v>
      </c>
      <c r="H595" s="107">
        <f t="shared" si="121"/>
        <v>-16.110210000000002</v>
      </c>
      <c r="I595" s="107">
        <f t="shared" si="121"/>
        <v>1716.61979</v>
      </c>
      <c r="K595" s="85"/>
    </row>
    <row r="596" spans="1:11" s="79" customFormat="1" ht="38.25" x14ac:dyDescent="0.2">
      <c r="A596" s="5" t="s">
        <v>16</v>
      </c>
      <c r="B596" s="3" t="s">
        <v>100</v>
      </c>
      <c r="C596" s="3" t="s">
        <v>87</v>
      </c>
      <c r="D596" s="3" t="s">
        <v>42</v>
      </c>
      <c r="E596" s="3" t="s">
        <v>43</v>
      </c>
      <c r="F596" s="3"/>
      <c r="G596" s="107">
        <f t="shared" si="121"/>
        <v>1732.73</v>
      </c>
      <c r="H596" s="107">
        <f t="shared" si="121"/>
        <v>-16.110210000000002</v>
      </c>
      <c r="I596" s="107">
        <f t="shared" si="121"/>
        <v>1716.61979</v>
      </c>
      <c r="K596" s="85"/>
    </row>
    <row r="597" spans="1:11" s="79" customFormat="1" ht="43.5" customHeight="1" x14ac:dyDescent="0.2">
      <c r="A597" s="7" t="s">
        <v>237</v>
      </c>
      <c r="B597" s="3" t="s">
        <v>100</v>
      </c>
      <c r="C597" s="3" t="s">
        <v>87</v>
      </c>
      <c r="D597" s="3" t="s">
        <v>42</v>
      </c>
      <c r="E597" s="3" t="s">
        <v>147</v>
      </c>
      <c r="F597" s="3"/>
      <c r="G597" s="107">
        <f>G598+G601+G604</f>
        <v>1732.73</v>
      </c>
      <c r="H597" s="107">
        <f>H598+H601+H604</f>
        <v>-16.110210000000002</v>
      </c>
      <c r="I597" s="107">
        <f>I598+I601+I604</f>
        <v>1716.61979</v>
      </c>
      <c r="K597" s="85"/>
    </row>
    <row r="598" spans="1:11" s="79" customFormat="1" ht="38.25" x14ac:dyDescent="0.2">
      <c r="A598" s="7" t="s">
        <v>262</v>
      </c>
      <c r="B598" s="3" t="s">
        <v>100</v>
      </c>
      <c r="C598" s="3" t="s">
        <v>87</v>
      </c>
      <c r="D598" s="3" t="s">
        <v>42</v>
      </c>
      <c r="E598" s="3" t="s">
        <v>263</v>
      </c>
      <c r="F598" s="3"/>
      <c r="G598" s="107">
        <f t="shared" ref="G598:I599" si="122">G599</f>
        <v>402.51</v>
      </c>
      <c r="H598" s="107">
        <f t="shared" si="122"/>
        <v>0</v>
      </c>
      <c r="I598" s="107">
        <f t="shared" si="122"/>
        <v>402.51</v>
      </c>
      <c r="K598" s="85"/>
    </row>
    <row r="599" spans="1:11" s="79" customFormat="1" ht="25.5" x14ac:dyDescent="0.2">
      <c r="A599" s="7" t="s">
        <v>413</v>
      </c>
      <c r="B599" s="3" t="s">
        <v>100</v>
      </c>
      <c r="C599" s="3" t="s">
        <v>87</v>
      </c>
      <c r="D599" s="3" t="s">
        <v>42</v>
      </c>
      <c r="E599" s="3" t="s">
        <v>410</v>
      </c>
      <c r="F599" s="3"/>
      <c r="G599" s="107">
        <f t="shared" si="122"/>
        <v>402.51</v>
      </c>
      <c r="H599" s="107">
        <f t="shared" si="122"/>
        <v>0</v>
      </c>
      <c r="I599" s="107">
        <f t="shared" si="122"/>
        <v>402.51</v>
      </c>
      <c r="K599" s="85"/>
    </row>
    <row r="600" spans="1:11" s="79" customFormat="1" ht="51" x14ac:dyDescent="0.2">
      <c r="A600" s="4" t="s">
        <v>388</v>
      </c>
      <c r="B600" s="3" t="s">
        <v>100</v>
      </c>
      <c r="C600" s="3" t="s">
        <v>87</v>
      </c>
      <c r="D600" s="3" t="s">
        <v>42</v>
      </c>
      <c r="E600" s="3" t="s">
        <v>410</v>
      </c>
      <c r="F600" s="3" t="s">
        <v>24</v>
      </c>
      <c r="G600" s="107">
        <v>402.51</v>
      </c>
      <c r="H600" s="107"/>
      <c r="I600" s="107">
        <f>G600+H600</f>
        <v>402.51</v>
      </c>
      <c r="J600" s="79">
        <v>402.51</v>
      </c>
      <c r="K600" s="85">
        <f t="shared" si="114"/>
        <v>0</v>
      </c>
    </row>
    <row r="601" spans="1:11" s="79" customFormat="1" ht="38.25" x14ac:dyDescent="0.2">
      <c r="A601" s="7" t="s">
        <v>265</v>
      </c>
      <c r="B601" s="3" t="s">
        <v>100</v>
      </c>
      <c r="C601" s="3" t="s">
        <v>87</v>
      </c>
      <c r="D601" s="3" t="s">
        <v>42</v>
      </c>
      <c r="E601" s="3" t="s">
        <v>266</v>
      </c>
      <c r="F601" s="3"/>
      <c r="G601" s="107">
        <f t="shared" ref="G601:I602" si="123">G602</f>
        <v>1211.18</v>
      </c>
      <c r="H601" s="107">
        <f t="shared" si="123"/>
        <v>0</v>
      </c>
      <c r="I601" s="107">
        <f t="shared" si="123"/>
        <v>1211.18</v>
      </c>
      <c r="K601" s="85"/>
    </row>
    <row r="602" spans="1:11" s="79" customFormat="1" ht="25.5" x14ac:dyDescent="0.2">
      <c r="A602" s="7" t="s">
        <v>412</v>
      </c>
      <c r="B602" s="3" t="s">
        <v>100</v>
      </c>
      <c r="C602" s="3" t="s">
        <v>87</v>
      </c>
      <c r="D602" s="3" t="s">
        <v>42</v>
      </c>
      <c r="E602" s="3" t="s">
        <v>411</v>
      </c>
      <c r="F602" s="3"/>
      <c r="G602" s="107">
        <f t="shared" si="123"/>
        <v>1211.18</v>
      </c>
      <c r="H602" s="107">
        <f t="shared" si="123"/>
        <v>0</v>
      </c>
      <c r="I602" s="107">
        <f t="shared" si="123"/>
        <v>1211.18</v>
      </c>
      <c r="K602" s="85"/>
    </row>
    <row r="603" spans="1:11" s="79" customFormat="1" ht="51" x14ac:dyDescent="0.2">
      <c r="A603" s="4" t="s">
        <v>388</v>
      </c>
      <c r="B603" s="3" t="s">
        <v>100</v>
      </c>
      <c r="C603" s="3" t="s">
        <v>87</v>
      </c>
      <c r="D603" s="3" t="s">
        <v>42</v>
      </c>
      <c r="E603" s="3" t="s">
        <v>411</v>
      </c>
      <c r="F603" s="3" t="s">
        <v>24</v>
      </c>
      <c r="G603" s="107">
        <v>1211.18</v>
      </c>
      <c r="H603" s="107"/>
      <c r="I603" s="107">
        <f>G603+H603</f>
        <v>1211.18</v>
      </c>
      <c r="J603" s="79">
        <v>1211.18</v>
      </c>
      <c r="K603" s="85">
        <f t="shared" si="114"/>
        <v>0</v>
      </c>
    </row>
    <row r="604" spans="1:11" s="79" customFormat="1" ht="63.75" x14ac:dyDescent="0.2">
      <c r="A604" s="4" t="s">
        <v>270</v>
      </c>
      <c r="B604" s="3" t="s">
        <v>100</v>
      </c>
      <c r="C604" s="3" t="s">
        <v>87</v>
      </c>
      <c r="D604" s="3" t="s">
        <v>42</v>
      </c>
      <c r="E604" s="20" t="s">
        <v>416</v>
      </c>
      <c r="F604" s="3"/>
      <c r="G604" s="107">
        <f t="shared" ref="G604:I605" si="124">G605</f>
        <v>119.04</v>
      </c>
      <c r="H604" s="107">
        <f t="shared" si="124"/>
        <v>-16.110210000000002</v>
      </c>
      <c r="I604" s="107">
        <f t="shared" si="124"/>
        <v>102.92979</v>
      </c>
      <c r="K604" s="85"/>
    </row>
    <row r="605" spans="1:11" s="79" customFormat="1" ht="25.5" x14ac:dyDescent="0.2">
      <c r="A605" s="7" t="s">
        <v>414</v>
      </c>
      <c r="B605" s="3" t="s">
        <v>100</v>
      </c>
      <c r="C605" s="3" t="s">
        <v>87</v>
      </c>
      <c r="D605" s="3" t="s">
        <v>42</v>
      </c>
      <c r="E605" s="3" t="s">
        <v>415</v>
      </c>
      <c r="F605" s="3"/>
      <c r="G605" s="107">
        <f t="shared" si="124"/>
        <v>119.04</v>
      </c>
      <c r="H605" s="107">
        <f t="shared" si="124"/>
        <v>-16.110210000000002</v>
      </c>
      <c r="I605" s="107">
        <f t="shared" si="124"/>
        <v>102.92979</v>
      </c>
      <c r="K605" s="85"/>
    </row>
    <row r="606" spans="1:11" s="79" customFormat="1" ht="38.25" x14ac:dyDescent="0.2">
      <c r="A606" s="4" t="s">
        <v>53</v>
      </c>
      <c r="B606" s="3" t="s">
        <v>100</v>
      </c>
      <c r="C606" s="3" t="s">
        <v>87</v>
      </c>
      <c r="D606" s="3" t="s">
        <v>42</v>
      </c>
      <c r="E606" s="3" t="s">
        <v>415</v>
      </c>
      <c r="F606" s="3" t="s">
        <v>54</v>
      </c>
      <c r="G606" s="107">
        <v>119.04</v>
      </c>
      <c r="H606" s="107">
        <f>-5.38265-5.16535-5.56221</f>
        <v>-16.110210000000002</v>
      </c>
      <c r="I606" s="107">
        <f>G606+H606</f>
        <v>102.92979</v>
      </c>
      <c r="J606" s="79">
        <v>102.92979</v>
      </c>
      <c r="K606" s="85">
        <f t="shared" si="114"/>
        <v>0</v>
      </c>
    </row>
    <row r="607" spans="1:11" s="79" customFormat="1" ht="13.5" thickBot="1" x14ac:dyDescent="0.25">
      <c r="A607" s="30" t="s">
        <v>281</v>
      </c>
      <c r="B607" s="31"/>
      <c r="C607" s="31"/>
      <c r="D607" s="31"/>
      <c r="E607" s="31"/>
      <c r="F607" s="31"/>
      <c r="G607" s="113">
        <f>G10+G103+G245+G514</f>
        <v>430564.02997000003</v>
      </c>
      <c r="H607" s="113">
        <f>H10+H103+H245+H514</f>
        <v>17143.900000000001</v>
      </c>
      <c r="I607" s="113">
        <f>I10+I103+I245+I514</f>
        <v>447707.92997000006</v>
      </c>
      <c r="J607" s="79">
        <f>SUM(J11:J606)</f>
        <v>441943.06930000009</v>
      </c>
      <c r="K607" s="85" t="e">
        <f>SUM(K16:K606)</f>
        <v>#REF!</v>
      </c>
    </row>
    <row r="608" spans="1:11" s="79" customFormat="1" x14ac:dyDescent="0.2">
      <c r="A608" s="55"/>
      <c r="B608" s="55"/>
      <c r="C608" s="55"/>
      <c r="D608" s="55"/>
      <c r="E608" s="55"/>
      <c r="F608" s="55"/>
      <c r="G608" s="79">
        <v>430564.02996999997</v>
      </c>
      <c r="H608" s="79">
        <v>17143.900000000001</v>
      </c>
      <c r="I608" s="79">
        <f>G608+H608</f>
        <v>447707.92997</v>
      </c>
    </row>
    <row r="609" spans="1:10" s="79" customFormat="1" x14ac:dyDescent="0.2">
      <c r="A609" s="55"/>
      <c r="B609" s="80"/>
      <c r="C609" s="80"/>
      <c r="D609" s="80"/>
      <c r="E609" s="80"/>
      <c r="F609" s="80"/>
      <c r="G609" s="79">
        <f>G608-G607</f>
        <v>0</v>
      </c>
      <c r="I609" s="79">
        <f>I608-I607</f>
        <v>0</v>
      </c>
      <c r="J609" s="79">
        <f>J608-J607</f>
        <v>-441943.06930000009</v>
      </c>
    </row>
    <row r="610" spans="1:10" s="79" customFormat="1" ht="14.25" x14ac:dyDescent="0.2">
      <c r="A610" s="55"/>
      <c r="B610" s="81"/>
      <c r="C610" s="81"/>
      <c r="D610" s="81"/>
      <c r="E610" s="61" t="s">
        <v>282</v>
      </c>
      <c r="F610" s="62"/>
      <c r="G610" s="107">
        <f>G104+G246+G515+G152</f>
        <v>27625.01525</v>
      </c>
      <c r="H610" s="107">
        <f>H104+H246+H515+H152</f>
        <v>-79.149620000000027</v>
      </c>
      <c r="I610" s="107">
        <f>I104+I246+I515+I152</f>
        <v>27545.865630000008</v>
      </c>
    </row>
    <row r="611" spans="1:10" s="79" customFormat="1" ht="15" x14ac:dyDescent="0.25">
      <c r="A611" s="55"/>
      <c r="B611" s="81"/>
      <c r="C611" s="81"/>
      <c r="D611" s="81"/>
      <c r="E611" s="65" t="s">
        <v>15</v>
      </c>
      <c r="F611" s="66" t="s">
        <v>29</v>
      </c>
      <c r="G611" s="107">
        <f>G247</f>
        <v>1371.02</v>
      </c>
      <c r="H611" s="107">
        <f>H247</f>
        <v>-14.2</v>
      </c>
      <c r="I611" s="107">
        <f>I247</f>
        <v>1356.82</v>
      </c>
    </row>
    <row r="612" spans="1:10" s="79" customFormat="1" ht="15" x14ac:dyDescent="0.25">
      <c r="A612" s="55"/>
      <c r="B612" s="82">
        <v>2015</v>
      </c>
      <c r="C612" s="82">
        <v>2016</v>
      </c>
      <c r="D612" s="82">
        <v>2017</v>
      </c>
      <c r="E612" s="65" t="s">
        <v>15</v>
      </c>
      <c r="F612" s="66" t="s">
        <v>111</v>
      </c>
      <c r="G612" s="107">
        <f>G251</f>
        <v>1823.3938499999999</v>
      </c>
      <c r="H612" s="107">
        <f>H251</f>
        <v>0</v>
      </c>
      <c r="I612" s="107">
        <f>I251</f>
        <v>1823.3938499999999</v>
      </c>
    </row>
    <row r="613" spans="1:10" s="79" customFormat="1" ht="15" x14ac:dyDescent="0.25">
      <c r="A613" s="55" t="s">
        <v>283</v>
      </c>
      <c r="B613" s="83"/>
      <c r="C613" s="83"/>
      <c r="D613" s="83"/>
      <c r="E613" s="65" t="s">
        <v>15</v>
      </c>
      <c r="F613" s="66" t="s">
        <v>72</v>
      </c>
      <c r="G613" s="107">
        <f>G105+G259+G516+G153</f>
        <v>18353.557400000002</v>
      </c>
      <c r="H613" s="107">
        <f>H105+H259+H516+H153</f>
        <v>-188.88733000000002</v>
      </c>
      <c r="I613" s="107">
        <f>I105+I259+I516+I153</f>
        <v>18164.670070000004</v>
      </c>
    </row>
    <row r="614" spans="1:10" s="79" customFormat="1" ht="15" x14ac:dyDescent="0.25">
      <c r="A614" s="55" t="s">
        <v>284</v>
      </c>
      <c r="B614" s="83"/>
      <c r="C614" s="83"/>
      <c r="D614" s="83"/>
      <c r="E614" s="65" t="s">
        <v>15</v>
      </c>
      <c r="F614" s="66" t="s">
        <v>42</v>
      </c>
      <c r="G614" s="107"/>
      <c r="H614" s="107"/>
      <c r="I614" s="107"/>
    </row>
    <row r="615" spans="1:10" s="79" customFormat="1" ht="15" x14ac:dyDescent="0.25">
      <c r="A615" s="55" t="s">
        <v>285</v>
      </c>
      <c r="B615" s="83"/>
      <c r="C615" s="83"/>
      <c r="D615" s="83"/>
      <c r="E615" s="65" t="s">
        <v>15</v>
      </c>
      <c r="F615" s="66" t="s">
        <v>85</v>
      </c>
      <c r="G615" s="107">
        <f>G110+G282</f>
        <v>4623.33</v>
      </c>
      <c r="H615" s="107">
        <f>H110+H282</f>
        <v>295.25171</v>
      </c>
      <c r="I615" s="107">
        <f>I110+I282</f>
        <v>4918.5817100000004</v>
      </c>
    </row>
    <row r="616" spans="1:10" s="79" customFormat="1" ht="15" x14ac:dyDescent="0.25">
      <c r="A616" s="55" t="s">
        <v>286</v>
      </c>
      <c r="B616" s="83"/>
      <c r="C616" s="83"/>
      <c r="D616" s="83"/>
      <c r="E616" s="65" t="s">
        <v>15</v>
      </c>
      <c r="F616" s="66" t="s">
        <v>13</v>
      </c>
      <c r="G616" s="107">
        <f>G289</f>
        <v>183</v>
      </c>
      <c r="H616" s="107">
        <f>H289</f>
        <v>0</v>
      </c>
      <c r="I616" s="107">
        <f>I289</f>
        <v>183</v>
      </c>
    </row>
    <row r="617" spans="1:10" s="79" customFormat="1" ht="15" x14ac:dyDescent="0.25">
      <c r="A617" s="55" t="s">
        <v>287</v>
      </c>
      <c r="B617" s="83"/>
      <c r="C617" s="81"/>
      <c r="D617" s="81"/>
      <c r="E617" s="65" t="s">
        <v>15</v>
      </c>
      <c r="F617" s="66" t="s">
        <v>87</v>
      </c>
      <c r="G617" s="107">
        <f>G126</f>
        <v>189.114</v>
      </c>
      <c r="H617" s="107">
        <f>H126</f>
        <v>-189.114</v>
      </c>
      <c r="I617" s="107">
        <f>I126</f>
        <v>0</v>
      </c>
    </row>
    <row r="618" spans="1:10" s="79" customFormat="1" ht="15" x14ac:dyDescent="0.25">
      <c r="A618" s="55"/>
      <c r="B618" s="81"/>
      <c r="C618" s="81"/>
      <c r="D618" s="81"/>
      <c r="E618" s="65" t="s">
        <v>15</v>
      </c>
      <c r="F618" s="66" t="s">
        <v>94</v>
      </c>
      <c r="G618" s="107">
        <f>G293</f>
        <v>1081.5999999999999</v>
      </c>
      <c r="H618" s="107">
        <f>H293</f>
        <v>17.799999999999997</v>
      </c>
      <c r="I618" s="107">
        <f>I293</f>
        <v>1099.4000000000001</v>
      </c>
    </row>
    <row r="619" spans="1:10" s="79" customFormat="1" ht="12.75" customHeight="1" x14ac:dyDescent="0.2">
      <c r="A619" s="55"/>
      <c r="B619" s="81"/>
      <c r="C619" s="81"/>
      <c r="D619" s="81"/>
      <c r="E619" s="58" t="s">
        <v>288</v>
      </c>
      <c r="F619" s="59"/>
      <c r="G619" s="107">
        <f t="shared" ref="G619:I620" si="125">G157</f>
        <v>465.2</v>
      </c>
      <c r="H619" s="107">
        <f t="shared" si="125"/>
        <v>52</v>
      </c>
      <c r="I619" s="107">
        <f t="shared" si="125"/>
        <v>517.20000000000005</v>
      </c>
    </row>
    <row r="620" spans="1:10" s="79" customFormat="1" ht="15" x14ac:dyDescent="0.25">
      <c r="A620" s="55"/>
      <c r="B620" s="81"/>
      <c r="C620" s="81"/>
      <c r="D620" s="81"/>
      <c r="E620" s="65" t="s">
        <v>29</v>
      </c>
      <c r="F620" s="66" t="s">
        <v>111</v>
      </c>
      <c r="G620" s="107">
        <f t="shared" si="125"/>
        <v>465.2</v>
      </c>
      <c r="H620" s="107">
        <f t="shared" si="125"/>
        <v>52</v>
      </c>
      <c r="I620" s="107">
        <f t="shared" si="125"/>
        <v>517.20000000000005</v>
      </c>
    </row>
    <row r="621" spans="1:10" s="79" customFormat="1" ht="12.75" customHeight="1" x14ac:dyDescent="0.2">
      <c r="A621" s="55"/>
      <c r="B621" s="81"/>
      <c r="C621" s="81"/>
      <c r="D621" s="81"/>
      <c r="E621" s="58" t="s">
        <v>289</v>
      </c>
      <c r="F621" s="60"/>
      <c r="G621" s="107">
        <f>G314+G163</f>
        <v>1200.3809000000001</v>
      </c>
      <c r="H621" s="107">
        <f>H314+H163</f>
        <v>354.85133000000002</v>
      </c>
      <c r="I621" s="107">
        <f>I314+I163</f>
        <v>1555.2322300000001</v>
      </c>
    </row>
    <row r="622" spans="1:10" s="79" customFormat="1" ht="15" x14ac:dyDescent="0.25">
      <c r="A622" s="55"/>
      <c r="B622" s="81"/>
      <c r="C622" s="81"/>
      <c r="D622" s="81"/>
      <c r="E622" s="65" t="s">
        <v>111</v>
      </c>
      <c r="F622" s="66" t="s">
        <v>29</v>
      </c>
      <c r="G622" s="107"/>
      <c r="H622" s="107"/>
      <c r="I622" s="107"/>
    </row>
    <row r="623" spans="1:10" s="79" customFormat="1" ht="15" x14ac:dyDescent="0.25">
      <c r="A623" s="55"/>
      <c r="B623" s="81"/>
      <c r="C623" s="81"/>
      <c r="D623" s="81"/>
      <c r="E623" s="65" t="s">
        <v>111</v>
      </c>
      <c r="F623" s="66" t="s">
        <v>50</v>
      </c>
      <c r="G623" s="107">
        <f>G315+G164</f>
        <v>930.08090000000004</v>
      </c>
      <c r="H623" s="107">
        <f>H315+H164</f>
        <v>365.15133000000003</v>
      </c>
      <c r="I623" s="107">
        <f>I315+I164</f>
        <v>1295.2322300000001</v>
      </c>
    </row>
    <row r="624" spans="1:10" ht="15" x14ac:dyDescent="0.25">
      <c r="B624" s="81"/>
      <c r="C624" s="81"/>
      <c r="D624" s="81"/>
      <c r="E624" s="65" t="s">
        <v>111</v>
      </c>
      <c r="F624" s="66" t="s">
        <v>117</v>
      </c>
      <c r="G624" s="107">
        <f>G330</f>
        <v>270.3</v>
      </c>
      <c r="H624" s="107">
        <f>H330</f>
        <v>-10.3</v>
      </c>
      <c r="I624" s="107">
        <f>I330</f>
        <v>260</v>
      </c>
    </row>
    <row r="625" spans="2:9" ht="12.75" customHeight="1" x14ac:dyDescent="0.2">
      <c r="B625" s="81"/>
      <c r="C625" s="81"/>
      <c r="D625" s="81"/>
      <c r="E625" s="58" t="s">
        <v>290</v>
      </c>
      <c r="F625" s="59"/>
      <c r="G625" s="107">
        <f>G342+G172+G137</f>
        <v>10136.887860000001</v>
      </c>
      <c r="H625" s="107">
        <f>H342+H172+H137</f>
        <v>1458.7238</v>
      </c>
      <c r="I625" s="107">
        <f>I342+I172+I137</f>
        <v>11595.611659999999</v>
      </c>
    </row>
    <row r="626" spans="2:9" ht="15" x14ac:dyDescent="0.25">
      <c r="B626" s="81"/>
      <c r="C626" s="81"/>
      <c r="D626" s="81"/>
      <c r="E626" s="65" t="s">
        <v>72</v>
      </c>
      <c r="F626" s="66" t="s">
        <v>15</v>
      </c>
      <c r="G626" s="107"/>
      <c r="H626" s="107"/>
      <c r="I626" s="107"/>
    </row>
    <row r="627" spans="2:9" ht="15" x14ac:dyDescent="0.25">
      <c r="B627" s="81"/>
      <c r="C627" s="81"/>
      <c r="D627" s="81"/>
      <c r="E627" s="65" t="s">
        <v>72</v>
      </c>
      <c r="F627" s="66" t="s">
        <v>42</v>
      </c>
      <c r="G627" s="107">
        <f>G343</f>
        <v>885.8</v>
      </c>
      <c r="H627" s="107">
        <f>H343</f>
        <v>-69.900000000000006</v>
      </c>
      <c r="I627" s="107">
        <f>I343</f>
        <v>815.90000000000009</v>
      </c>
    </row>
    <row r="628" spans="2:9" ht="15" x14ac:dyDescent="0.25">
      <c r="B628" s="81"/>
      <c r="C628" s="81"/>
      <c r="D628" s="81"/>
      <c r="E628" s="65" t="s">
        <v>72</v>
      </c>
      <c r="F628" s="66" t="s">
        <v>50</v>
      </c>
      <c r="G628" s="107">
        <f>G358+G173</f>
        <v>3230.0571099999997</v>
      </c>
      <c r="H628" s="107">
        <f>H358+H173</f>
        <v>460</v>
      </c>
      <c r="I628" s="107">
        <f>I358+I173</f>
        <v>3690.0571099999997</v>
      </c>
    </row>
    <row r="629" spans="2:9" ht="15" x14ac:dyDescent="0.25">
      <c r="B629" s="81"/>
      <c r="C629" s="81"/>
      <c r="D629" s="81"/>
      <c r="E629" s="65" t="s">
        <v>72</v>
      </c>
      <c r="F629" s="66" t="s">
        <v>98</v>
      </c>
      <c r="G629" s="107">
        <f>G363+G182+G138</f>
        <v>6021.0307499999999</v>
      </c>
      <c r="H629" s="107">
        <f>H363+H182+H138</f>
        <v>1068.6237999999998</v>
      </c>
      <c r="I629" s="107">
        <f>I363+I182+I138</f>
        <v>7089.6545499999993</v>
      </c>
    </row>
    <row r="630" spans="2:9" ht="12.75" customHeight="1" x14ac:dyDescent="0.2">
      <c r="B630" s="81"/>
      <c r="C630" s="81"/>
      <c r="D630" s="81"/>
      <c r="E630" s="58" t="s">
        <v>291</v>
      </c>
      <c r="F630" s="59"/>
      <c r="G630" s="107">
        <f>G385+G186</f>
        <v>11703.48143</v>
      </c>
      <c r="H630" s="107">
        <f>H385+H186</f>
        <v>34.776200000000017</v>
      </c>
      <c r="I630" s="107">
        <f>I385+I186</f>
        <v>11738.25763</v>
      </c>
    </row>
    <row r="631" spans="2:9" ht="15" x14ac:dyDescent="0.25">
      <c r="B631" s="81"/>
      <c r="C631" s="81"/>
      <c r="D631" s="81"/>
      <c r="E631" s="65" t="s">
        <v>42</v>
      </c>
      <c r="F631" s="66" t="s">
        <v>15</v>
      </c>
      <c r="G631" s="107">
        <f>G386</f>
        <v>0</v>
      </c>
      <c r="H631" s="107">
        <f>H386</f>
        <v>0</v>
      </c>
      <c r="I631" s="107">
        <f>I386</f>
        <v>0</v>
      </c>
    </row>
    <row r="632" spans="2:9" ht="15" x14ac:dyDescent="0.25">
      <c r="B632" s="81"/>
      <c r="C632" s="81"/>
      <c r="D632" s="81"/>
      <c r="E632" s="65" t="s">
        <v>42</v>
      </c>
      <c r="F632" s="66" t="s">
        <v>29</v>
      </c>
      <c r="G632" s="107">
        <f>G387+G187</f>
        <v>8767.4345400000002</v>
      </c>
      <c r="H632" s="107">
        <f>H387+H187</f>
        <v>129.77620000000002</v>
      </c>
      <c r="I632" s="107">
        <f>I387+I187</f>
        <v>8897.2107400000004</v>
      </c>
    </row>
    <row r="633" spans="2:9" ht="15" x14ac:dyDescent="0.25">
      <c r="B633" s="81"/>
      <c r="C633" s="81"/>
      <c r="D633" s="81"/>
      <c r="E633" s="65" t="s">
        <v>42</v>
      </c>
      <c r="F633" s="66" t="s">
        <v>111</v>
      </c>
      <c r="G633" s="107">
        <f>G413+G195</f>
        <v>2936.0468900000001</v>
      </c>
      <c r="H633" s="107">
        <f>H413+H195</f>
        <v>-95</v>
      </c>
      <c r="I633" s="107">
        <f>I413+I195</f>
        <v>2841.0468900000001</v>
      </c>
    </row>
    <row r="634" spans="2:9" ht="14.25" x14ac:dyDescent="0.2">
      <c r="B634" s="81"/>
      <c r="C634" s="81"/>
      <c r="D634" s="81"/>
      <c r="E634" s="61" t="s">
        <v>292</v>
      </c>
      <c r="F634" s="63"/>
      <c r="G634" s="107">
        <f t="shared" ref="G634:I635" si="126">G420</f>
        <v>0</v>
      </c>
      <c r="H634" s="107">
        <f t="shared" si="126"/>
        <v>0</v>
      </c>
      <c r="I634" s="107">
        <f t="shared" si="126"/>
        <v>0</v>
      </c>
    </row>
    <row r="635" spans="2:9" ht="15" x14ac:dyDescent="0.25">
      <c r="B635" s="81"/>
      <c r="C635" s="81"/>
      <c r="D635" s="81"/>
      <c r="E635" s="65" t="s">
        <v>85</v>
      </c>
      <c r="F635" s="66" t="s">
        <v>42</v>
      </c>
      <c r="G635" s="107">
        <f t="shared" si="126"/>
        <v>0</v>
      </c>
      <c r="H635" s="107">
        <f t="shared" si="126"/>
        <v>0</v>
      </c>
      <c r="I635" s="107">
        <f t="shared" si="126"/>
        <v>0</v>
      </c>
    </row>
    <row r="636" spans="2:9" ht="12.75" customHeight="1" x14ac:dyDescent="0.2">
      <c r="B636" s="81"/>
      <c r="C636" s="81"/>
      <c r="D636" s="81"/>
      <c r="E636" s="58" t="s">
        <v>293</v>
      </c>
      <c r="F636" s="59"/>
      <c r="G636" s="107">
        <f>G11+G426+G520</f>
        <v>295212.06106000004</v>
      </c>
      <c r="H636" s="107">
        <f>H11+H426+H520</f>
        <v>14503.385999999999</v>
      </c>
      <c r="I636" s="107">
        <f>I11+I426+I520</f>
        <v>309715.44706000003</v>
      </c>
    </row>
    <row r="637" spans="2:9" ht="15" x14ac:dyDescent="0.25">
      <c r="B637" s="81"/>
      <c r="C637" s="81"/>
      <c r="D637" s="81"/>
      <c r="E637" s="65" t="s">
        <v>13</v>
      </c>
      <c r="F637" s="66" t="s">
        <v>15</v>
      </c>
      <c r="G637" s="107">
        <f>G12+G427</f>
        <v>14768.101760000001</v>
      </c>
      <c r="H637" s="107">
        <f>H12+H427</f>
        <v>1202.52108</v>
      </c>
      <c r="I637" s="107">
        <f>I12+I427</f>
        <v>15970.622840000002</v>
      </c>
    </row>
    <row r="638" spans="2:9" ht="15" x14ac:dyDescent="0.25">
      <c r="B638" s="81"/>
      <c r="C638" s="81"/>
      <c r="D638" s="81"/>
      <c r="E638" s="65" t="s">
        <v>13</v>
      </c>
      <c r="F638" s="66" t="s">
        <v>29</v>
      </c>
      <c r="G638" s="107">
        <f>G30+G432+G521</f>
        <v>269091.26750000002</v>
      </c>
      <c r="H638" s="107">
        <f>H30+H432+H521</f>
        <v>12324.79768</v>
      </c>
      <c r="I638" s="107">
        <f>I30+I432+I521</f>
        <v>281416.06518000003</v>
      </c>
    </row>
    <row r="639" spans="2:9" ht="15" x14ac:dyDescent="0.25">
      <c r="B639" s="81"/>
      <c r="C639" s="81"/>
      <c r="D639" s="81"/>
      <c r="E639" s="65" t="s">
        <v>13</v>
      </c>
      <c r="F639" s="66" t="s">
        <v>42</v>
      </c>
      <c r="G639" s="107">
        <f>G64</f>
        <v>635.49099999999999</v>
      </c>
      <c r="H639" s="107">
        <f>H64</f>
        <v>-30.46</v>
      </c>
      <c r="I639" s="107">
        <f>I64</f>
        <v>605.03099999999995</v>
      </c>
    </row>
    <row r="640" spans="2:9" ht="15" x14ac:dyDescent="0.25">
      <c r="B640" s="81"/>
      <c r="C640" s="81"/>
      <c r="D640" s="81"/>
      <c r="E640" s="65" t="s">
        <v>13</v>
      </c>
      <c r="F640" s="66" t="s">
        <v>13</v>
      </c>
      <c r="G640" s="107">
        <f>G70+G531</f>
        <v>1912.0718000000002</v>
      </c>
      <c r="H640" s="107">
        <f>H70+H531</f>
        <v>0</v>
      </c>
      <c r="I640" s="107">
        <f>I70+I531</f>
        <v>1912.0718000000002</v>
      </c>
    </row>
    <row r="641" spans="2:9" ht="15" x14ac:dyDescent="0.25">
      <c r="B641" s="81"/>
      <c r="C641" s="81"/>
      <c r="D641" s="81"/>
      <c r="E641" s="65" t="s">
        <v>13</v>
      </c>
      <c r="F641" s="66" t="s">
        <v>50</v>
      </c>
      <c r="G641" s="107">
        <f>G78</f>
        <v>8805.1290000000008</v>
      </c>
      <c r="H641" s="107">
        <f>H78</f>
        <v>1006.5272399999999</v>
      </c>
      <c r="I641" s="107">
        <f>I78</f>
        <v>9811.6562399999984</v>
      </c>
    </row>
    <row r="642" spans="2:9" ht="12.75" customHeight="1" x14ac:dyDescent="0.2">
      <c r="B642" s="81"/>
      <c r="C642" s="81"/>
      <c r="D642" s="81"/>
      <c r="E642" s="58" t="s">
        <v>294</v>
      </c>
      <c r="F642" s="59"/>
      <c r="G642" s="107">
        <f t="shared" ref="G642:I643" si="127">G538+G207</f>
        <v>25597.129769999996</v>
      </c>
      <c r="H642" s="107">
        <f t="shared" si="127"/>
        <v>-339.87579000000005</v>
      </c>
      <c r="I642" s="107">
        <f t="shared" si="127"/>
        <v>25257.253980000001</v>
      </c>
    </row>
    <row r="643" spans="2:9" ht="15" x14ac:dyDescent="0.25">
      <c r="B643" s="81"/>
      <c r="C643" s="81"/>
      <c r="D643" s="81"/>
      <c r="E643" s="65" t="s">
        <v>260</v>
      </c>
      <c r="F643" s="66" t="s">
        <v>15</v>
      </c>
      <c r="G643" s="107">
        <f t="shared" si="127"/>
        <v>23609.179769999995</v>
      </c>
      <c r="H643" s="107">
        <f t="shared" si="127"/>
        <v>-1464.3910000000001</v>
      </c>
      <c r="I643" s="107">
        <f t="shared" si="127"/>
        <v>22144.788770000003</v>
      </c>
    </row>
    <row r="644" spans="2:9" ht="15" x14ac:dyDescent="0.25">
      <c r="B644" s="81"/>
      <c r="C644" s="81"/>
      <c r="D644" s="81"/>
      <c r="E644" s="65" t="s">
        <v>260</v>
      </c>
      <c r="F644" s="66" t="s">
        <v>72</v>
      </c>
      <c r="G644" s="107">
        <f>G562</f>
        <v>1987.9499999999998</v>
      </c>
      <c r="H644" s="107">
        <f>H562</f>
        <v>1124.51521</v>
      </c>
      <c r="I644" s="107">
        <f>I562</f>
        <v>3112.4652099999998</v>
      </c>
    </row>
    <row r="645" spans="2:9" ht="12.75" customHeight="1" x14ac:dyDescent="0.2">
      <c r="B645" s="81"/>
      <c r="C645" s="81"/>
      <c r="D645" s="81"/>
      <c r="E645" s="58" t="s">
        <v>295</v>
      </c>
      <c r="F645" s="59"/>
      <c r="G645" s="107">
        <f t="shared" ref="G645:I646" si="128">G449</f>
        <v>7007.4</v>
      </c>
      <c r="H645" s="107">
        <f t="shared" si="128"/>
        <v>-10</v>
      </c>
      <c r="I645" s="107">
        <f t="shared" si="128"/>
        <v>6997.4</v>
      </c>
    </row>
    <row r="646" spans="2:9" ht="15" x14ac:dyDescent="0.25">
      <c r="B646" s="81"/>
      <c r="C646" s="81"/>
      <c r="D646" s="81"/>
      <c r="E646" s="65" t="s">
        <v>50</v>
      </c>
      <c r="F646" s="66" t="s">
        <v>15</v>
      </c>
      <c r="G646" s="107">
        <f t="shared" si="128"/>
        <v>6482.4</v>
      </c>
      <c r="H646" s="107">
        <f t="shared" si="128"/>
        <v>0</v>
      </c>
      <c r="I646" s="107">
        <f t="shared" si="128"/>
        <v>6482.4</v>
      </c>
    </row>
    <row r="647" spans="2:9" ht="15" x14ac:dyDescent="0.25">
      <c r="B647" s="81"/>
      <c r="C647" s="81"/>
      <c r="D647" s="81"/>
      <c r="E647" s="65" t="s">
        <v>50</v>
      </c>
      <c r="F647" s="66" t="s">
        <v>29</v>
      </c>
      <c r="G647" s="107"/>
      <c r="H647" s="107"/>
      <c r="I647" s="107"/>
    </row>
    <row r="648" spans="2:9" ht="15" x14ac:dyDescent="0.25">
      <c r="B648" s="81"/>
      <c r="C648" s="81"/>
      <c r="D648" s="81"/>
      <c r="E648" s="65" t="s">
        <v>50</v>
      </c>
      <c r="F648" s="66" t="s">
        <v>72</v>
      </c>
      <c r="G648" s="107"/>
      <c r="H648" s="107"/>
      <c r="I648" s="107"/>
    </row>
    <row r="649" spans="2:9" ht="15" x14ac:dyDescent="0.25">
      <c r="B649" s="81"/>
      <c r="C649" s="81"/>
      <c r="D649" s="81"/>
      <c r="E649" s="65" t="s">
        <v>50</v>
      </c>
      <c r="F649" s="66" t="s">
        <v>50</v>
      </c>
      <c r="G649" s="107">
        <f>G456</f>
        <v>525</v>
      </c>
      <c r="H649" s="107">
        <f>H456</f>
        <v>-10</v>
      </c>
      <c r="I649" s="107">
        <f>I456</f>
        <v>515</v>
      </c>
    </row>
    <row r="650" spans="2:9" ht="12.75" customHeight="1" x14ac:dyDescent="0.2">
      <c r="B650" s="81"/>
      <c r="C650" s="81"/>
      <c r="D650" s="81"/>
      <c r="E650" s="58" t="s">
        <v>296</v>
      </c>
      <c r="F650" s="59"/>
      <c r="G650" s="107">
        <f>G97+G465+G582</f>
        <v>16955.672699999999</v>
      </c>
      <c r="H650" s="107">
        <f>H97+H465+H582</f>
        <v>-65.2</v>
      </c>
      <c r="I650" s="107">
        <f>I97+I465+I582</f>
        <v>16890.472699999998</v>
      </c>
    </row>
    <row r="651" spans="2:9" ht="15" x14ac:dyDescent="0.25">
      <c r="B651" s="81"/>
      <c r="C651" s="81"/>
      <c r="D651" s="81"/>
      <c r="E651" s="65" t="s">
        <v>70</v>
      </c>
      <c r="F651" s="66" t="s">
        <v>15</v>
      </c>
      <c r="G651" s="107">
        <f>G466</f>
        <v>103.19</v>
      </c>
      <c r="H651" s="107">
        <f>H466</f>
        <v>0</v>
      </c>
      <c r="I651" s="107">
        <f>I466</f>
        <v>103.19</v>
      </c>
    </row>
    <row r="652" spans="2:9" ht="15" x14ac:dyDescent="0.25">
      <c r="B652" s="81"/>
      <c r="C652" s="81"/>
      <c r="D652" s="81"/>
      <c r="E652" s="65" t="s">
        <v>70</v>
      </c>
      <c r="F652" s="66" t="s">
        <v>29</v>
      </c>
      <c r="G652" s="107"/>
      <c r="H652" s="107"/>
      <c r="I652" s="107"/>
    </row>
    <row r="653" spans="2:9" ht="15" x14ac:dyDescent="0.25">
      <c r="B653" s="81"/>
      <c r="C653" s="81"/>
      <c r="D653" s="81"/>
      <c r="E653" s="65" t="s">
        <v>70</v>
      </c>
      <c r="F653" s="66" t="s">
        <v>111</v>
      </c>
      <c r="G653" s="107">
        <f>G470</f>
        <v>5347.9521999999997</v>
      </c>
      <c r="H653" s="107">
        <f>H470</f>
        <v>0</v>
      </c>
      <c r="I653" s="107">
        <f>I470</f>
        <v>5347.9521999999997</v>
      </c>
    </row>
    <row r="654" spans="2:9" ht="15" x14ac:dyDescent="0.25">
      <c r="B654" s="81"/>
      <c r="C654" s="81"/>
      <c r="D654" s="81"/>
      <c r="E654" s="65" t="s">
        <v>70</v>
      </c>
      <c r="F654" s="66" t="s">
        <v>72</v>
      </c>
      <c r="G654" s="107">
        <f>G98+G497</f>
        <v>10831.530499999999</v>
      </c>
      <c r="H654" s="107">
        <f>H98+H497</f>
        <v>-85.2</v>
      </c>
      <c r="I654" s="107">
        <f>I98+I497</f>
        <v>10746.3305</v>
      </c>
    </row>
    <row r="655" spans="2:9" ht="15" x14ac:dyDescent="0.25">
      <c r="B655" s="81"/>
      <c r="C655" s="81"/>
      <c r="D655" s="81"/>
      <c r="E655" s="65" t="s">
        <v>70</v>
      </c>
      <c r="F655" s="66" t="s">
        <v>85</v>
      </c>
      <c r="G655" s="107">
        <f>G583+G501</f>
        <v>673</v>
      </c>
      <c r="H655" s="107">
        <f>H583+H501</f>
        <v>20</v>
      </c>
      <c r="I655" s="107">
        <f>I583+I501</f>
        <v>693</v>
      </c>
    </row>
    <row r="656" spans="2:9" ht="12.75" customHeight="1" x14ac:dyDescent="0.2">
      <c r="B656" s="81"/>
      <c r="C656" s="81"/>
      <c r="D656" s="81"/>
      <c r="E656" s="58" t="s">
        <v>297</v>
      </c>
      <c r="F656" s="59"/>
      <c r="G656" s="107">
        <f>G588</f>
        <v>2358.23</v>
      </c>
      <c r="H656" s="107">
        <f t="shared" ref="G656:I657" si="129">H588</f>
        <v>-16.110210000000002</v>
      </c>
      <c r="I656" s="107">
        <f t="shared" si="129"/>
        <v>2342.1197899999997</v>
      </c>
    </row>
    <row r="657" spans="2:9" ht="15" x14ac:dyDescent="0.25">
      <c r="B657" s="81"/>
      <c r="C657" s="81"/>
      <c r="D657" s="81"/>
      <c r="E657" s="65" t="s">
        <v>87</v>
      </c>
      <c r="F657" s="66" t="s">
        <v>15</v>
      </c>
      <c r="G657" s="107">
        <f t="shared" si="129"/>
        <v>625.5</v>
      </c>
      <c r="H657" s="107">
        <f t="shared" si="129"/>
        <v>0</v>
      </c>
      <c r="I657" s="107">
        <f t="shared" si="129"/>
        <v>625.5</v>
      </c>
    </row>
    <row r="658" spans="2:9" ht="15" x14ac:dyDescent="0.25">
      <c r="B658" s="81"/>
      <c r="C658" s="81"/>
      <c r="D658" s="81"/>
      <c r="E658" s="94" t="s">
        <v>87</v>
      </c>
      <c r="F658" s="65" t="s">
        <v>42</v>
      </c>
      <c r="G658" s="107">
        <f>G595</f>
        <v>1732.73</v>
      </c>
      <c r="H658" s="107">
        <f>H595</f>
        <v>-16.110210000000002</v>
      </c>
      <c r="I658" s="107">
        <f>I595</f>
        <v>1716.61979</v>
      </c>
    </row>
    <row r="659" spans="2:9" ht="12.75" customHeight="1" x14ac:dyDescent="0.2">
      <c r="B659" s="81"/>
      <c r="C659" s="81"/>
      <c r="D659" s="81"/>
      <c r="E659" s="58" t="s">
        <v>298</v>
      </c>
      <c r="F659" s="59"/>
      <c r="G659" s="107">
        <f t="shared" ref="G659:I660" si="130">G507</f>
        <v>1519.04</v>
      </c>
      <c r="H659" s="107">
        <f t="shared" si="130"/>
        <v>0</v>
      </c>
      <c r="I659" s="107">
        <f t="shared" si="130"/>
        <v>1519.04</v>
      </c>
    </row>
    <row r="660" spans="2:9" ht="15" x14ac:dyDescent="0.25">
      <c r="B660" s="81"/>
      <c r="C660" s="81"/>
      <c r="D660" s="81"/>
      <c r="E660" s="65" t="s">
        <v>98</v>
      </c>
      <c r="F660" s="66" t="s">
        <v>29</v>
      </c>
      <c r="G660" s="107">
        <f t="shared" si="130"/>
        <v>1519.04</v>
      </c>
      <c r="H660" s="107">
        <f t="shared" si="130"/>
        <v>0</v>
      </c>
      <c r="I660" s="107">
        <f t="shared" si="130"/>
        <v>1519.04</v>
      </c>
    </row>
    <row r="661" spans="2:9" ht="12.75" customHeight="1" x14ac:dyDescent="0.2">
      <c r="B661" s="81"/>
      <c r="C661" s="81"/>
      <c r="D661" s="81"/>
      <c r="E661" s="58" t="s">
        <v>299</v>
      </c>
      <c r="F661" s="59"/>
      <c r="G661" s="107">
        <f t="shared" ref="G661:I662" si="131">G145</f>
        <v>227</v>
      </c>
      <c r="H661" s="107">
        <f t="shared" si="131"/>
        <v>-6.0017100000000001</v>
      </c>
      <c r="I661" s="107">
        <f t="shared" si="131"/>
        <v>220.99829</v>
      </c>
    </row>
    <row r="662" spans="2:9" ht="15" x14ac:dyDescent="0.25">
      <c r="B662" s="81"/>
      <c r="C662" s="81"/>
      <c r="D662" s="81"/>
      <c r="E662" s="65" t="s">
        <v>94</v>
      </c>
      <c r="F662" s="66" t="s">
        <v>15</v>
      </c>
      <c r="G662" s="107">
        <f t="shared" si="131"/>
        <v>227</v>
      </c>
      <c r="H662" s="107">
        <f t="shared" si="131"/>
        <v>-6.0017100000000001</v>
      </c>
      <c r="I662" s="107">
        <f t="shared" si="131"/>
        <v>220.99829</v>
      </c>
    </row>
    <row r="663" spans="2:9" ht="12.75" customHeight="1" x14ac:dyDescent="0.2">
      <c r="B663" s="81"/>
      <c r="C663" s="81"/>
      <c r="D663" s="81"/>
      <c r="E663" s="58" t="s">
        <v>300</v>
      </c>
      <c r="F663" s="59"/>
      <c r="G663" s="107">
        <f t="shared" ref="G663:I664" si="132">G224</f>
        <v>30556.530999999999</v>
      </c>
      <c r="H663" s="107">
        <f t="shared" si="132"/>
        <v>1256.5</v>
      </c>
      <c r="I663" s="107">
        <f t="shared" si="132"/>
        <v>31813.030999999999</v>
      </c>
    </row>
    <row r="664" spans="2:9" ht="15" x14ac:dyDescent="0.25">
      <c r="B664" s="81"/>
      <c r="C664" s="81"/>
      <c r="D664" s="81"/>
      <c r="E664" s="65" t="s">
        <v>117</v>
      </c>
      <c r="F664" s="66" t="s">
        <v>15</v>
      </c>
      <c r="G664" s="107">
        <f t="shared" si="132"/>
        <v>25487</v>
      </c>
      <c r="H664" s="107">
        <f t="shared" si="132"/>
        <v>0</v>
      </c>
      <c r="I664" s="107">
        <f t="shared" si="132"/>
        <v>25487</v>
      </c>
    </row>
    <row r="665" spans="2:9" ht="15" x14ac:dyDescent="0.25">
      <c r="B665" s="81"/>
      <c r="C665" s="81"/>
      <c r="D665" s="81"/>
      <c r="E665" s="65" t="s">
        <v>117</v>
      </c>
      <c r="F665" s="66" t="s">
        <v>111</v>
      </c>
      <c r="G665" s="107">
        <f>G233</f>
        <v>5069.5309999999999</v>
      </c>
      <c r="H665" s="107">
        <f>H233</f>
        <v>1256.5</v>
      </c>
      <c r="I665" s="107">
        <f>I233</f>
        <v>6326.0309999999999</v>
      </c>
    </row>
    <row r="666" spans="2:9" ht="14.25" x14ac:dyDescent="0.2">
      <c r="B666" s="81"/>
      <c r="C666" s="81"/>
      <c r="D666" s="81"/>
      <c r="E666" s="50" t="s">
        <v>280</v>
      </c>
      <c r="F666" s="51" t="s">
        <v>280</v>
      </c>
      <c r="G666" s="107"/>
      <c r="H666" s="107"/>
      <c r="I666" s="107"/>
    </row>
    <row r="667" spans="2:9" ht="14.25" x14ac:dyDescent="0.2">
      <c r="B667" s="81"/>
      <c r="C667" s="81"/>
      <c r="D667" s="81"/>
      <c r="E667" s="50"/>
      <c r="F667" s="51"/>
      <c r="G667" s="107">
        <f>G610+G619+G621+G625+G630+G634+G636+G642+G645+G650+G656+G659+G661+G663+G666</f>
        <v>430564.02997000003</v>
      </c>
      <c r="H667" s="107">
        <f>H610+H619+H621+H625+H630+H634+H636+H642+H645+H650+H656+H659+H661+H663+H666</f>
        <v>17143.899999999994</v>
      </c>
      <c r="I667" s="107">
        <f>I610+I619+I621+I625+I630+I634+I636+I642+I645+I650+I656+I659+I661+I663+I666</f>
        <v>447707.92997000006</v>
      </c>
    </row>
    <row r="668" spans="2:9" x14ac:dyDescent="0.2">
      <c r="G668" s="79">
        <f>G607-G667</f>
        <v>0</v>
      </c>
      <c r="H668" s="79">
        <f>H607-H667</f>
        <v>0</v>
      </c>
      <c r="I668" s="79">
        <f>I607-I667</f>
        <v>0</v>
      </c>
    </row>
  </sheetData>
  <mergeCells count="9">
    <mergeCell ref="F1:I1"/>
    <mergeCell ref="A6:A8"/>
    <mergeCell ref="A4:I4"/>
    <mergeCell ref="A3:I3"/>
    <mergeCell ref="G6:G8"/>
    <mergeCell ref="H6:H8"/>
    <mergeCell ref="I6:I8"/>
    <mergeCell ref="F2:I2"/>
    <mergeCell ref="B6:F7"/>
  </mergeCells>
  <pageMargins left="0.98425196850393704" right="0" top="0" bottom="0" header="0" footer="0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41" sqref="H4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 12разд.подр. 2015.</vt:lpstr>
      <vt:lpstr>прил 16 вед2015</vt:lpstr>
      <vt:lpstr>Лист1</vt:lpstr>
      <vt:lpstr>'прил 12разд.подр. 2015.'!Заголовки_для_печати</vt:lpstr>
      <vt:lpstr>'прил 16 вед2015'!Заголовки_для_печати</vt:lpstr>
      <vt:lpstr>'прил 12разд.подр. 2015.'!Область_печати</vt:lpstr>
      <vt:lpstr>'прил 16 вед2015'!Область_печати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finOtdeL</cp:lastModifiedBy>
  <cp:lastPrinted>2015-12-29T04:20:23Z</cp:lastPrinted>
  <dcterms:created xsi:type="dcterms:W3CDTF">2014-11-15T09:17:35Z</dcterms:created>
  <dcterms:modified xsi:type="dcterms:W3CDTF">2015-12-29T08:40:56Z</dcterms:modified>
</cp:coreProperties>
</file>