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05" windowWidth="12120" windowHeight="6555" tabRatio="512" activeTab="1"/>
  </bookViews>
  <sheets>
    <sheet name="прил10МП" sheetId="53" r:id="rId1"/>
    <sheet name="прил 14  Пр, КЦСР,КВР" sheetId="60" r:id="rId2"/>
    <sheet name="18БИ " sheetId="62" r:id="rId3"/>
    <sheet name="прил 21ДФ" sheetId="66" r:id="rId4"/>
    <sheet name="прил23 МБТ" sheetId="57" r:id="rId5"/>
    <sheet name="33" sheetId="14" state="hidden" r:id="rId6"/>
    <sheet name="34" sheetId="10" state="hidden" r:id="rId7"/>
    <sheet name="Лист3" sheetId="65" r:id="rId8"/>
  </sheets>
  <definedNames>
    <definedName name="_xlnm._FilterDatabase" localSheetId="1" hidden="1">'прил 14  Пр, КЦСР,КВР'!$A$1:$I$521</definedName>
    <definedName name="_xlnm._FilterDatabase" localSheetId="0" hidden="1">прил10МП!$A$9:$C$9</definedName>
    <definedName name="В11">#REF!</definedName>
    <definedName name="_xlnm.Print_Titles" localSheetId="1">'прил 14  Пр, КЦСР,КВР'!$7:$7</definedName>
    <definedName name="_xlnm.Print_Titles" localSheetId="4">'прил23 МБТ'!$6:$7</definedName>
    <definedName name="_xlnm.Print_Area" localSheetId="2">'18БИ '!$A$1:$J$23</definedName>
    <definedName name="_xlnm.Print_Area" localSheetId="5">'33'!$A$1:$I$19</definedName>
    <definedName name="_xlnm.Print_Area" localSheetId="1">'прил 14  Пр, КЦСР,КВР'!$A$1:$I$512</definedName>
    <definedName name="_xlnm.Print_Area" localSheetId="3">'прил 21ДФ'!$A$1:$T$19</definedName>
    <definedName name="_xlnm.Print_Area" localSheetId="0">прил10МП!$A$1:$UOK$20</definedName>
    <definedName name="_xlnm.Print_Area" localSheetId="4">'прил23 МБТ'!$B$1:$R$31</definedName>
    <definedName name="_xlnm.Print_Area">#REF!</definedName>
    <definedName name="п" localSheetId="2">#REF!</definedName>
    <definedName name="п" localSheetId="1">#REF!</definedName>
    <definedName name="п" localSheetId="3">#REF!</definedName>
    <definedName name="п" localSheetId="0">#REF!</definedName>
    <definedName name="п" localSheetId="4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I289" i="60" l="1"/>
  <c r="H289" i="60"/>
  <c r="I283" i="60"/>
  <c r="H283" i="60"/>
  <c r="I282" i="60"/>
  <c r="H282" i="60"/>
  <c r="I278" i="60"/>
  <c r="H278" i="60"/>
  <c r="I277" i="60"/>
  <c r="H277" i="60"/>
  <c r="H167" i="60"/>
  <c r="H169" i="60"/>
  <c r="G14" i="62" l="1"/>
  <c r="H273" i="60" l="1"/>
  <c r="I95" i="60"/>
  <c r="G95" i="60"/>
  <c r="H95" i="60"/>
  <c r="H293" i="60"/>
  <c r="H280" i="60"/>
  <c r="H404" i="60"/>
  <c r="H266" i="60"/>
  <c r="H245" i="60"/>
  <c r="H249" i="60"/>
  <c r="H217" i="60"/>
  <c r="H175" i="60"/>
  <c r="H117" i="60"/>
  <c r="H118" i="60"/>
  <c r="H119" i="60"/>
  <c r="I122" i="60"/>
  <c r="H120" i="60"/>
  <c r="I120" i="60"/>
  <c r="G120" i="60"/>
  <c r="H100" i="60"/>
  <c r="H44" i="60"/>
  <c r="H30" i="60"/>
  <c r="H29" i="60"/>
  <c r="H27" i="60"/>
  <c r="H26" i="60"/>
  <c r="H75" i="60"/>
  <c r="G11" i="62"/>
  <c r="H158" i="60" l="1"/>
  <c r="L20" i="57"/>
  <c r="P18" i="66"/>
  <c r="O20" i="57" l="1"/>
  <c r="N20" i="57"/>
  <c r="M20" i="57"/>
  <c r="K20" i="57"/>
  <c r="J20" i="57"/>
  <c r="I20" i="57"/>
  <c r="H20" i="57"/>
  <c r="G20" i="57"/>
  <c r="F20" i="57"/>
  <c r="E28" i="57"/>
  <c r="T18" i="66"/>
  <c r="Q18" i="66" s="1"/>
  <c r="M18" i="66"/>
  <c r="I18" i="66"/>
  <c r="P11" i="66" l="1"/>
  <c r="T11" i="66" s="1"/>
  <c r="I19" i="66"/>
  <c r="M19" i="66"/>
  <c r="T19" i="66"/>
  <c r="Q19" i="66" s="1"/>
  <c r="Q11" i="66" s="1"/>
  <c r="M16" i="57" l="1"/>
  <c r="F17" i="57"/>
  <c r="E35" i="57" l="1"/>
  <c r="N16" i="57" l="1"/>
  <c r="N15" i="57" s="1"/>
  <c r="G15" i="57"/>
  <c r="H15" i="57"/>
  <c r="I15" i="57"/>
  <c r="J15" i="57"/>
  <c r="K15" i="57"/>
  <c r="L15" i="57"/>
  <c r="M15" i="57"/>
  <c r="O15" i="57"/>
  <c r="F15" i="57" l="1"/>
  <c r="E15" i="57" s="1"/>
  <c r="I22" i="62"/>
  <c r="J22" i="62"/>
  <c r="C16" i="62"/>
  <c r="D16" i="62"/>
  <c r="F16" i="62"/>
  <c r="G16" i="62"/>
  <c r="B17" i="62"/>
  <c r="B16" i="62" s="1"/>
  <c r="E17" i="62"/>
  <c r="E16" i="62" s="1"/>
  <c r="I17" i="62"/>
  <c r="J17" i="62"/>
  <c r="J16" i="62" s="1"/>
  <c r="I11" i="62"/>
  <c r="J11" i="62"/>
  <c r="H368" i="60"/>
  <c r="G368" i="60"/>
  <c r="H17" i="62" l="1"/>
  <c r="H16" i="62" s="1"/>
  <c r="I16" i="62"/>
  <c r="H391" i="60"/>
  <c r="H372" i="60"/>
  <c r="H342" i="60"/>
  <c r="H341" i="60"/>
  <c r="H339" i="60"/>
  <c r="H313" i="60"/>
  <c r="I291" i="60"/>
  <c r="I290" i="60" s="1"/>
  <c r="H290" i="60"/>
  <c r="G290" i="60"/>
  <c r="H259" i="60"/>
  <c r="G259" i="60"/>
  <c r="I261" i="60"/>
  <c r="H257" i="60"/>
  <c r="G257" i="60"/>
  <c r="I258" i="60"/>
  <c r="I257" i="60" s="1"/>
  <c r="H255" i="60"/>
  <c r="H253" i="60"/>
  <c r="H145" i="60"/>
  <c r="G145" i="60"/>
  <c r="I146" i="60"/>
  <c r="I171" i="60"/>
  <c r="I170" i="60" s="1"/>
  <c r="H170" i="60"/>
  <c r="G170" i="60"/>
  <c r="H505" i="60"/>
  <c r="H477" i="60"/>
  <c r="I384" i="60"/>
  <c r="I383" i="60" s="1"/>
  <c r="H383" i="60"/>
  <c r="G383" i="60"/>
  <c r="H394" i="60"/>
  <c r="H393" i="60"/>
  <c r="H390" i="60"/>
  <c r="H375" i="60"/>
  <c r="H373" i="60"/>
  <c r="H355" i="60"/>
  <c r="G269" i="60"/>
  <c r="I271" i="60"/>
  <c r="H271" i="60"/>
  <c r="H270" i="60"/>
  <c r="H269" i="60" s="1"/>
  <c r="I245" i="60"/>
  <c r="I244" i="60" s="1"/>
  <c r="I243" i="60" s="1"/>
  <c r="I242" i="60" s="1"/>
  <c r="H244" i="60"/>
  <c r="H243" i="60" s="1"/>
  <c r="H242" i="60" s="1"/>
  <c r="G244" i="60"/>
  <c r="G243" i="60" s="1"/>
  <c r="G242" i="60" s="1"/>
  <c r="H212" i="60"/>
  <c r="H179" i="60"/>
  <c r="H147" i="60"/>
  <c r="H113" i="60"/>
  <c r="H112" i="60"/>
  <c r="H96" i="60"/>
  <c r="H13" i="60"/>
  <c r="H61" i="60"/>
  <c r="I61" i="60" s="1"/>
  <c r="G59" i="60"/>
  <c r="H60" i="60"/>
  <c r="H59" i="60" s="1"/>
  <c r="H56" i="60"/>
  <c r="H55" i="60"/>
  <c r="H54" i="60"/>
  <c r="H53" i="60"/>
  <c r="H52" i="60"/>
  <c r="H39" i="60"/>
  <c r="L11" i="66"/>
  <c r="T10" i="66"/>
  <c r="I17" i="66"/>
  <c r="I16" i="66"/>
  <c r="T17" i="66"/>
  <c r="Q17" i="66" s="1"/>
  <c r="M17" i="66"/>
  <c r="T16" i="66"/>
  <c r="Q16" i="66" s="1"/>
  <c r="M16" i="66"/>
  <c r="T15" i="66"/>
  <c r="Q15" i="66" s="1"/>
  <c r="S15" i="66"/>
  <c r="R15" i="66"/>
  <c r="M15" i="66"/>
  <c r="I15" i="66"/>
  <c r="T14" i="66"/>
  <c r="S14" i="66"/>
  <c r="R14" i="66"/>
  <c r="Q14" i="66"/>
  <c r="M14" i="66"/>
  <c r="I14" i="66"/>
  <c r="T13" i="66"/>
  <c r="Q13" i="66" s="1"/>
  <c r="S13" i="66"/>
  <c r="R13" i="66"/>
  <c r="M13" i="66"/>
  <c r="I13" i="66"/>
  <c r="T12" i="66"/>
  <c r="S12" i="66"/>
  <c r="R12" i="66"/>
  <c r="M12" i="66"/>
  <c r="I12" i="66"/>
  <c r="S11" i="66"/>
  <c r="R11" i="66"/>
  <c r="M11" i="66"/>
  <c r="M10" i="66" s="1"/>
  <c r="Q10" i="66"/>
  <c r="I10" i="66"/>
  <c r="C9" i="66"/>
  <c r="D9" i="66" s="1"/>
  <c r="E9" i="66" s="1"/>
  <c r="F9" i="66" s="1"/>
  <c r="G9" i="66" s="1"/>
  <c r="H9" i="66" s="1"/>
  <c r="I9" i="66" s="1"/>
  <c r="J9" i="66" s="1"/>
  <c r="K9" i="66" s="1"/>
  <c r="L9" i="66" s="1"/>
  <c r="M9" i="66" s="1"/>
  <c r="N9" i="66" s="1"/>
  <c r="O9" i="66" s="1"/>
  <c r="P9" i="66" s="1"/>
  <c r="Q9" i="66" s="1"/>
  <c r="R9" i="66" s="1"/>
  <c r="S9" i="66" s="1"/>
  <c r="T9" i="66" s="1"/>
  <c r="B9" i="66"/>
  <c r="Q12" i="66" l="1"/>
  <c r="L10" i="66"/>
  <c r="P10" i="66"/>
  <c r="F16" i="57" l="1"/>
  <c r="N27" i="57"/>
  <c r="F27" i="57"/>
  <c r="G27" i="57"/>
  <c r="H27" i="57"/>
  <c r="J27" i="57"/>
  <c r="K27" i="57"/>
  <c r="O27" i="57"/>
  <c r="L27" i="57"/>
  <c r="M27" i="57"/>
  <c r="G16" i="57"/>
  <c r="H16" i="57"/>
  <c r="J16" i="57"/>
  <c r="I27" i="57"/>
  <c r="I16" i="57"/>
  <c r="K16" i="57"/>
  <c r="O16" i="57"/>
  <c r="L16" i="57"/>
  <c r="E21" i="57" l="1"/>
  <c r="E22" i="57"/>
  <c r="E23" i="57"/>
  <c r="E24" i="57"/>
  <c r="E25" i="57"/>
  <c r="E26" i="57"/>
  <c r="E27" i="57"/>
  <c r="E20" i="57"/>
  <c r="J11" i="57"/>
  <c r="N11" i="57" l="1"/>
  <c r="M11" i="57"/>
  <c r="L11" i="57"/>
  <c r="K11" i="57"/>
  <c r="I11" i="57"/>
  <c r="H11" i="57"/>
  <c r="G11" i="57"/>
  <c r="F11" i="57"/>
  <c r="F9" i="62" l="1"/>
  <c r="E11" i="62"/>
  <c r="H11" i="62"/>
  <c r="B11" i="62"/>
  <c r="H22" i="62"/>
  <c r="E22" i="62"/>
  <c r="B22" i="62"/>
  <c r="D18" i="62"/>
  <c r="F18" i="62"/>
  <c r="G18" i="62"/>
  <c r="C18" i="62"/>
  <c r="B18" i="62" s="1"/>
  <c r="F23" i="62" l="1"/>
  <c r="H206" i="60"/>
  <c r="H210" i="60"/>
  <c r="H111" i="60"/>
  <c r="I112" i="60"/>
  <c r="G111" i="60"/>
  <c r="G206" i="60" l="1"/>
  <c r="I208" i="60"/>
  <c r="E16" i="57"/>
  <c r="E30" i="57"/>
  <c r="H503" i="60" l="1"/>
  <c r="I507" i="60"/>
  <c r="I506" i="60" s="1"/>
  <c r="H506" i="60"/>
  <c r="G506" i="60"/>
  <c r="G503" i="60"/>
  <c r="I505" i="60"/>
  <c r="I352" i="60"/>
  <c r="I351" i="60" s="1"/>
  <c r="H351" i="60"/>
  <c r="G351" i="60"/>
  <c r="I350" i="60"/>
  <c r="I349" i="60" s="1"/>
  <c r="H349" i="60"/>
  <c r="G349" i="60"/>
  <c r="G298" i="60"/>
  <c r="G272" i="60"/>
  <c r="G265" i="60"/>
  <c r="G264" i="60" s="1"/>
  <c r="G263" i="60" s="1"/>
  <c r="I225" i="60"/>
  <c r="I224" i="60" s="1"/>
  <c r="I223" i="60" s="1"/>
  <c r="I222" i="60" s="1"/>
  <c r="I221" i="60" s="1"/>
  <c r="H224" i="60"/>
  <c r="H223" i="60" s="1"/>
  <c r="H222" i="60" s="1"/>
  <c r="H221" i="60" s="1"/>
  <c r="G224" i="60"/>
  <c r="G223" i="60" s="1"/>
  <c r="G222" i="60" s="1"/>
  <c r="G221" i="60" s="1"/>
  <c r="I71" i="60"/>
  <c r="I70" i="60" s="1"/>
  <c r="I69" i="60" s="1"/>
  <c r="I68" i="60" s="1"/>
  <c r="H70" i="60"/>
  <c r="H69" i="60" s="1"/>
  <c r="H68" i="60" s="1"/>
  <c r="G70" i="60"/>
  <c r="G69" i="60" s="1"/>
  <c r="G68" i="60" s="1"/>
  <c r="I440" i="60"/>
  <c r="I439" i="60" s="1"/>
  <c r="G439" i="60"/>
  <c r="I431" i="60"/>
  <c r="I430" i="60" s="1"/>
  <c r="H430" i="60"/>
  <c r="G430" i="60"/>
  <c r="I429" i="60"/>
  <c r="I428" i="60" s="1"/>
  <c r="H428" i="60"/>
  <c r="G428" i="60"/>
  <c r="I421" i="60"/>
  <c r="I420" i="60" s="1"/>
  <c r="H420" i="60"/>
  <c r="G420" i="60"/>
  <c r="I404" i="60"/>
  <c r="I403" i="60" s="1"/>
  <c r="I402" i="60" s="1"/>
  <c r="I401" i="60" s="1"/>
  <c r="I400" i="60" s="1"/>
  <c r="G403" i="60"/>
  <c r="G402" i="60" s="1"/>
  <c r="G401" i="60" s="1"/>
  <c r="G400" i="60" s="1"/>
  <c r="H403" i="60"/>
  <c r="H402" i="60" s="1"/>
  <c r="H401" i="60" s="1"/>
  <c r="H400" i="60" s="1"/>
  <c r="G357" i="60"/>
  <c r="I363" i="60"/>
  <c r="I362" i="60" s="1"/>
  <c r="H362" i="60"/>
  <c r="G362" i="60"/>
  <c r="H357" i="60"/>
  <c r="I359" i="60"/>
  <c r="I304" i="60"/>
  <c r="I303" i="60" s="1"/>
  <c r="H303" i="60"/>
  <c r="G303" i="60"/>
  <c r="H300" i="60"/>
  <c r="G300" i="60"/>
  <c r="I302" i="60"/>
  <c r="I274" i="60"/>
  <c r="I260" i="60"/>
  <c r="I259" i="60" s="1"/>
  <c r="G210" i="60"/>
  <c r="I213" i="60"/>
  <c r="I212" i="60"/>
  <c r="I209" i="60"/>
  <c r="I201" i="60"/>
  <c r="I200" i="60" s="1"/>
  <c r="H200" i="60"/>
  <c r="G200" i="60"/>
  <c r="G174" i="60"/>
  <c r="H174" i="60"/>
  <c r="I177" i="60"/>
  <c r="H132" i="60"/>
  <c r="G132" i="60"/>
  <c r="I133" i="60"/>
  <c r="G118" i="60"/>
  <c r="I119" i="60"/>
  <c r="I118" i="60" s="1"/>
  <c r="I114" i="60"/>
  <c r="L19" i="57"/>
  <c r="G348" i="60" l="1"/>
  <c r="G347" i="60" s="1"/>
  <c r="H348" i="60"/>
  <c r="H347" i="60" s="1"/>
  <c r="H502" i="60"/>
  <c r="H501" i="60" s="1"/>
  <c r="G502" i="60"/>
  <c r="G501" i="60" s="1"/>
  <c r="H439" i="60"/>
  <c r="I348" i="60"/>
  <c r="I347" i="60" s="1"/>
  <c r="E17" i="57" l="1"/>
  <c r="E29" i="57"/>
  <c r="N19" i="57"/>
  <c r="G9" i="62" l="1"/>
  <c r="C9" i="62"/>
  <c r="C23" i="62" s="1"/>
  <c r="E15" i="62"/>
  <c r="B15" i="62"/>
  <c r="I15" i="62"/>
  <c r="J15" i="62"/>
  <c r="E9" i="62" l="1"/>
  <c r="G23" i="62"/>
  <c r="H15" i="62"/>
  <c r="E18" i="57"/>
  <c r="E19" i="57"/>
  <c r="I19" i="62"/>
  <c r="J19" i="62"/>
  <c r="E19" i="62"/>
  <c r="B19" i="62"/>
  <c r="H19" i="62" l="1"/>
  <c r="E21" i="62" l="1"/>
  <c r="E20" i="62"/>
  <c r="E10" i="62"/>
  <c r="E12" i="62"/>
  <c r="E13" i="62"/>
  <c r="E14" i="62"/>
  <c r="B13" i="62"/>
  <c r="I13" i="62"/>
  <c r="J13" i="62"/>
  <c r="B20" i="62"/>
  <c r="I20" i="62"/>
  <c r="J20" i="62"/>
  <c r="J21" i="62"/>
  <c r="I21" i="62"/>
  <c r="B21" i="62"/>
  <c r="I14" i="62"/>
  <c r="D14" i="62"/>
  <c r="J12" i="62"/>
  <c r="I12" i="62"/>
  <c r="B12" i="62"/>
  <c r="J10" i="62"/>
  <c r="I10" i="62"/>
  <c r="B10" i="62"/>
  <c r="I9" i="62" l="1"/>
  <c r="I18" i="62"/>
  <c r="H10" i="62"/>
  <c r="J14" i="62"/>
  <c r="J9" i="62" s="1"/>
  <c r="D9" i="62"/>
  <c r="J18" i="62"/>
  <c r="J23" i="62" s="1"/>
  <c r="E18" i="62"/>
  <c r="E23" i="62" s="1"/>
  <c r="H13" i="62"/>
  <c r="H12" i="62"/>
  <c r="H21" i="62"/>
  <c r="H20" i="62"/>
  <c r="B14" i="62"/>
  <c r="B9" i="62" l="1"/>
  <c r="B23" i="62" s="1"/>
  <c r="D23" i="62"/>
  <c r="H9" i="62"/>
  <c r="I23" i="62"/>
  <c r="H18" i="62"/>
  <c r="H14" i="62"/>
  <c r="H23" i="62" l="1"/>
  <c r="I504" i="60"/>
  <c r="I85" i="60"/>
  <c r="I84" i="60" s="1"/>
  <c r="H84" i="60"/>
  <c r="G84" i="60"/>
  <c r="I503" i="60" l="1"/>
  <c r="I502" i="60" s="1"/>
  <c r="I501" i="60" s="1"/>
  <c r="I500" i="60" s="1"/>
  <c r="H386" i="60"/>
  <c r="G386" i="60"/>
  <c r="I392" i="60"/>
  <c r="I355" i="60"/>
  <c r="I354" i="60" s="1"/>
  <c r="H354" i="60"/>
  <c r="G354" i="60"/>
  <c r="H272" i="60"/>
  <c r="H237" i="60"/>
  <c r="G237" i="60"/>
  <c r="I239" i="60"/>
  <c r="I176" i="60"/>
  <c r="I162" i="60"/>
  <c r="I161" i="60" s="1"/>
  <c r="I160" i="60" s="1"/>
  <c r="H161" i="60"/>
  <c r="H160" i="60" s="1"/>
  <c r="G161" i="60"/>
  <c r="G160" i="60" s="1"/>
  <c r="I75" i="60"/>
  <c r="I74" i="60" s="1"/>
  <c r="H74" i="60"/>
  <c r="G74" i="60"/>
  <c r="H298" i="60"/>
  <c r="I298" i="60" s="1"/>
  <c r="I299" i="60"/>
  <c r="H248" i="60"/>
  <c r="G248" i="60"/>
  <c r="I249" i="60"/>
  <c r="I248" i="60" s="1"/>
  <c r="I253" i="60"/>
  <c r="H396" i="60" l="1"/>
  <c r="G396" i="60"/>
  <c r="I398" i="60"/>
  <c r="I380" i="60"/>
  <c r="I379" i="60" s="1"/>
  <c r="H379" i="60"/>
  <c r="G379" i="60"/>
  <c r="I378" i="60"/>
  <c r="I377" i="60" s="1"/>
  <c r="H377" i="60"/>
  <c r="G377" i="60"/>
  <c r="G376" i="60" s="1"/>
  <c r="I358" i="60"/>
  <c r="I357" i="60" s="1"/>
  <c r="I367" i="60"/>
  <c r="I366" i="60" s="1"/>
  <c r="H366" i="60"/>
  <c r="G366" i="60"/>
  <c r="I365" i="60"/>
  <c r="I364" i="60" s="1"/>
  <c r="H364" i="60"/>
  <c r="G364" i="60"/>
  <c r="I361" i="60"/>
  <c r="I360" i="60" s="1"/>
  <c r="H360" i="60"/>
  <c r="G360" i="60"/>
  <c r="I434" i="60"/>
  <c r="I433" i="60" s="1"/>
  <c r="H433" i="60"/>
  <c r="G433" i="60"/>
  <c r="I419" i="60"/>
  <c r="I418" i="60" s="1"/>
  <c r="H418" i="60"/>
  <c r="G418" i="60"/>
  <c r="G305" i="60"/>
  <c r="I308" i="60"/>
  <c r="I307" i="60" s="1"/>
  <c r="H307" i="60"/>
  <c r="G307" i="60"/>
  <c r="I306" i="60"/>
  <c r="I305" i="60" s="1"/>
  <c r="H305" i="60"/>
  <c r="I301" i="60"/>
  <c r="I300" i="60" s="1"/>
  <c r="I203" i="60"/>
  <c r="I202" i="60" s="1"/>
  <c r="H202" i="60"/>
  <c r="G202" i="60"/>
  <c r="I207" i="60"/>
  <c r="I206" i="60" s="1"/>
  <c r="I205" i="60"/>
  <c r="I204" i="60" s="1"/>
  <c r="H204" i="60"/>
  <c r="G204" i="60"/>
  <c r="I189" i="60"/>
  <c r="I188" i="60" s="1"/>
  <c r="H188" i="60"/>
  <c r="G188" i="60"/>
  <c r="I147" i="60"/>
  <c r="I145" i="60" s="1"/>
  <c r="I144" i="60"/>
  <c r="I143" i="60" s="1"/>
  <c r="H143" i="60"/>
  <c r="G143" i="60"/>
  <c r="I142" i="60"/>
  <c r="I141" i="60" s="1"/>
  <c r="H141" i="60"/>
  <c r="G141" i="60"/>
  <c r="I129" i="60"/>
  <c r="I128" i="60" s="1"/>
  <c r="H128" i="60"/>
  <c r="G128" i="60"/>
  <c r="I124" i="60"/>
  <c r="I123" i="60" s="1"/>
  <c r="H123" i="60"/>
  <c r="G123" i="60"/>
  <c r="I31" i="60"/>
  <c r="I376" i="60" l="1"/>
  <c r="H376" i="60"/>
  <c r="I140" i="60"/>
  <c r="G140" i="60"/>
  <c r="H140" i="60"/>
  <c r="H186" i="60"/>
  <c r="H185" i="60" s="1"/>
  <c r="G186" i="60"/>
  <c r="G185" i="60" s="1"/>
  <c r="I187" i="60"/>
  <c r="I186" i="60" s="1"/>
  <c r="I185" i="60" s="1"/>
  <c r="I477" i="60" l="1"/>
  <c r="I476" i="60" s="1"/>
  <c r="I475" i="60" s="1"/>
  <c r="H476" i="60"/>
  <c r="H475" i="60" s="1"/>
  <c r="G476" i="60"/>
  <c r="G475" i="60" s="1"/>
  <c r="I474" i="60"/>
  <c r="I473" i="60" s="1"/>
  <c r="I472" i="60" s="1"/>
  <c r="H473" i="60"/>
  <c r="G473" i="60"/>
  <c r="G472" i="60" s="1"/>
  <c r="H472" i="60"/>
  <c r="I471" i="60"/>
  <c r="I470" i="60" s="1"/>
  <c r="I469" i="60" s="1"/>
  <c r="H470" i="60"/>
  <c r="H469" i="60" s="1"/>
  <c r="G470" i="60"/>
  <c r="G469" i="60" s="1"/>
  <c r="H468" i="60" l="1"/>
  <c r="H467" i="60" s="1"/>
  <c r="H466" i="60" s="1"/>
  <c r="I468" i="60"/>
  <c r="I467" i="60" s="1"/>
  <c r="I466" i="60" s="1"/>
  <c r="G468" i="60"/>
  <c r="G467" i="60" s="1"/>
  <c r="G466" i="60" s="1"/>
  <c r="H231" i="60" l="1"/>
  <c r="G231" i="60"/>
  <c r="I233" i="60"/>
  <c r="H228" i="60"/>
  <c r="G228" i="60"/>
  <c r="I230" i="60"/>
  <c r="I219" i="60"/>
  <c r="I218" i="60" s="1"/>
  <c r="H218" i="60"/>
  <c r="H214" i="60" s="1"/>
  <c r="G218" i="60"/>
  <c r="G214" i="60" s="1"/>
  <c r="G199" i="60" s="1"/>
  <c r="H157" i="60"/>
  <c r="G157" i="60"/>
  <c r="I159" i="60"/>
  <c r="I116" i="60"/>
  <c r="H41" i="60"/>
  <c r="G41" i="60"/>
  <c r="I42" i="60"/>
  <c r="I41" i="60" s="1"/>
  <c r="I121" i="60" l="1"/>
  <c r="I117" i="60" s="1"/>
  <c r="G117" i="60"/>
  <c r="I448" i="60" l="1"/>
  <c r="I447" i="60" s="1"/>
  <c r="I446" i="60" s="1"/>
  <c r="I276" i="60"/>
  <c r="H488" i="60"/>
  <c r="G488" i="60"/>
  <c r="I498" i="60"/>
  <c r="I497" i="60" s="1"/>
  <c r="H497" i="60"/>
  <c r="G497" i="60"/>
  <c r="I490" i="60"/>
  <c r="I320" i="60"/>
  <c r="H319" i="60"/>
  <c r="G319" i="60"/>
  <c r="H254" i="60"/>
  <c r="H250" i="60" s="1"/>
  <c r="H247" i="60" s="1"/>
  <c r="G254" i="60"/>
  <c r="G250" i="60" s="1"/>
  <c r="G247" i="60" s="1"/>
  <c r="I252" i="60"/>
  <c r="I256" i="60"/>
  <c r="I184" i="60"/>
  <c r="H182" i="60"/>
  <c r="G182" i="60"/>
  <c r="G447" i="60"/>
  <c r="G446" i="60" s="1"/>
  <c r="H81" i="60"/>
  <c r="H80" i="60" s="1"/>
  <c r="H79" i="60" s="1"/>
  <c r="G81" i="60"/>
  <c r="G80" i="60" s="1"/>
  <c r="G79" i="60" s="1"/>
  <c r="I82" i="60"/>
  <c r="I81" i="60" s="1"/>
  <c r="I80" i="60" s="1"/>
  <c r="I79" i="60" s="1"/>
  <c r="H86" i="60"/>
  <c r="I87" i="60"/>
  <c r="I86" i="60" s="1"/>
  <c r="G86" i="60"/>
  <c r="G19" i="60"/>
  <c r="I89" i="60"/>
  <c r="H447" i="60" l="1"/>
  <c r="H446" i="60" s="1"/>
  <c r="G12" i="57" l="1"/>
  <c r="H12" i="57"/>
  <c r="I12" i="57"/>
  <c r="J12" i="57"/>
  <c r="K12" i="57"/>
  <c r="L12" i="57"/>
  <c r="M12" i="57"/>
  <c r="N12" i="57"/>
  <c r="O12" i="57"/>
  <c r="F12" i="57"/>
  <c r="R15" i="57"/>
  <c r="Q15" i="57"/>
  <c r="P15" i="57"/>
  <c r="G10" i="57"/>
  <c r="H10" i="57"/>
  <c r="I10" i="57"/>
  <c r="J10" i="57"/>
  <c r="K10" i="57"/>
  <c r="L10" i="57"/>
  <c r="M10" i="57"/>
  <c r="N10" i="57"/>
  <c r="O10" i="57"/>
  <c r="F10" i="57"/>
  <c r="E14" i="57"/>
  <c r="D8" i="57"/>
  <c r="F8" i="57" s="1"/>
  <c r="G8" i="57" s="1"/>
  <c r="H8" i="57" s="1"/>
  <c r="I8" i="57" s="1"/>
  <c r="J8" i="57" s="1"/>
  <c r="K8" i="57" s="1"/>
  <c r="L8" i="57" s="1"/>
  <c r="M8" i="57" s="1"/>
  <c r="N8" i="57" s="1"/>
  <c r="O8" i="57" s="1"/>
  <c r="I13" i="60"/>
  <c r="I12" i="60" s="1"/>
  <c r="I11" i="60" s="1"/>
  <c r="I10" i="60" s="1"/>
  <c r="I18" i="60"/>
  <c r="I20" i="60"/>
  <c r="I21" i="60"/>
  <c r="I26" i="60"/>
  <c r="I27" i="60"/>
  <c r="I28" i="60"/>
  <c r="I29" i="60"/>
  <c r="I32" i="60"/>
  <c r="I33" i="60"/>
  <c r="I36" i="60"/>
  <c r="I35" i="60" s="1"/>
  <c r="I34" i="60" s="1"/>
  <c r="I39" i="60"/>
  <c r="I44" i="60"/>
  <c r="I46" i="60"/>
  <c r="I48" i="60"/>
  <c r="I47" i="60" s="1"/>
  <c r="I52" i="60"/>
  <c r="I53" i="60"/>
  <c r="I54" i="60"/>
  <c r="I55" i="60"/>
  <c r="I56" i="60"/>
  <c r="I57" i="60"/>
  <c r="I60" i="60"/>
  <c r="I65" i="60"/>
  <c r="I66" i="60"/>
  <c r="I67" i="60"/>
  <c r="I77" i="60"/>
  <c r="I76" i="60" s="1"/>
  <c r="I91" i="60"/>
  <c r="I92" i="60"/>
  <c r="I94" i="60"/>
  <c r="I93" i="60" s="1"/>
  <c r="I96" i="60"/>
  <c r="I97" i="60"/>
  <c r="I100" i="60"/>
  <c r="I106" i="60"/>
  <c r="I105" i="60" s="1"/>
  <c r="I104" i="60" s="1"/>
  <c r="I103" i="60" s="1"/>
  <c r="I113" i="60"/>
  <c r="I115" i="60"/>
  <c r="I131" i="60"/>
  <c r="I134" i="60"/>
  <c r="I132" i="60" s="1"/>
  <c r="I136" i="60"/>
  <c r="I150" i="60"/>
  <c r="I149" i="60" s="1"/>
  <c r="I152" i="60"/>
  <c r="I151" i="60" s="1"/>
  <c r="I158" i="60"/>
  <c r="I157" i="60" s="1"/>
  <c r="I156" i="60" s="1"/>
  <c r="I155" i="60" s="1"/>
  <c r="I154" i="60" s="1"/>
  <c r="I153" i="60" s="1"/>
  <c r="I167" i="60"/>
  <c r="I168" i="60"/>
  <c r="I169" i="60"/>
  <c r="I175" i="60"/>
  <c r="I174" i="60" s="1"/>
  <c r="I179" i="60"/>
  <c r="I178" i="60" s="1"/>
  <c r="I183" i="60"/>
  <c r="I182" i="60" s="1"/>
  <c r="I181" i="60" s="1"/>
  <c r="I180" i="60" s="1"/>
  <c r="I196" i="60"/>
  <c r="I197" i="60"/>
  <c r="I211" i="60"/>
  <c r="I210" i="60" s="1"/>
  <c r="I216" i="60"/>
  <c r="I217" i="60"/>
  <c r="I229" i="60"/>
  <c r="I228" i="60" s="1"/>
  <c r="I232" i="60"/>
  <c r="I231" i="60" s="1"/>
  <c r="I238" i="60"/>
  <c r="I251" i="60"/>
  <c r="I255" i="60"/>
  <c r="I254" i="60" s="1"/>
  <c r="I270" i="60"/>
  <c r="I269" i="60" s="1"/>
  <c r="I273" i="60"/>
  <c r="I272" i="60" s="1"/>
  <c r="I280" i="60"/>
  <c r="I279" i="60" s="1"/>
  <c r="I285" i="60"/>
  <c r="I284" i="60" s="1"/>
  <c r="I287" i="60"/>
  <c r="I288" i="60"/>
  <c r="I293" i="60"/>
  <c r="I292" i="60" s="1"/>
  <c r="I295" i="60"/>
  <c r="I294" i="60" s="1"/>
  <c r="I297" i="60"/>
  <c r="I313" i="60"/>
  <c r="I312" i="60" s="1"/>
  <c r="I311" i="60" s="1"/>
  <c r="I310" i="60" s="1"/>
  <c r="I309" i="60" s="1"/>
  <c r="I318" i="60"/>
  <c r="I321" i="60"/>
  <c r="I319" i="60" s="1"/>
  <c r="I325" i="60"/>
  <c r="I326" i="60"/>
  <c r="I330" i="60"/>
  <c r="I339" i="60"/>
  <c r="I340" i="60"/>
  <c r="I341" i="60"/>
  <c r="I342" i="60"/>
  <c r="I343" i="60"/>
  <c r="I344" i="60"/>
  <c r="I369" i="60"/>
  <c r="I368" i="60" s="1"/>
  <c r="I372" i="60"/>
  <c r="I375" i="60"/>
  <c r="I374" i="60" s="1"/>
  <c r="I387" i="60"/>
  <c r="I388" i="60"/>
  <c r="I389" i="60"/>
  <c r="I390" i="60"/>
  <c r="I391" i="60"/>
  <c r="I393" i="60"/>
  <c r="I394" i="60"/>
  <c r="I397" i="60"/>
  <c r="I396" i="60" s="1"/>
  <c r="I409" i="60"/>
  <c r="I408" i="60" s="1"/>
  <c r="I407" i="60" s="1"/>
  <c r="I406" i="60" s="1"/>
  <c r="I405" i="60" s="1"/>
  <c r="I399" i="60" s="1"/>
  <c r="I414" i="60"/>
  <c r="I413" i="60" s="1"/>
  <c r="I412" i="60" s="1"/>
  <c r="I411" i="60" s="1"/>
  <c r="I423" i="60"/>
  <c r="I422" i="60" s="1"/>
  <c r="I417" i="60" s="1"/>
  <c r="I427" i="60"/>
  <c r="I426" i="60" s="1"/>
  <c r="I436" i="60"/>
  <c r="I435" i="60" s="1"/>
  <c r="I438" i="60"/>
  <c r="I437" i="60" s="1"/>
  <c r="I432" i="60" s="1"/>
  <c r="I445" i="60"/>
  <c r="I452" i="60"/>
  <c r="I451" i="60" s="1"/>
  <c r="I454" i="60"/>
  <c r="I453" i="60" s="1"/>
  <c r="I458" i="60"/>
  <c r="I457" i="60" s="1"/>
  <c r="I456" i="60" s="1"/>
  <c r="I455" i="60" s="1"/>
  <c r="I464" i="60"/>
  <c r="I465" i="60"/>
  <c r="I483" i="60"/>
  <c r="I482" i="60" s="1"/>
  <c r="I481" i="60" s="1"/>
  <c r="I480" i="60" s="1"/>
  <c r="I479" i="60" s="1"/>
  <c r="I478" i="60" s="1"/>
  <c r="I489" i="60"/>
  <c r="I496" i="60"/>
  <c r="I510" i="60"/>
  <c r="I509" i="60" s="1"/>
  <c r="I508" i="60" s="1"/>
  <c r="I499" i="60" s="1"/>
  <c r="H12" i="60"/>
  <c r="H11" i="60" s="1"/>
  <c r="H10" i="60" s="1"/>
  <c r="H17" i="60"/>
  <c r="I17" i="60"/>
  <c r="H25" i="60"/>
  <c r="H24" i="60" s="1"/>
  <c r="H35" i="60"/>
  <c r="H34" i="60" s="1"/>
  <c r="H38" i="60"/>
  <c r="H37" i="60" s="1"/>
  <c r="I38" i="60"/>
  <c r="I37" i="60" s="1"/>
  <c r="H43" i="60"/>
  <c r="H47" i="60"/>
  <c r="H51" i="60"/>
  <c r="H58" i="60"/>
  <c r="H64" i="60"/>
  <c r="H63" i="60" s="1"/>
  <c r="H62" i="60" s="1"/>
  <c r="H76" i="60"/>
  <c r="H90" i="60"/>
  <c r="H93" i="60"/>
  <c r="H105" i="60"/>
  <c r="H104" i="60" s="1"/>
  <c r="H103" i="60" s="1"/>
  <c r="H102" i="60" s="1"/>
  <c r="H101" i="60" s="1"/>
  <c r="H110" i="60"/>
  <c r="H109" i="60" s="1"/>
  <c r="H130" i="60"/>
  <c r="I130" i="60"/>
  <c r="H135" i="60"/>
  <c r="I135" i="60"/>
  <c r="H139" i="60"/>
  <c r="H149" i="60"/>
  <c r="H151" i="60"/>
  <c r="H156" i="60"/>
  <c r="H155" i="60" s="1"/>
  <c r="H154" i="60" s="1"/>
  <c r="H153" i="60" s="1"/>
  <c r="H166" i="60"/>
  <c r="H178" i="60"/>
  <c r="H181" i="60"/>
  <c r="H180" i="60" s="1"/>
  <c r="H195" i="60"/>
  <c r="H194" i="60" s="1"/>
  <c r="H193" i="60" s="1"/>
  <c r="H199" i="60"/>
  <c r="H236" i="60"/>
  <c r="H246" i="60"/>
  <c r="H241" i="60" s="1"/>
  <c r="H265" i="60"/>
  <c r="H264" i="60" s="1"/>
  <c r="H263" i="60" s="1"/>
  <c r="H279" i="60"/>
  <c r="H275" i="60" s="1"/>
  <c r="H284" i="60"/>
  <c r="H281" i="60" s="1"/>
  <c r="H286" i="60"/>
  <c r="I286" i="60"/>
  <c r="H288" i="60"/>
  <c r="H292" i="60"/>
  <c r="H294" i="60"/>
  <c r="H296" i="60"/>
  <c r="I296" i="60"/>
  <c r="H312" i="60"/>
  <c r="H311" i="60" s="1"/>
  <c r="H310" i="60" s="1"/>
  <c r="H309" i="60" s="1"/>
  <c r="H317" i="60"/>
  <c r="I317" i="60"/>
  <c r="H323" i="60"/>
  <c r="H322" i="60" s="1"/>
  <c r="H329" i="60"/>
  <c r="I329" i="60"/>
  <c r="H338" i="60"/>
  <c r="H337" i="60" s="1"/>
  <c r="H374" i="60"/>
  <c r="H371" i="60" s="1"/>
  <c r="H356" i="60" s="1"/>
  <c r="H353" i="60" s="1"/>
  <c r="H346" i="60" s="1"/>
  <c r="H385" i="60"/>
  <c r="H382" i="60" s="1"/>
  <c r="H395" i="60"/>
  <c r="H408" i="60"/>
  <c r="H407" i="60" s="1"/>
  <c r="H406" i="60" s="1"/>
  <c r="H405" i="60" s="1"/>
  <c r="H399" i="60" s="1"/>
  <c r="H413" i="60"/>
  <c r="H412" i="60" s="1"/>
  <c r="H411" i="60" s="1"/>
  <c r="H422" i="60"/>
  <c r="H417" i="60" s="1"/>
  <c r="H426" i="60"/>
  <c r="H435" i="60"/>
  <c r="H437" i="60"/>
  <c r="H444" i="60"/>
  <c r="H443" i="60" s="1"/>
  <c r="H442" i="60" s="1"/>
  <c r="H441" i="60" s="1"/>
  <c r="I444" i="60"/>
  <c r="I443" i="60" s="1"/>
  <c r="I442" i="60" s="1"/>
  <c r="I441" i="60" s="1"/>
  <c r="H451" i="60"/>
  <c r="H453" i="60"/>
  <c r="H457" i="60"/>
  <c r="H456" i="60" s="1"/>
  <c r="H455" i="60" s="1"/>
  <c r="H463" i="60"/>
  <c r="H462" i="60" s="1"/>
  <c r="H461" i="60" s="1"/>
  <c r="H460" i="60" s="1"/>
  <c r="H459" i="60" s="1"/>
  <c r="H482" i="60"/>
  <c r="H481" i="60" s="1"/>
  <c r="H480" i="60" s="1"/>
  <c r="H479" i="60" s="1"/>
  <c r="H478" i="60" s="1"/>
  <c r="H487" i="60"/>
  <c r="H486" i="60" s="1"/>
  <c r="H485" i="60" s="1"/>
  <c r="H484" i="60" s="1"/>
  <c r="H495" i="60"/>
  <c r="I495" i="60"/>
  <c r="H500" i="60"/>
  <c r="H509" i="60"/>
  <c r="H508" i="60" s="1"/>
  <c r="G12" i="60"/>
  <c r="G11" i="60" s="1"/>
  <c r="G10" i="60" s="1"/>
  <c r="G9" i="60" s="1"/>
  <c r="H268" i="60" l="1"/>
  <c r="H267" i="60" s="1"/>
  <c r="H165" i="60"/>
  <c r="H164" i="60" s="1"/>
  <c r="H432" i="60"/>
  <c r="I59" i="60"/>
  <c r="I58" i="60" s="1"/>
  <c r="I111" i="60"/>
  <c r="I110" i="60" s="1"/>
  <c r="I109" i="60" s="1"/>
  <c r="H425" i="60"/>
  <c r="H424" i="60" s="1"/>
  <c r="I425" i="60"/>
  <c r="I424" i="60" s="1"/>
  <c r="H499" i="60"/>
  <c r="I127" i="60"/>
  <c r="I126" i="60" s="1"/>
  <c r="I125" i="60" s="1"/>
  <c r="H108" i="60"/>
  <c r="I102" i="60"/>
  <c r="I101" i="60" s="1"/>
  <c r="H235" i="60"/>
  <c r="H234" i="60" s="1"/>
  <c r="H127" i="60"/>
  <c r="H126" i="60" s="1"/>
  <c r="H125" i="60" s="1"/>
  <c r="I386" i="60"/>
  <c r="I385" i="60" s="1"/>
  <c r="I382" i="60" s="1"/>
  <c r="I237" i="60"/>
  <c r="I236" i="60" s="1"/>
  <c r="H73" i="60"/>
  <c r="I73" i="60"/>
  <c r="I72" i="60" s="1"/>
  <c r="I250" i="60"/>
  <c r="I247" i="60" s="1"/>
  <c r="I395" i="60"/>
  <c r="I416" i="60"/>
  <c r="H416" i="60"/>
  <c r="I139" i="60"/>
  <c r="H9" i="60"/>
  <c r="I9" i="60"/>
  <c r="E12" i="57"/>
  <c r="H40" i="60"/>
  <c r="I488" i="60"/>
  <c r="I487" i="60" s="1"/>
  <c r="I486" i="60" s="1"/>
  <c r="I485" i="60" s="1"/>
  <c r="I484" i="60" s="1"/>
  <c r="I494" i="60"/>
  <c r="I493" i="60" s="1"/>
  <c r="I492" i="60" s="1"/>
  <c r="H494" i="60"/>
  <c r="H493" i="60" s="1"/>
  <c r="H492" i="60" s="1"/>
  <c r="I195" i="60"/>
  <c r="I194" i="60" s="1"/>
  <c r="I193" i="60" s="1"/>
  <c r="I90" i="60"/>
  <c r="I338" i="60"/>
  <c r="I337" i="60" s="1"/>
  <c r="I51" i="60"/>
  <c r="I64" i="60"/>
  <c r="I63" i="60" s="1"/>
  <c r="I62" i="60" s="1"/>
  <c r="H148" i="60"/>
  <c r="H138" i="60" s="1"/>
  <c r="I148" i="60"/>
  <c r="I166" i="60"/>
  <c r="I173" i="60"/>
  <c r="I172" i="60" s="1"/>
  <c r="H173" i="60"/>
  <c r="H172" i="60" s="1"/>
  <c r="I227" i="60"/>
  <c r="I226" i="60" s="1"/>
  <c r="I220" i="60" s="1"/>
  <c r="H227" i="60"/>
  <c r="H226" i="60" s="1"/>
  <c r="H220" i="60" s="1"/>
  <c r="I281" i="60"/>
  <c r="I316" i="60"/>
  <c r="H316" i="60"/>
  <c r="H315" i="60" s="1"/>
  <c r="H314" i="60" s="1"/>
  <c r="I323" i="60"/>
  <c r="I322" i="60" s="1"/>
  <c r="H328" i="60"/>
  <c r="H327" i="60" s="1"/>
  <c r="H381" i="60"/>
  <c r="H345" i="60" s="1"/>
  <c r="I450" i="60"/>
  <c r="I449" i="60" s="1"/>
  <c r="H450" i="60"/>
  <c r="H449" i="60" s="1"/>
  <c r="I463" i="60"/>
  <c r="I462" i="60" s="1"/>
  <c r="I461" i="60" s="1"/>
  <c r="I460" i="60" s="1"/>
  <c r="I459" i="60" s="1"/>
  <c r="H50" i="60"/>
  <c r="H49" i="60" s="1"/>
  <c r="P12" i="57"/>
  <c r="Q12" i="57"/>
  <c r="R12" i="57"/>
  <c r="H72" i="60" l="1"/>
  <c r="H517" i="60"/>
  <c r="H163" i="60"/>
  <c r="I165" i="60"/>
  <c r="I164" i="60" s="1"/>
  <c r="I163" i="60" s="1"/>
  <c r="H515" i="60"/>
  <c r="D10" i="53" s="1"/>
  <c r="I50" i="60"/>
  <c r="I513" i="60"/>
  <c r="H513" i="60"/>
  <c r="D12" i="53" s="1"/>
  <c r="I246" i="60"/>
  <c r="I241" i="60" s="1"/>
  <c r="H107" i="60"/>
  <c r="H262" i="60"/>
  <c r="H240" i="60" s="1"/>
  <c r="H514" i="60"/>
  <c r="D11" i="53" s="1"/>
  <c r="I235" i="60"/>
  <c r="I234" i="60" s="1"/>
  <c r="I491" i="60"/>
  <c r="H491" i="60"/>
  <c r="I381" i="60"/>
  <c r="H415" i="60"/>
  <c r="H410" i="60" s="1"/>
  <c r="I415" i="60"/>
  <c r="I410" i="60" s="1"/>
  <c r="I138" i="60"/>
  <c r="H23" i="60"/>
  <c r="I108" i="60"/>
  <c r="I107" i="60" s="1"/>
  <c r="I315" i="60"/>
  <c r="I314" i="60" s="1"/>
  <c r="I328" i="60"/>
  <c r="I327" i="60" s="1"/>
  <c r="I49" i="60"/>
  <c r="H137" i="60"/>
  <c r="I137" i="60" l="1"/>
  <c r="I30" i="60"/>
  <c r="I25" i="60" s="1"/>
  <c r="I24" i="60" s="1"/>
  <c r="I266" i="60"/>
  <c r="I265" i="60" s="1"/>
  <c r="I264" i="60" s="1"/>
  <c r="I263" i="60" s="1"/>
  <c r="I515" i="60" l="1"/>
  <c r="I275" i="60"/>
  <c r="I268" i="60" s="1"/>
  <c r="I267" i="60" l="1"/>
  <c r="G236" i="60"/>
  <c r="G235" i="60" l="1"/>
  <c r="G234" i="60" s="1"/>
  <c r="I262" i="60"/>
  <c r="I240" i="60" s="1"/>
  <c r="G9" i="57"/>
  <c r="G31" i="57" s="1"/>
  <c r="H9" i="57"/>
  <c r="H31" i="57" s="1"/>
  <c r="I9" i="57"/>
  <c r="I31" i="57" s="1"/>
  <c r="J9" i="57"/>
  <c r="J31" i="57" s="1"/>
  <c r="K9" i="57"/>
  <c r="K31" i="57" s="1"/>
  <c r="L9" i="57"/>
  <c r="L31" i="57" s="1"/>
  <c r="M9" i="57"/>
  <c r="M31" i="57" s="1"/>
  <c r="N9" i="57"/>
  <c r="N31" i="57" s="1"/>
  <c r="O9" i="57"/>
  <c r="O31" i="57" s="1"/>
  <c r="P10" i="57"/>
  <c r="Q10" i="57"/>
  <c r="R10" i="57"/>
  <c r="E10" i="57"/>
  <c r="F9" i="57" l="1"/>
  <c r="F31" i="57" s="1"/>
  <c r="G509" i="60"/>
  <c r="G508" i="60" s="1"/>
  <c r="G495" i="60"/>
  <c r="G487" i="60"/>
  <c r="G486" i="60" s="1"/>
  <c r="G485" i="60" s="1"/>
  <c r="G484" i="60" s="1"/>
  <c r="G482" i="60"/>
  <c r="G481" i="60" s="1"/>
  <c r="G480" i="60" s="1"/>
  <c r="G479" i="60" s="1"/>
  <c r="G478" i="60" s="1"/>
  <c r="G463" i="60"/>
  <c r="G462" i="60" s="1"/>
  <c r="G461" i="60" s="1"/>
  <c r="G460" i="60" s="1"/>
  <c r="G459" i="60" s="1"/>
  <c r="G457" i="60"/>
  <c r="G456" i="60" s="1"/>
  <c r="G455" i="60" s="1"/>
  <c r="G453" i="60"/>
  <c r="G451" i="60"/>
  <c r="G444" i="60"/>
  <c r="G443" i="60" s="1"/>
  <c r="G442" i="60" s="1"/>
  <c r="G441" i="60" s="1"/>
  <c r="G437" i="60"/>
  <c r="G435" i="60"/>
  <c r="G426" i="60"/>
  <c r="G422" i="60"/>
  <c r="G417" i="60" s="1"/>
  <c r="G413" i="60"/>
  <c r="G412" i="60" s="1"/>
  <c r="G411" i="60" s="1"/>
  <c r="G408" i="60"/>
  <c r="G407" i="60" s="1"/>
  <c r="G406" i="60" s="1"/>
  <c r="G405" i="60" s="1"/>
  <c r="G399" i="60" s="1"/>
  <c r="G395" i="60"/>
  <c r="G385" i="60"/>
  <c r="G382" i="60" s="1"/>
  <c r="G374" i="60"/>
  <c r="G371" i="60" s="1"/>
  <c r="G356" i="60" s="1"/>
  <c r="G353" i="60" s="1"/>
  <c r="G346" i="60" s="1"/>
  <c r="G338" i="60"/>
  <c r="G337" i="60" s="1"/>
  <c r="G329" i="60"/>
  <c r="G317" i="60"/>
  <c r="G312" i="60"/>
  <c r="G311" i="60" s="1"/>
  <c r="G310" i="60" s="1"/>
  <c r="G309" i="60" s="1"/>
  <c r="G296" i="60"/>
  <c r="G294" i="60"/>
  <c r="G292" i="60"/>
  <c r="G288" i="60"/>
  <c r="G286" i="60"/>
  <c r="G284" i="60"/>
  <c r="G281" i="60" s="1"/>
  <c r="G279" i="60"/>
  <c r="G275" i="60" s="1"/>
  <c r="G246" i="60"/>
  <c r="G241" i="60" s="1"/>
  <c r="G195" i="60"/>
  <c r="G194" i="60" s="1"/>
  <c r="G193" i="60" s="1"/>
  <c r="G181" i="60"/>
  <c r="G180" i="60" s="1"/>
  <c r="G178" i="60"/>
  <c r="G166" i="60"/>
  <c r="G156" i="60"/>
  <c r="G155" i="60" s="1"/>
  <c r="G154" i="60" s="1"/>
  <c r="G153" i="60" s="1"/>
  <c r="G151" i="60"/>
  <c r="G149" i="60"/>
  <c r="G139" i="60"/>
  <c r="G135" i="60"/>
  <c r="G130" i="60"/>
  <c r="G105" i="60"/>
  <c r="G104" i="60" s="1"/>
  <c r="G103" i="60" s="1"/>
  <c r="I99" i="60"/>
  <c r="I98" i="60"/>
  <c r="G93" i="60"/>
  <c r="G90" i="60"/>
  <c r="G76" i="60"/>
  <c r="G73" i="60" s="1"/>
  <c r="G64" i="60"/>
  <c r="G63" i="60" s="1"/>
  <c r="G62" i="60" s="1"/>
  <c r="G58" i="60"/>
  <c r="G47" i="60"/>
  <c r="G38" i="60"/>
  <c r="G37" i="60" s="1"/>
  <c r="G35" i="60"/>
  <c r="G34" i="60" s="1"/>
  <c r="G25" i="60"/>
  <c r="G24" i="60" s="1"/>
  <c r="G17" i="60"/>
  <c r="G268" i="60" l="1"/>
  <c r="G267" i="60" s="1"/>
  <c r="G262" i="60" s="1"/>
  <c r="G165" i="60"/>
  <c r="G164" i="60" s="1"/>
  <c r="G432" i="60"/>
  <c r="G425" i="60"/>
  <c r="G424" i="60" s="1"/>
  <c r="G127" i="60"/>
  <c r="G126" i="60" s="1"/>
  <c r="G125" i="60" s="1"/>
  <c r="G416" i="60"/>
  <c r="G72" i="60"/>
  <c r="G102" i="60"/>
  <c r="G101" i="60" s="1"/>
  <c r="G494" i="60"/>
  <c r="G493" i="60" s="1"/>
  <c r="G492" i="60" s="1"/>
  <c r="G450" i="60"/>
  <c r="G449" i="60" s="1"/>
  <c r="G500" i="60"/>
  <c r="G499" i="60" s="1"/>
  <c r="G328" i="60"/>
  <c r="G327" i="60" s="1"/>
  <c r="G227" i="60"/>
  <c r="G226" i="60" s="1"/>
  <c r="G220" i="60" s="1"/>
  <c r="H19" i="60"/>
  <c r="H16" i="60" s="1"/>
  <c r="H15" i="60" s="1"/>
  <c r="G43" i="60"/>
  <c r="G40" i="60" s="1"/>
  <c r="I45" i="60"/>
  <c r="I43" i="60" s="1"/>
  <c r="G88" i="60"/>
  <c r="G83" i="60" s="1"/>
  <c r="H88" i="60"/>
  <c r="H83" i="60" s="1"/>
  <c r="G381" i="60"/>
  <c r="I215" i="60"/>
  <c r="I214" i="60" s="1"/>
  <c r="I199" i="60" s="1"/>
  <c r="G16" i="60"/>
  <c r="G15" i="60" s="1"/>
  <c r="G14" i="60" s="1"/>
  <c r="G51" i="60"/>
  <c r="G50" i="60" s="1"/>
  <c r="G49" i="60" s="1"/>
  <c r="G148" i="60"/>
  <c r="G138" i="60" s="1"/>
  <c r="G316" i="60"/>
  <c r="G323" i="60"/>
  <c r="G322" i="60" s="1"/>
  <c r="G110" i="60"/>
  <c r="G109" i="60" s="1"/>
  <c r="G173" i="60"/>
  <c r="G172" i="60" s="1"/>
  <c r="E13" i="57"/>
  <c r="G163" i="60" l="1"/>
  <c r="G137" i="60" s="1"/>
  <c r="G515" i="60"/>
  <c r="C10" i="53" s="1"/>
  <c r="E10" i="53" s="1"/>
  <c r="F10" i="53" s="1"/>
  <c r="G513" i="60"/>
  <c r="C12" i="53" s="1"/>
  <c r="G517" i="60"/>
  <c r="G415" i="60"/>
  <c r="G410" i="60" s="1"/>
  <c r="H14" i="60"/>
  <c r="G108" i="60"/>
  <c r="G107" i="60" s="1"/>
  <c r="I40" i="60"/>
  <c r="G23" i="60"/>
  <c r="H198" i="60"/>
  <c r="G491" i="60"/>
  <c r="G198" i="60"/>
  <c r="G192" i="60" s="1"/>
  <c r="G190" i="60" s="1"/>
  <c r="G78" i="60"/>
  <c r="G345" i="60"/>
  <c r="I373" i="60"/>
  <c r="I371" i="60" s="1"/>
  <c r="I356" i="60" s="1"/>
  <c r="I353" i="60" s="1"/>
  <c r="I22" i="60"/>
  <c r="I19" i="60" s="1"/>
  <c r="I16" i="60" s="1"/>
  <c r="I15" i="60" s="1"/>
  <c r="I14" i="60" s="1"/>
  <c r="I88" i="60"/>
  <c r="I83" i="60" s="1"/>
  <c r="G315" i="60"/>
  <c r="G314" i="60" s="1"/>
  <c r="G240" i="60" s="1"/>
  <c r="I346" i="60" l="1"/>
  <c r="I345" i="60" s="1"/>
  <c r="I514" i="60"/>
  <c r="G514" i="60"/>
  <c r="C11" i="53" s="1"/>
  <c r="E11" i="53" s="1"/>
  <c r="G8" i="60"/>
  <c r="I517" i="60"/>
  <c r="G516" i="60"/>
  <c r="H516" i="60"/>
  <c r="D13" i="53" s="1"/>
  <c r="E12" i="53"/>
  <c r="F12" i="53" s="1"/>
  <c r="G512" i="60"/>
  <c r="G521" i="60" s="1"/>
  <c r="I23" i="60"/>
  <c r="H192" i="60"/>
  <c r="H190" i="60" s="1"/>
  <c r="I198" i="60"/>
  <c r="I516" i="60" s="1"/>
  <c r="H78" i="60"/>
  <c r="H8" i="60" s="1"/>
  <c r="H518" i="60" l="1"/>
  <c r="F11" i="53"/>
  <c r="G518" i="60"/>
  <c r="G519" i="60" s="1"/>
  <c r="C13" i="53"/>
  <c r="E13" i="53" s="1"/>
  <c r="F13" i="53" s="1"/>
  <c r="I518" i="60"/>
  <c r="H512" i="60"/>
  <c r="D18" i="53"/>
  <c r="I192" i="60"/>
  <c r="I190" i="60" s="1"/>
  <c r="I78" i="60"/>
  <c r="I8" i="60" s="1"/>
  <c r="K8" i="60"/>
  <c r="C18" i="53" l="1"/>
  <c r="H519" i="60"/>
  <c r="E18" i="53"/>
  <c r="I512" i="60"/>
  <c r="I519" i="60" l="1"/>
  <c r="E11" i="57"/>
  <c r="E9" i="57"/>
  <c r="E31" i="57" l="1"/>
  <c r="E36" i="57" s="1"/>
  <c r="E33" i="57" l="1"/>
</calcChain>
</file>

<file path=xl/comments1.xml><?xml version="1.0" encoding="utf-8"?>
<comments xmlns="http://schemas.openxmlformats.org/spreadsheetml/2006/main">
  <authors>
    <author>Ba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Ba: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<sst xmlns="http://schemas.openxmlformats.org/spreadsheetml/2006/main" count="2364" uniqueCount="561">
  <si>
    <t>(тыс.рублей)</t>
  </si>
  <si>
    <t>Цель гарантирования</t>
  </si>
  <si>
    <t>Общая сумма</t>
  </si>
  <si>
    <t>ИТОГО</t>
  </si>
  <si>
    <t>За счет источников финансирования дефицита бюджета</t>
  </si>
  <si>
    <t>За счет расходов   бюджета муниципального образования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</si>
  <si>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</si>
  <si>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</si>
  <si>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Наличие права регрессного требования гаранта к принципалу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</si>
  <si>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</si>
  <si>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</si>
  <si>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</si>
  <si>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</si>
  <si>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</si>
  <si>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</si>
  <si>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</si>
  <si>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</si>
  <si>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</si>
  <si>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Коммунальное хозяйство</t>
  </si>
  <si>
    <t>Жилищное хозяйство</t>
  </si>
  <si>
    <t>Сельское хозяйство и рыболовство</t>
  </si>
  <si>
    <t>Другие общегосударственные вопросы</t>
  </si>
  <si>
    <t>Резервные фонды</t>
  </si>
  <si>
    <t>№ п/п</t>
  </si>
  <si>
    <t>Наименование показателей</t>
  </si>
  <si>
    <t>3</t>
  </si>
  <si>
    <t>4</t>
  </si>
  <si>
    <t>5</t>
  </si>
  <si>
    <t>Наименование объекта</t>
  </si>
  <si>
    <t>Объем расходов всего</t>
  </si>
  <si>
    <t>за счет местного бюджета</t>
  </si>
  <si>
    <t>2017 год</t>
  </si>
  <si>
    <t>2016 год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</si>
  <si>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</si>
  <si>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</si>
  <si>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(тыс. рублей)</t>
  </si>
  <si>
    <t>Программа муниципальных гарантий  муниципального образования "________ района"в валюте Российской Федерации на 2015 год</t>
  </si>
  <si>
    <t>Всего</t>
  </si>
  <si>
    <t>2. Общий объем бюджетных ассигнований, предусмотренных на исполнение муниципальных гарантий  муниципального образования "___________ района"  по возможным гарантийным случаям в 2015 году</t>
  </si>
  <si>
    <t>тыс. рублей</t>
  </si>
  <si>
    <t>КОД</t>
  </si>
  <si>
    <t>Наименование программы</t>
  </si>
  <si>
    <t>01</t>
  </si>
  <si>
    <t>02</t>
  </si>
  <si>
    <t>03</t>
  </si>
  <si>
    <t>04</t>
  </si>
  <si>
    <t>05</t>
  </si>
  <si>
    <t>06</t>
  </si>
  <si>
    <t>07</t>
  </si>
  <si>
    <t>08</t>
  </si>
  <si>
    <t>Итого</t>
  </si>
  <si>
    <t>Сумма                            на 2015 год</t>
  </si>
  <si>
    <t>за счет субсидий и иных межбюджетных трансфертов из республиканского бюджета Республики Алтай</t>
  </si>
  <si>
    <t>Показатели</t>
  </si>
  <si>
    <t>1</t>
  </si>
  <si>
    <t>2</t>
  </si>
  <si>
    <t>Наименование (категория) принципала</t>
  </si>
  <si>
    <t>Сумма гарантирования, тыс.рублей</t>
  </si>
  <si>
    <t>Проверка финансового состояния принципала</t>
  </si>
  <si>
    <t>Иные условия предоставления муниципальных гарантий</t>
  </si>
  <si>
    <t>1. Перечень муниципальных гарантий муниципального образования "__________________________"  , подлежащих предоставлению в 2015 году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</si>
  <si>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</si>
  <si>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</si>
  <si>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Программа муниципальных гарантий   муниципального образования "_________________"в валюте Российской Федерации на 2016-2017 годы</t>
  </si>
  <si>
    <t>ИТОГО:</t>
  </si>
  <si>
    <t>1. Перечень муниципальных гарантий муниципального образования "_______________________"  , подлежащих предоставлению на 2016 и 2017 годы</t>
  </si>
  <si>
    <t>2. Общий объем бюджетных ассигнований, предусмотренных на исполнение муниципальных гарантий  муниципального образования "__________________ района"по возможным гарантийным случаям в 2016 и 2017 годах</t>
  </si>
  <si>
    <t xml:space="preserve">Исполнение муниципальных гарантий </t>
  </si>
  <si>
    <t>в 2016 году</t>
  </si>
  <si>
    <t xml:space="preserve">в 2017 году </t>
  </si>
  <si>
    <t>Объем бюджетных ассигнований на исполнение муниципальных гарантий по возможным гарантийным случаям, тыс. рублей</t>
  </si>
  <si>
    <t>Раздел</t>
  </si>
  <si>
    <t>Подраздел</t>
  </si>
  <si>
    <t>Целевая статья</t>
  </si>
  <si>
    <t>Вид расходов</t>
  </si>
  <si>
    <t>Приложение 34
к решению «О бюджете 
муниципального образования "___________ район"
на 2015 год и на плановый 
период 2016 и 2017 годов»</t>
  </si>
  <si>
    <t>Приложение 33
к решению «О бюджете 
муниципального образования "___________ район"
на 2015 год и на плановый 
период 2016 и 2017 годов»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</si>
  <si>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</si>
  <si>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</si>
  <si>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</si>
  <si>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ВЦП "Развитие доступного дошкольного образования в муниципальном образовании "Онгудайский район" на 2013-2015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</si>
  <si>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</si>
  <si>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</si>
  <si>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</si>
  <si>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</si>
  <si>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</si>
  <si>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Субсидии бюджетным учреждениям на иные цели</t>
  </si>
  <si>
    <t>612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</si>
  <si>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</si>
  <si>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</si>
  <si>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</si>
  <si>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</si>
  <si>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</si>
  <si>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</si>
  <si>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</si>
  <si>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</si>
  <si>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</si>
  <si>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</si>
  <si>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0200000</t>
  </si>
  <si>
    <t>0230000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</si>
  <si>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</si>
  <si>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</si>
  <si>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</si>
  <si>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</si>
  <si>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</si>
  <si>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</si>
  <si>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</si>
  <si>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</si>
  <si>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</si>
  <si>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</si>
  <si>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</si>
  <si>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</si>
  <si>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</si>
  <si>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</si>
  <si>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</si>
  <si>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</si>
  <si>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</si>
  <si>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</si>
  <si>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</si>
  <si>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</si>
  <si>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</si>
  <si>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Социальная политика</t>
  </si>
  <si>
    <t>10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</si>
  <si>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</si>
  <si>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0232521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</si>
  <si>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</si>
  <si>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</si>
  <si>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</si>
  <si>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</si>
  <si>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</si>
  <si>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</si>
  <si>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</si>
  <si>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</si>
  <si>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</si>
  <si>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</si>
  <si>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</si>
  <si>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</si>
  <si>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</si>
  <si>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</si>
  <si>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</si>
  <si>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</si>
  <si>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</si>
  <si>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</si>
  <si>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</si>
  <si>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</si>
  <si>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</si>
  <si>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</si>
  <si>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</si>
  <si>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</si>
  <si>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Национальная оборона</t>
  </si>
  <si>
    <t>00</t>
  </si>
  <si>
    <t>Мобилизационная  и вневойсковая подготовка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</si>
  <si>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</si>
  <si>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</si>
  <si>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</si>
  <si>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</si>
  <si>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</si>
  <si>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</si>
  <si>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</si>
  <si>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</si>
  <si>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</si>
  <si>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</si>
  <si>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</si>
  <si>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</si>
  <si>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Высшее должностное лицо муниципального образования и его заместители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</si>
  <si>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</si>
  <si>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</si>
  <si>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</si>
  <si>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</si>
  <si>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</si>
  <si>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</si>
  <si>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</si>
  <si>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</si>
  <si>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 xml:space="preserve">Уплата налога на имущество организаций и земельного налога
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</si>
  <si>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</si>
  <si>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</si>
  <si>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</si>
  <si>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</si>
  <si>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</si>
  <si>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</si>
  <si>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</si>
  <si>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</si>
  <si>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</si>
  <si>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</si>
  <si>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</si>
  <si>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</si>
  <si>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</si>
  <si>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</si>
  <si>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</si>
  <si>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</si>
  <si>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>0413000</t>
  </si>
  <si>
    <t>Национальная экономика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</si>
  <si>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</si>
  <si>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</si>
  <si>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</si>
  <si>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</si>
  <si>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</si>
  <si>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</si>
  <si>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</si>
  <si>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0422000</t>
  </si>
  <si>
    <t>Другие вопросы в области  национальной экономики</t>
  </si>
  <si>
    <t>12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</si>
  <si>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</si>
  <si>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</si>
  <si>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</si>
  <si>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</si>
  <si>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</si>
  <si>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</si>
  <si>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</si>
  <si>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</si>
  <si>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</si>
  <si>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</si>
  <si>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</si>
  <si>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</si>
  <si>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</si>
  <si>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</si>
  <si>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Жилищно-коммунальное хозяйство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</si>
  <si>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</si>
  <si>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</si>
  <si>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</si>
  <si>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</si>
  <si>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</si>
  <si>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</si>
  <si>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</si>
  <si>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</si>
  <si>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</si>
  <si>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</si>
  <si>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</si>
  <si>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</si>
  <si>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</si>
  <si>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</si>
  <si>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</si>
  <si>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</si>
  <si>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</si>
  <si>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</si>
  <si>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</si>
  <si>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</si>
  <si>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</si>
  <si>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</si>
  <si>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</si>
  <si>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</si>
  <si>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</si>
  <si>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</si>
  <si>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</si>
  <si>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</si>
  <si>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</si>
  <si>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</si>
  <si>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</si>
  <si>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</si>
  <si>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</si>
  <si>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</si>
  <si>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</si>
  <si>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</si>
  <si>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</si>
  <si>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</si>
  <si>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</si>
  <si>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</si>
  <si>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</si>
  <si>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</si>
  <si>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</si>
  <si>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0213000</t>
  </si>
  <si>
    <t>Культура и кинематография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</si>
  <si>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</si>
  <si>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</si>
  <si>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</si>
  <si>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</si>
  <si>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</si>
  <si>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</si>
  <si>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</si>
  <si>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</si>
  <si>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Уплата налога на имущество организаций и земельного налога</t>
  </si>
  <si>
    <t>Подпрограмма "Развитие систем социальной поддержки населения муниципального образования "Онгудайский район" на 2013-2018 гг."</t>
  </si>
  <si>
    <t>ВЦП "Социальная защита населения (ветераны, институт семьи) в муниципальном образовании "Онгудайский район" на 2013-2015 гг."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</si>
  <si>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</si>
  <si>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</si>
  <si>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</si>
  <si>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</si>
  <si>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Итого условно утверждаемые расходы</t>
  </si>
  <si>
    <t>99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</si>
  <si>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</si>
  <si>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2015 год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</si>
  <si>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</si>
  <si>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</si>
  <si>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</si>
  <si>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</si>
  <si>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</si>
  <si>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</si>
  <si>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</si>
  <si>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</si>
  <si>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</si>
  <si>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</si>
  <si>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</si>
  <si>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</si>
  <si>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</si>
  <si>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</si>
  <si>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</si>
  <si>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</si>
  <si>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0311М00</t>
  </si>
  <si>
    <t>0422001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</si>
  <si>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</si>
  <si>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</si>
  <si>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1.1.1.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</si>
  <si>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</si>
  <si>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</si>
  <si>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</si>
  <si>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</si>
  <si>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</si>
  <si>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</si>
  <si>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</si>
  <si>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</si>
  <si>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</si>
  <si>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</si>
  <si>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</si>
  <si>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Дорожный фонд муниципального образования "Онгудайский район"</t>
  </si>
  <si>
    <t>04220Д0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</si>
  <si>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</si>
  <si>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</si>
  <si>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</si>
  <si>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</si>
  <si>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</si>
  <si>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</si>
  <si>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</si>
  <si>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</si>
  <si>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</si>
  <si>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02160Л0</t>
  </si>
  <si>
    <t>Обеспечение мероприятий , посвященных 70-летию Победы в  Великой Отечественной войне 1941 - 1945 годов</t>
  </si>
  <si>
    <t>Здравоохранение</t>
  </si>
  <si>
    <t>Другие вопросы в области здравоохранения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</si>
  <si>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</si>
  <si>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 xml:space="preserve">Непрограммные направления деятельности </t>
  </si>
  <si>
    <t>9900003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</si>
  <si>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</si>
  <si>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</si>
  <si>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Прочие межбюджетные трансферты общего характера</t>
  </si>
  <si>
    <t>Иные дотации</t>
  </si>
  <si>
    <t>512</t>
  </si>
  <si>
    <t>0312534</t>
  </si>
  <si>
    <t>9990000</t>
  </si>
  <si>
    <t>000</t>
  </si>
  <si>
    <t>Приложение 14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</si>
  <si>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</si>
  <si>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на 2015год</t>
  </si>
  <si>
    <t>ВЦП  "Программа комплексного развития систем коммунальной инфраструктуры муниципального образования "Онгудайский район" на 2013-2015гг. "</t>
  </si>
  <si>
    <t xml:space="preserve"> Электроснабжение с. Онгудай (северо-восточная часть ) 3-я очередь</t>
  </si>
  <si>
    <t>0231506</t>
  </si>
  <si>
    <t>0231507</t>
  </si>
  <si>
    <t>0231508</t>
  </si>
  <si>
    <t xml:space="preserve">0413000 </t>
  </si>
  <si>
    <t>0412000</t>
  </si>
  <si>
    <t>0411000</t>
  </si>
  <si>
    <t>0410000</t>
  </si>
  <si>
    <t>Всего субвенций местным бюджетам</t>
  </si>
  <si>
    <t>Государственные полномочия Республики Алтай</t>
  </si>
  <si>
    <t>1.1.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</si>
  <si>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</si>
  <si>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</si>
  <si>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</si>
  <si>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2.2.</t>
  </si>
  <si>
    <t>Охрана окружающей среды</t>
  </si>
  <si>
    <t>630</t>
  </si>
  <si>
    <t>Другие вопросы в области охраны окружающей среды</t>
  </si>
  <si>
    <t>Субсидии некоммерческим организациям</t>
  </si>
  <si>
    <t>Организация и регулирование использования охотничьих ресурсов</t>
  </si>
  <si>
    <t>9900004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</si>
  <si>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</si>
  <si>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</si>
  <si>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Изменения</t>
  </si>
  <si>
    <t>Итого с изменениями 2015г</t>
  </si>
  <si>
    <t>Сумма  на 2015 год</t>
  </si>
  <si>
    <t xml:space="preserve">Приложение 18 </t>
  </si>
  <si>
    <t>Распределение межбюджетных трансфертов бюджетам сельских поселений муниципального образования "Онгудайский район" на 2015год</t>
  </si>
  <si>
    <t>Дотации на выравнивание уровня бюджетной обеспеченности сельских поселений муниципального образования</t>
  </si>
  <si>
    <t>3.</t>
  </si>
  <si>
    <t>3.1.</t>
  </si>
  <si>
    <t>Итого межбюджетные трансферты бюджетам сельских поселений муниципального образоваия</t>
  </si>
  <si>
    <t xml:space="preserve">Межбюджетные трансферты общего характера бюджетам сельских поселений муниципального образования </t>
  </si>
  <si>
    <t>Предоставление дотаций на выравнивание бюджетной обеспеченности бюджетам поселений за счет средств республиканского бюджета 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</si>
  <si>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Обеспечение деятельности  муниципального архива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</si>
  <si>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</si>
  <si>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9900008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</si>
  <si>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</si>
  <si>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</si>
  <si>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9900007</t>
  </si>
  <si>
    <t>412</t>
  </si>
  <si>
    <t>0220000</t>
  </si>
  <si>
    <t>0221000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</si>
  <si>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</si>
  <si>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Финансирование БУ ОКС муниципального образования "Онгудайский район"</t>
  </si>
  <si>
    <t>042Г503</t>
  </si>
  <si>
    <t>730</t>
  </si>
  <si>
    <t>Обслуживание муниципального долга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</si>
  <si>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</si>
  <si>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</si>
  <si>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</si>
  <si>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Обеспечение мероприятий, связанных с подготовкой и  ликвидацией  возникновения чрезвычайных ситуаций</t>
  </si>
  <si>
    <t>9900006</t>
  </si>
  <si>
    <t>0311М01</t>
  </si>
  <si>
    <t>Приложение 10</t>
  </si>
  <si>
    <t>Приложение 23</t>
  </si>
  <si>
    <t>3.2.</t>
  </si>
  <si>
    <t xml:space="preserve">Всего 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</si>
  <si>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</si>
  <si>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540</t>
  </si>
  <si>
    <t>Иные межбюджетные трансферты</t>
  </si>
  <si>
    <t>0414000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</si>
  <si>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</si>
  <si>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</si>
  <si>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</si>
  <si>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Мероприятия в области обеспечения  культурно-досугового  обслуживания населения</t>
  </si>
  <si>
    <t>Мероприятия в области обеспечения  библиотечного обслуживания населения</t>
  </si>
  <si>
    <t>Мероприятия в области технического  обеспечения  деятельности  отдела</t>
  </si>
  <si>
    <t>0211001</t>
  </si>
  <si>
    <t>0216001</t>
  </si>
  <si>
    <t>021Л000</t>
  </si>
  <si>
    <t>021Л001</t>
  </si>
  <si>
    <t>9900011</t>
  </si>
  <si>
    <t>Реконструкция  водопровода в с Купчегень Онгудайского района  Республики Алтай</t>
  </si>
  <si>
    <t>Мероприятия в области поддержки малого и среднего предпринимательства</t>
  </si>
  <si>
    <t>0222000</t>
  </si>
  <si>
    <t>023Л000</t>
  </si>
  <si>
    <t>99000Ш2</t>
  </si>
  <si>
    <t>990Л800</t>
  </si>
  <si>
    <t>0100800</t>
  </si>
  <si>
    <t>Внешнее электроснабжение жилого микрорайона "Южный" в с. Онгудай Онгудайского района (1-я очередь), (2-я очередь)</t>
  </si>
  <si>
    <t>02 3 1506</t>
  </si>
  <si>
    <t>0231598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</si>
  <si>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</si>
  <si>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</si>
  <si>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9901580</t>
  </si>
  <si>
    <t>9901590</t>
  </si>
  <si>
    <t>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</si>
  <si>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</si>
  <si>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Страхование финансовых рисков</t>
  </si>
  <si>
    <t>9900014</t>
  </si>
  <si>
    <t>0417502</t>
  </si>
  <si>
    <t>Выплата вознаграждения за добровольную сдачу незаконно хранящегося оружия, боеприпасов и взрывчатых устройств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</si>
  <si>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</si>
  <si>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</si>
  <si>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0118532</t>
  </si>
  <si>
    <t>011А531</t>
  </si>
  <si>
    <t>ВЦП "Развитие  агропромышленного комплекса муниципального образования "Онгудайский район" на 2013-2015 гг."</t>
  </si>
  <si>
    <t>0111000</t>
  </si>
  <si>
    <t>Возмещение  издержек, связанных с рассмотрением  дел в судах</t>
  </si>
  <si>
    <t>9900012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</si>
  <si>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</si>
  <si>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042Б512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</si>
  <si>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</si>
  <si>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</si>
  <si>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0235105</t>
  </si>
  <si>
    <t>02385П0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</si>
  <si>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</si>
  <si>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0111571</t>
  </si>
  <si>
    <t>Субсидии на повышение оплаты труда  работников  муниципальных учреждений культуры</t>
  </si>
  <si>
    <t>0211599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</si>
  <si>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</si>
  <si>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</si>
  <si>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0215147</t>
  </si>
  <si>
    <t>0215148</t>
  </si>
  <si>
    <t>622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</si>
  <si>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</si>
  <si>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0231513</t>
  </si>
  <si>
    <t>Субсидии автономным учреждениям на иные цели</t>
  </si>
  <si>
    <t>Резервный фонд по предупреждению и ликвидации чрезвычайных ситуаций и последствий стихийных бедствий</t>
  </si>
  <si>
    <t>99000Ш1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</si>
  <si>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</si>
  <si>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9905403</t>
  </si>
  <si>
    <t>Из резервного фонда для ликвидации ЧС</t>
  </si>
  <si>
    <t>Субсидии юридическимлицам (кроме некоммерческих организаций)</t>
  </si>
  <si>
    <t>Субсидии на предоставление грантов на поддержку местных инициатив граждан, проживающих в сельской местности</t>
  </si>
  <si>
    <t>Подпрограмма "Развитие конкурентоспособной экономики муниципального образования "Онгудайский район"на 2013-2018 гг."</t>
  </si>
  <si>
    <t>0111554</t>
  </si>
  <si>
    <t>Субвенции на осуществление первичного воинского учета на территориях, где отсутствуют военные комиссариаты</t>
  </si>
  <si>
    <t>Кредиторская задолженность по выполненным работам на услуги технического надзора: Онгудайская средняя школа</t>
  </si>
  <si>
    <t>Строительство скважины для водоснабжения села Чуйозы Онгудайского района</t>
  </si>
  <si>
    <t>3.3.</t>
  </si>
  <si>
    <t>3.4.</t>
  </si>
  <si>
    <t>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</t>
  </si>
  <si>
    <t>Кредиторская задолженность по выполненным работам: Строительство ЦРБ в с.Онгудай (корпус Г)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</si>
  <si>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</si>
  <si>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Обеспечение проживающих в поселении и нуждающихся в жилых помещениях малоимущих граждан жилыми помещениями, в части постановки на учет;</t>
  </si>
  <si>
    <t>Организация сбора и вывоза  бытовых отходов  и мусора</t>
  </si>
  <si>
    <t>Организация ритуальных услуг и содержание мест захоронения</t>
  </si>
  <si>
    <t>Участие в предупреждении и ликвидации последствий чрезвычайных ситуаций в границах поселения</t>
  </si>
  <si>
    <t>Организация и осуществление мероприятий  по территориальной обороне  и гражданской обороне,  защите населения и территории поселения  от чрезвычайных ситуаций природного и техногенного характера в части информирования, оповещения</t>
  </si>
  <si>
    <t>Осуществление мероприятий по обеспечению безопасности людей на водных объектах, охране их жизни и здоровья, в части обеспечения  безопасновти людей на водных объектах</t>
  </si>
  <si>
    <t>3.5</t>
  </si>
  <si>
    <t>3.6.</t>
  </si>
  <si>
    <t>Субсидии на модернизацию системы дошкольного образования</t>
  </si>
  <si>
    <t>0231501</t>
  </si>
  <si>
    <t>0234000</t>
  </si>
  <si>
    <t>Прочие межбюджетные трансферты по заключенным соглашениям о передаче полномочий</t>
  </si>
  <si>
    <t>0311М02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</si>
  <si>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</si>
  <si>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</si>
  <si>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Мероприятия по грантовой поддержке местных инициатив граждан, проживающих в сельской местности, Восстановление  и сохранение  мемориального комплекса ВОВ к 70-летию Победы в сЕло Онгудайского района</t>
  </si>
  <si>
    <t>Мероприятия по грантовой поддержке местных инициатив граждан, проживающих в сельской местности</t>
  </si>
  <si>
    <t>0115018</t>
  </si>
  <si>
    <t>Обеспечение проведения выборов и референдумов</t>
  </si>
  <si>
    <t>Подготовка и проведение выборов депутатов в представительный орган местного самоуправления</t>
  </si>
  <si>
    <t>Субсидии нана комплексное  обустройство объетами социальной и инженерной инфраструктуры населенных пунктов, расположенных в сельской местности</t>
  </si>
  <si>
    <t>04225П1</t>
  </si>
  <si>
    <t>Стационарная медицинская помощь</t>
  </si>
  <si>
    <t>ВЦП "Устойчивое развитие сельских территорий  на 2013-2015 годы"</t>
  </si>
  <si>
    <t>Строительство ЦРБ в с.Онгудай (корпус Г)</t>
  </si>
  <si>
    <t>0112002</t>
  </si>
  <si>
    <t>Мероприятия подпрограммы "Обеспечение жильем молодых семей"</t>
  </si>
  <si>
    <t>0215020</t>
  </si>
  <si>
    <t>Субсидии на обеспечение жилыми помещениями  молодых семей</t>
  </si>
  <si>
    <t>0211570</t>
  </si>
  <si>
    <t>Оказание материальной помощи, связанных с возникновением  чрезвычайных ситуаций</t>
  </si>
  <si>
    <t>Укрепление материально-технической базы и оснащение оборудованием детских школ искусств</t>
  </si>
  <si>
    <t>0235014</t>
  </si>
  <si>
    <t>Подключение общедоступных библиотек к сети интернет</t>
  </si>
  <si>
    <t>0215146</t>
  </si>
  <si>
    <t>3.7.</t>
  </si>
  <si>
    <t>Фонд оплаты труда казенных учреждений и взносы по обязательному социальному страхованию</t>
  </si>
  <si>
    <t>111</t>
  </si>
  <si>
    <t>На 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</si>
  <si>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Бурение разведывательно-эксплуатационной скважины в селе Иня Онгудайского района Республики Алтай</t>
  </si>
  <si>
    <t>Строительство  детского сада на 150 мест с котельной в с Онгудай (проведение повторной государственной экспертизы)</t>
  </si>
  <si>
    <t>в т.ч. Возмещение расходов на коммунальные услуги (э/энергия), благоустр</t>
  </si>
  <si>
    <t>Приложение 21</t>
  </si>
  <si>
    <t xml:space="preserve"> Распределение средств муниципального дорожного фонда муниципального образования "Онгудайский район" на 2015 год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</si>
  <si>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</si>
  <si>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</si>
  <si>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</si>
  <si>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Сумма на 2015 год </t>
  </si>
  <si>
    <t>Изменение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</si>
  <si>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</si>
  <si>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</si>
  <si>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</si>
  <si>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</si>
  <si>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</si>
  <si>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</si>
  <si>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1.1.1</t>
  </si>
  <si>
    <t xml:space="preserve"> Асфальтирование автомобильной дороги  на участке от ул Советской 164 до ул Космонавтов 80 ( подъезд к ЦРБ)</t>
  </si>
  <si>
    <t>1.1.2</t>
  </si>
  <si>
    <t>Проведение межевых работ  по внутрипоселковым дорогам в сельских поселениях</t>
  </si>
  <si>
    <t>1.1.3</t>
  </si>
  <si>
    <t>Резервные средства на  случай непредвиденных чрезвычайных расходов</t>
  </si>
  <si>
    <t>1.1.4</t>
  </si>
  <si>
    <t>Ямочный ремонт в с Онгудай по улицам Советская, Ленина, Семенова</t>
  </si>
  <si>
    <t>1.1.5.</t>
  </si>
  <si>
    <t>Установка знаков дорожного движения вблизи образовательных  учреждений в . с Онгудай</t>
  </si>
  <si>
    <t>1.1.6</t>
  </si>
  <si>
    <t>Подсыпка дорог в с Онгудай</t>
  </si>
  <si>
    <t>Субсидии на материально-техническое обеспечение школ</t>
  </si>
  <si>
    <t>0231503</t>
  </si>
  <si>
    <t>Софинанисрование ВЦП "Развитие малого и среднего предпринимвательства"</t>
  </si>
  <si>
    <t>0135064</t>
  </si>
  <si>
    <t>9901503</t>
  </si>
  <si>
    <t>Строительство спортивного зала по ул. Победы, 14в в  с. Шашикман Онгудайского района Республики Алтай</t>
  </si>
  <si>
    <t>1.1.7.</t>
  </si>
  <si>
    <t>Содержание дорог общего пользования местного значения на территории сельских поселений</t>
  </si>
  <si>
    <t>Содержание дорог общего пользования местного значения на территории сельских поселений: передача полномочий на основании заключенных соглашений</t>
  </si>
  <si>
    <t>в т.ч. Содержание дорог общего пользования местного значения на территории сельских поселений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</si>
  <si>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№14/3, от 22.10.2015г №15-4, от 24.12.2015г №17-2)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</si>
  <si>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от18.06.2015г№ 14/3, от 22.10.2015г №15-4, от 24.12.2015г №17-2)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</si>
  <si>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12-1, от 18.06.2015г № 14/3, от 22.10.2015г №15-4, от 24.12.2015г №17-2)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</si>
  <si>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от18.06.2015г № 14/3, от 24.12.2015г №17-2)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</si>
  <si>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№12-1, от18.06.2015г № 14/3, от 22.10.2015г № 15-4, от 24.12.2015г № 17-2)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</si>
</sst>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000"/>
    <numFmt numFmtId="168" formatCode="0.000"/>
    <numFmt numFmtId="169" formatCode="_-* #,##0_р_._-;\-* #,##0_р_._-;_-* &quot;-&quot;?_р_._-;_-@_-"/>
    <numFmt numFmtId="170" formatCode="_(* #,##0.00_);_(* \(#,##0.00\);_(* &quot;-&quot;??_);_(@_)"/>
    <numFmt numFmtId="171" formatCode="0.00000"/>
    <numFmt numFmtId="172" formatCode="#,##0.00_р_."/>
  </numFmts>
  <fonts count="6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37">
    <xf numFmtId="0" fontId="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</xf>
    <xf numFmtId="0" fontId="26" fillId="0" borderId="0">
      <alignment vertical="top"/>
    </xf>
    <xf numFmtId="0" fontId="7" fillId="0" borderId="0"/>
    <xf numFmtId="0" fontId="8" fillId="0" borderId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5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42" fillId="0" borderId="0"/>
    <xf numFmtId="0" fontId="25" fillId="0" borderId="0"/>
    <xf numFmtId="0" fontId="6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15" fillId="0" borderId="0"/>
    <xf numFmtId="0" fontId="8" fillId="0" borderId="0"/>
    <xf numFmtId="0" fontId="5" fillId="0" borderId="0"/>
    <xf numFmtId="0" fontId="8" fillId="0" borderId="0"/>
    <xf numFmtId="0" fontId="8" fillId="0" borderId="0"/>
    <xf numFmtId="43" fontId="28" fillId="0" borderId="0" applyFont="0" applyFill="0" applyBorder="0" applyAlignment="0" applyProtection="0"/>
    <xf numFmtId="0" fontId="25" fillId="0" borderId="0"/>
    <xf numFmtId="0" fontId="4" fillId="0" borderId="0"/>
    <xf numFmtId="0" fontId="3" fillId="0" borderId="0"/>
    <xf numFmtId="0" fontId="3" fillId="0" borderId="0"/>
    <xf numFmtId="43" fontId="25" fillId="0" borderId="0" applyFont="0" applyFill="0" applyBorder="0" applyAlignment="0" applyProtection="0"/>
    <xf numFmtId="0" fontId="51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3" fillId="0" borderId="0"/>
    <xf numFmtId="0" fontId="8" fillId="0" borderId="0"/>
    <xf numFmtId="0" fontId="8" fillId="0" borderId="0"/>
    <xf numFmtId="9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justify" wrapText="1"/>
    </xf>
    <xf numFmtId="4" fontId="0" fillId="0" borderId="0" xfId="0" applyNumberFormat="1" applyBorder="1" applyAlignment="1">
      <alignment wrapText="1"/>
    </xf>
    <xf numFmtId="0" fontId="13" fillId="0" borderId="0" xfId="0" applyFont="1" applyFill="1"/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justify" vertical="center"/>
    </xf>
    <xf numFmtId="166" fontId="10" fillId="3" borderId="0" xfId="8" applyNumberFormat="1" applyFont="1" applyFill="1" applyBorder="1" applyAlignment="1">
      <alignment horizontal="center" wrapText="1"/>
    </xf>
    <xf numFmtId="0" fontId="29" fillId="3" borderId="0" xfId="0" applyFont="1" applyFill="1" applyAlignment="1">
      <alignment horizontal="justify" vertical="center"/>
    </xf>
    <xf numFmtId="0" fontId="29" fillId="3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justify" wrapText="1"/>
    </xf>
    <xf numFmtId="0" fontId="30" fillId="3" borderId="1" xfId="0" applyFont="1" applyFill="1" applyBorder="1" applyAlignment="1">
      <alignment horizontal="justify" wrapText="1"/>
    </xf>
    <xf numFmtId="0" fontId="0" fillId="3" borderId="0" xfId="0" applyFont="1" applyFill="1" applyAlignment="1">
      <alignment horizontal="justify" vertical="center" wrapText="1"/>
    </xf>
    <xf numFmtId="166" fontId="0" fillId="3" borderId="0" xfId="8" applyNumberFormat="1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justify" vertical="center" wrapText="1"/>
    </xf>
    <xf numFmtId="0" fontId="15" fillId="0" borderId="0" xfId="9" applyFill="1" applyBorder="1"/>
    <xf numFmtId="0" fontId="18" fillId="0" borderId="0" xfId="9" applyFont="1" applyFill="1" applyBorder="1"/>
    <xf numFmtId="0" fontId="33" fillId="0" borderId="0" xfId="9" applyFont="1" applyFill="1" applyBorder="1"/>
    <xf numFmtId="1" fontId="33" fillId="0" borderId="0" xfId="9" applyNumberFormat="1" applyFont="1" applyFill="1" applyBorder="1"/>
    <xf numFmtId="49" fontId="19" fillId="0" borderId="0" xfId="9" applyNumberFormat="1" applyFont="1" applyFill="1" applyBorder="1" applyAlignment="1">
      <alignment horizontal="left" vertical="center"/>
    </xf>
    <xf numFmtId="0" fontId="18" fillId="0" borderId="0" xfId="9" applyFont="1" applyFill="1" applyBorder="1" applyAlignment="1">
      <alignment horizontal="center"/>
    </xf>
    <xf numFmtId="1" fontId="18" fillId="0" borderId="0" xfId="9" applyNumberFormat="1" applyFont="1" applyFill="1" applyBorder="1" applyAlignment="1">
      <alignment horizontal="center"/>
    </xf>
    <xf numFmtId="0" fontId="15" fillId="0" borderId="0" xfId="9" applyFill="1"/>
    <xf numFmtId="0" fontId="15" fillId="0" borderId="25" xfId="9" applyFont="1" applyFill="1" applyBorder="1" applyAlignment="1">
      <alignment horizontal="center" vertical="center"/>
    </xf>
    <xf numFmtId="0" fontId="18" fillId="0" borderId="25" xfId="9" applyFont="1" applyFill="1" applyBorder="1"/>
    <xf numFmtId="0" fontId="15" fillId="0" borderId="0" xfId="9" applyFont="1" applyFill="1"/>
    <xf numFmtId="166" fontId="31" fillId="0" borderId="0" xfId="9" applyNumberFormat="1" applyFont="1" applyFill="1" applyBorder="1"/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0" borderId="0" xfId="0" applyFill="1"/>
    <xf numFmtId="0" fontId="15" fillId="0" borderId="0" xfId="0" applyFont="1" applyFill="1"/>
    <xf numFmtId="0" fontId="20" fillId="0" borderId="0" xfId="0" applyFont="1"/>
    <xf numFmtId="167" fontId="15" fillId="0" borderId="0" xfId="0" applyNumberFormat="1" applyFont="1" applyBorder="1"/>
    <xf numFmtId="0" fontId="15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49" fontId="21" fillId="0" borderId="0" xfId="0" applyNumberFormat="1" applyFont="1" applyFill="1" applyAlignment="1">
      <alignment horizontal="center" vertical="top" wrapText="1"/>
    </xf>
    <xf numFmtId="0" fontId="22" fillId="0" borderId="0" xfId="0" applyFont="1" applyFill="1"/>
    <xf numFmtId="0" fontId="29" fillId="0" borderId="0" xfId="0" applyFont="1"/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justify" vertical="center" wrapText="1"/>
    </xf>
    <xf numFmtId="166" fontId="13" fillId="3" borderId="0" xfId="8" applyNumberFormat="1" applyFont="1" applyFill="1" applyBorder="1" applyAlignment="1">
      <alignment horizontal="center" wrapText="1"/>
    </xf>
    <xf numFmtId="0" fontId="29" fillId="3" borderId="0" xfId="0" applyFont="1" applyFill="1" applyAlignment="1">
      <alignment horizontal="justify" vertical="center" wrapText="1"/>
    </xf>
    <xf numFmtId="166" fontId="29" fillId="3" borderId="0" xfId="8" applyNumberFormat="1" applyFont="1" applyFill="1" applyAlignment="1">
      <alignment horizontal="center" vertical="center" wrapText="1"/>
    </xf>
    <xf numFmtId="43" fontId="34" fillId="3" borderId="0" xfId="0" applyNumberFormat="1" applyFont="1" applyFill="1" applyAlignment="1">
      <alignment horizontal="right" shrinkToFi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/>
    <xf numFmtId="0" fontId="38" fillId="0" borderId="0" xfId="0" applyFont="1" applyFill="1"/>
    <xf numFmtId="165" fontId="10" fillId="0" borderId="0" xfId="0" applyNumberFormat="1" applyFont="1" applyAlignment="1">
      <alignment horizontal="right" vertical="center" wrapText="1"/>
    </xf>
    <xf numFmtId="1" fontId="10" fillId="0" borderId="0" xfId="9" applyNumberFormat="1" applyFont="1" applyFill="1" applyBorder="1" applyAlignment="1">
      <alignment horizontal="center"/>
    </xf>
    <xf numFmtId="0" fontId="10" fillId="0" borderId="20" xfId="9" applyFont="1" applyFill="1" applyBorder="1"/>
    <xf numFmtId="0" fontId="10" fillId="0" borderId="21" xfId="9" applyFont="1" applyFill="1" applyBorder="1"/>
    <xf numFmtId="0" fontId="10" fillId="0" borderId="0" xfId="9" applyFont="1" applyFill="1" applyBorder="1"/>
    <xf numFmtId="0" fontId="10" fillId="0" borderId="14" xfId="9" applyFont="1" applyFill="1" applyBorder="1"/>
    <xf numFmtId="0" fontId="13" fillId="0" borderId="0" xfId="9" applyFont="1" applyFill="1" applyBorder="1"/>
    <xf numFmtId="0" fontId="13" fillId="0" borderId="17" xfId="9" applyFont="1" applyFill="1" applyBorder="1"/>
    <xf numFmtId="0" fontId="13" fillId="0" borderId="18" xfId="9" applyFont="1" applyFill="1" applyBorder="1"/>
    <xf numFmtId="0" fontId="13" fillId="0" borderId="19" xfId="9" applyFont="1" applyFill="1" applyBorder="1"/>
    <xf numFmtId="166" fontId="13" fillId="0" borderId="0" xfId="9" applyNumberFormat="1" applyFont="1" applyFill="1" applyBorder="1"/>
    <xf numFmtId="164" fontId="13" fillId="0" borderId="20" xfId="9" applyNumberFormat="1" applyFont="1" applyFill="1" applyBorder="1"/>
    <xf numFmtId="0" fontId="13" fillId="0" borderId="20" xfId="9" applyFont="1" applyFill="1" applyBorder="1"/>
    <xf numFmtId="0" fontId="13" fillId="0" borderId="14" xfId="9" applyFont="1" applyFill="1" applyBorder="1"/>
    <xf numFmtId="0" fontId="13" fillId="0" borderId="16" xfId="9" applyFont="1" applyFill="1" applyBorder="1"/>
    <xf numFmtId="0" fontId="13" fillId="0" borderId="13" xfId="9" applyFont="1" applyFill="1" applyBorder="1"/>
    <xf numFmtId="0" fontId="10" fillId="0" borderId="13" xfId="9" applyFont="1" applyFill="1" applyBorder="1"/>
    <xf numFmtId="166" fontId="14" fillId="3" borderId="1" xfId="8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vertical="center"/>
    </xf>
    <xf numFmtId="0" fontId="39" fillId="0" borderId="0" xfId="0" applyFont="1"/>
    <xf numFmtId="0" fontId="15" fillId="0" borderId="22" xfId="9" applyFont="1" applyFill="1" applyBorder="1"/>
    <xf numFmtId="0" fontId="15" fillId="0" borderId="23" xfId="9" applyFont="1" applyFill="1" applyBorder="1"/>
    <xf numFmtId="0" fontId="15" fillId="0" borderId="0" xfId="9" applyFont="1" applyFill="1" applyBorder="1"/>
    <xf numFmtId="0" fontId="15" fillId="0" borderId="15" xfId="9" applyFont="1" applyFill="1" applyBorder="1"/>
    <xf numFmtId="164" fontId="15" fillId="0" borderId="20" xfId="9" applyNumberFormat="1" applyFont="1" applyFill="1" applyBorder="1"/>
    <xf numFmtId="169" fontId="15" fillId="0" borderId="0" xfId="9" applyNumberFormat="1" applyFont="1" applyFill="1" applyBorder="1"/>
    <xf numFmtId="0" fontId="32" fillId="0" borderId="0" xfId="0" applyFont="1" applyFill="1" applyAlignment="1">
      <alignment horizontal="left" vertical="top" wrapText="1"/>
    </xf>
    <xf numFmtId="49" fontId="15" fillId="0" borderId="1" xfId="14" applyNumberFormat="1" applyFont="1" applyFill="1" applyBorder="1" applyAlignment="1">
      <alignment horizontal="left"/>
    </xf>
    <xf numFmtId="0" fontId="15" fillId="0" borderId="1" xfId="14" applyFont="1" applyFill="1" applyBorder="1" applyAlignment="1">
      <alignment horizontal="left" wrapText="1"/>
    </xf>
    <xf numFmtId="0" fontId="15" fillId="0" borderId="1" xfId="14" applyFont="1" applyFill="1" applyBorder="1" applyAlignment="1">
      <alignment horizontal="left"/>
    </xf>
    <xf numFmtId="0" fontId="15" fillId="0" borderId="1" xfId="14" applyNumberFormat="1" applyFont="1" applyFill="1" applyBorder="1" applyAlignment="1" applyProtection="1">
      <alignment horizontal="left" wrapText="1"/>
    </xf>
    <xf numFmtId="0" fontId="15" fillId="0" borderId="1" xfId="6" applyFont="1" applyFill="1" applyBorder="1" applyAlignment="1">
      <alignment horizontal="left" wrapText="1" shrinkToFit="1"/>
    </xf>
    <xf numFmtId="0" fontId="15" fillId="0" borderId="1" xfId="16" applyFont="1" applyFill="1" applyBorder="1" applyAlignment="1">
      <alignment horizontal="left" wrapText="1"/>
    </xf>
    <xf numFmtId="0" fontId="15" fillId="0" borderId="1" xfId="17" applyFont="1" applyFill="1" applyBorder="1" applyAlignment="1">
      <alignment horizontal="left" wrapText="1"/>
    </xf>
    <xf numFmtId="0" fontId="16" fillId="0" borderId="0" xfId="0" applyFont="1"/>
    <xf numFmtId="43" fontId="15" fillId="0" borderId="3" xfId="20" applyNumberFormat="1" applyFont="1" applyBorder="1" applyAlignment="1">
      <alignment vertical="center"/>
    </xf>
    <xf numFmtId="166" fontId="15" fillId="0" borderId="3" xfId="10" applyNumberFormat="1" applyFont="1" applyFill="1" applyBorder="1" applyAlignment="1">
      <alignment horizontal="center"/>
    </xf>
    <xf numFmtId="166" fontId="15" fillId="0" borderId="6" xfId="10" applyNumberFormat="1" applyFont="1" applyFill="1" applyBorder="1" applyAlignment="1">
      <alignment horizontal="center"/>
    </xf>
    <xf numFmtId="166" fontId="15" fillId="0" borderId="24" xfId="10" applyNumberFormat="1" applyFont="1" applyFill="1" applyBorder="1"/>
    <xf numFmtId="166" fontId="15" fillId="0" borderId="15" xfId="10" applyNumberFormat="1" applyFont="1" applyFill="1" applyBorder="1"/>
    <xf numFmtId="166" fontId="13" fillId="0" borderId="14" xfId="10" applyNumberFormat="1" applyFont="1" applyFill="1" applyBorder="1"/>
    <xf numFmtId="164" fontId="15" fillId="0" borderId="3" xfId="10" applyNumberFormat="1" applyFont="1" applyFill="1" applyBorder="1" applyAlignment="1">
      <alignment horizontal="center"/>
    </xf>
    <xf numFmtId="164" fontId="15" fillId="0" borderId="6" xfId="10" applyNumberFormat="1" applyFont="1" applyFill="1" applyBorder="1" applyAlignment="1">
      <alignment horizontal="center"/>
    </xf>
    <xf numFmtId="166" fontId="15" fillId="0" borderId="19" xfId="10" applyNumberFormat="1" applyFont="1" applyFill="1" applyBorder="1"/>
    <xf numFmtId="0" fontId="23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top" wrapText="1"/>
    </xf>
    <xf numFmtId="0" fontId="43" fillId="0" borderId="1" xfId="22" applyFont="1" applyBorder="1" applyAlignment="1">
      <alignment horizontal="left" wrapText="1"/>
    </xf>
    <xf numFmtId="0" fontId="43" fillId="0" borderId="1" xfId="22" applyFont="1" applyFill="1" applyBorder="1" applyAlignment="1">
      <alignment horizontal="left" wrapText="1"/>
    </xf>
    <xf numFmtId="49" fontId="43" fillId="0" borderId="1" xfId="22" applyNumberFormat="1" applyFont="1" applyFill="1" applyBorder="1" applyAlignment="1">
      <alignment horizontal="left"/>
    </xf>
    <xf numFmtId="49" fontId="43" fillId="0" borderId="1" xfId="22" applyNumberFormat="1" applyFont="1" applyBorder="1" applyAlignment="1">
      <alignment horizontal="left"/>
    </xf>
    <xf numFmtId="0" fontId="43" fillId="0" borderId="1" xfId="22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top" wrapText="1"/>
    </xf>
    <xf numFmtId="0" fontId="43" fillId="0" borderId="1" xfId="22" applyFont="1" applyBorder="1" applyAlignment="1">
      <alignment horizontal="justify" vertical="center" wrapText="1"/>
    </xf>
    <xf numFmtId="49" fontId="43" fillId="0" borderId="1" xfId="22" applyNumberFormat="1" applyFont="1" applyBorder="1" applyAlignment="1">
      <alignment horizontal="left" wrapText="1"/>
    </xf>
    <xf numFmtId="0" fontId="43" fillId="0" borderId="8" xfId="22" applyFont="1" applyFill="1" applyBorder="1" applyAlignment="1">
      <alignment horizontal="left" wrapText="1"/>
    </xf>
    <xf numFmtId="0" fontId="43" fillId="0" borderId="8" xfId="22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top" wrapText="1"/>
    </xf>
    <xf numFmtId="0" fontId="46" fillId="0" borderId="1" xfId="23" applyFont="1" applyFill="1" applyBorder="1" applyAlignment="1">
      <alignment horizontal="center" vertical="center" wrapText="1"/>
    </xf>
    <xf numFmtId="49" fontId="17" fillId="0" borderId="1" xfId="23" applyNumberFormat="1" applyFont="1" applyFill="1" applyBorder="1" applyAlignment="1">
      <alignment horizontal="center" vertical="center" wrapText="1"/>
    </xf>
    <xf numFmtId="0" fontId="23" fillId="0" borderId="1" xfId="23" applyFont="1" applyFill="1" applyBorder="1" applyAlignment="1">
      <alignment horizontal="center" vertical="top" wrapText="1"/>
    </xf>
    <xf numFmtId="49" fontId="23" fillId="0" borderId="1" xfId="23" applyNumberFormat="1" applyFont="1" applyFill="1" applyBorder="1" applyAlignment="1">
      <alignment horizontal="center" vertical="top" wrapText="1"/>
    </xf>
    <xf numFmtId="0" fontId="15" fillId="0" borderId="1" xfId="24" applyFont="1" applyFill="1" applyBorder="1" applyAlignment="1">
      <alignment horizontal="left" wrapText="1" shrinkToFit="1"/>
    </xf>
    <xf numFmtId="49" fontId="15" fillId="0" borderId="1" xfId="24" applyNumberFormat="1" applyFont="1" applyFill="1" applyBorder="1" applyAlignment="1">
      <alignment horizontal="left" wrapText="1"/>
    </xf>
    <xf numFmtId="0" fontId="15" fillId="0" borderId="1" xfId="23" applyFont="1" applyFill="1" applyBorder="1" applyAlignment="1">
      <alignment horizontal="left" wrapText="1"/>
    </xf>
    <xf numFmtId="0" fontId="15" fillId="0" borderId="1" xfId="22" applyFont="1" applyFill="1" applyBorder="1" applyAlignment="1">
      <alignment horizontal="left" vertical="center" wrapText="1"/>
    </xf>
    <xf numFmtId="0" fontId="15" fillId="0" borderId="1" xfId="23" applyFont="1" applyFill="1" applyBorder="1" applyAlignment="1">
      <alignment horizontal="left" wrapText="1" shrinkToFit="1"/>
    </xf>
    <xf numFmtId="49" fontId="15" fillId="0" borderId="1" xfId="24" applyNumberFormat="1" applyFont="1" applyFill="1" applyBorder="1" applyAlignment="1">
      <alignment horizontal="left" wrapText="1" shrinkToFit="1"/>
    </xf>
    <xf numFmtId="170" fontId="15" fillId="0" borderId="1" xfId="25" applyNumberFormat="1" applyFont="1" applyFill="1" applyBorder="1" applyAlignment="1">
      <alignment horizontal="left" wrapText="1"/>
    </xf>
    <xf numFmtId="0" fontId="15" fillId="0" borderId="1" xfId="22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49" fontId="31" fillId="0" borderId="1" xfId="14" applyNumberFormat="1" applyFont="1" applyFill="1" applyBorder="1" applyAlignment="1">
      <alignment horizontal="left"/>
    </xf>
    <xf numFmtId="49" fontId="15" fillId="0" borderId="1" xfId="23" applyNumberFormat="1" applyFont="1" applyFill="1" applyBorder="1" applyAlignment="1">
      <alignment horizontal="left"/>
    </xf>
    <xf numFmtId="49" fontId="15" fillId="0" borderId="1" xfId="14" applyNumberFormat="1" applyFont="1" applyFill="1" applyBorder="1" applyAlignment="1">
      <alignment horizontal="left" vertical="center"/>
    </xf>
    <xf numFmtId="49" fontId="43" fillId="0" borderId="1" xfId="22" applyNumberFormat="1" applyFont="1" applyBorder="1" applyAlignment="1">
      <alignment horizontal="left" vertical="center"/>
    </xf>
    <xf numFmtId="0" fontId="15" fillId="0" borderId="8" xfId="14" applyFont="1" applyFill="1" applyBorder="1" applyAlignment="1">
      <alignment horizontal="left" wrapText="1"/>
    </xf>
    <xf numFmtId="16" fontId="15" fillId="0" borderId="1" xfId="6" applyNumberFormat="1" applyFont="1" applyFill="1" applyBorder="1" applyAlignment="1">
      <alignment horizontal="left" wrapText="1" shrinkToFit="1"/>
    </xf>
    <xf numFmtId="0" fontId="15" fillId="0" borderId="1" xfId="17" applyFont="1" applyFill="1" applyBorder="1" applyAlignment="1">
      <alignment horizontal="left" vertical="center" wrapText="1"/>
    </xf>
    <xf numFmtId="0" fontId="21" fillId="0" borderId="1" xfId="23" applyFont="1" applyFill="1" applyBorder="1" applyAlignment="1">
      <alignment vertical="top" wrapText="1"/>
    </xf>
    <xf numFmtId="49" fontId="21" fillId="0" borderId="1" xfId="23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/>
    </xf>
    <xf numFmtId="0" fontId="12" fillId="0" borderId="1" xfId="11" applyFont="1" applyBorder="1" applyAlignment="1">
      <alignment vertical="top" wrapText="1"/>
    </xf>
    <xf numFmtId="0" fontId="12" fillId="0" borderId="1" xfId="19" applyFont="1" applyFill="1" applyBorder="1" applyAlignment="1">
      <alignment horizontal="left" vertical="center" wrapText="1"/>
    </xf>
    <xf numFmtId="0" fontId="47" fillId="0" borderId="0" xfId="0" applyFont="1"/>
    <xf numFmtId="0" fontId="12" fillId="0" borderId="1" xfId="0" applyFont="1" applyBorder="1" applyAlignment="1">
      <alignment vertical="top" wrapText="1"/>
    </xf>
    <xf numFmtId="0" fontId="48" fillId="0" borderId="0" xfId="0" applyFont="1"/>
    <xf numFmtId="0" fontId="11" fillId="0" borderId="1" xfId="0" applyFont="1" applyBorder="1" applyAlignment="1">
      <alignment horizontal="center" vertical="top" wrapText="1"/>
    </xf>
    <xf numFmtId="49" fontId="43" fillId="0" borderId="1" xfId="22" applyNumberFormat="1" applyFont="1" applyFill="1" applyBorder="1" applyAlignment="1">
      <alignment horizontal="left" wrapText="1"/>
    </xf>
    <xf numFmtId="3" fontId="43" fillId="0" borderId="1" xfId="22" applyNumberFormat="1" applyFont="1" applyBorder="1" applyAlignment="1">
      <alignment horizontal="left" wrapText="1"/>
    </xf>
    <xf numFmtId="0" fontId="11" fillId="0" borderId="1" xfId="9" applyFont="1" applyFill="1" applyBorder="1" applyAlignment="1">
      <alignment horizontal="justify" vertical="center" wrapText="1"/>
    </xf>
    <xf numFmtId="1" fontId="10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11" fillId="0" borderId="1" xfId="20" applyNumberFormat="1" applyFont="1" applyBorder="1" applyAlignment="1">
      <alignment vertical="center"/>
    </xf>
    <xf numFmtId="166" fontId="11" fillId="0" borderId="1" xfId="1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left" wrapText="1"/>
    </xf>
    <xf numFmtId="171" fontId="17" fillId="0" borderId="1" xfId="14" applyNumberFormat="1" applyFont="1" applyFill="1" applyBorder="1" applyAlignment="1">
      <alignment horizontal="center" vertical="center" wrapText="1"/>
    </xf>
    <xf numFmtId="168" fontId="15" fillId="0" borderId="0" xfId="14" applyNumberFormat="1" applyFont="1" applyFill="1" applyAlignment="1"/>
    <xf numFmtId="0" fontId="15" fillId="0" borderId="0" xfId="0" applyFont="1" applyAlignment="1"/>
    <xf numFmtId="0" fontId="0" fillId="0" borderId="0" xfId="0" applyAlignment="1"/>
    <xf numFmtId="0" fontId="1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0" borderId="12" xfId="0" applyFont="1" applyFill="1" applyBorder="1" applyAlignment="1">
      <alignment horizontal="right"/>
    </xf>
    <xf numFmtId="171" fontId="22" fillId="0" borderId="0" xfId="0" applyNumberFormat="1" applyFont="1" applyFill="1"/>
    <xf numFmtId="0" fontId="18" fillId="0" borderId="22" xfId="9" applyFont="1" applyFill="1" applyBorder="1"/>
    <xf numFmtId="0" fontId="18" fillId="0" borderId="23" xfId="9" applyFont="1" applyFill="1" applyBorder="1"/>
    <xf numFmtId="49" fontId="18" fillId="0" borderId="1" xfId="9" applyNumberFormat="1" applyFont="1" applyFill="1" applyBorder="1" applyAlignment="1">
      <alignment horizontal="center" vertical="center"/>
    </xf>
    <xf numFmtId="49" fontId="18" fillId="0" borderId="1" xfId="9" applyNumberFormat="1" applyFont="1" applyFill="1" applyBorder="1" applyAlignment="1">
      <alignment horizontal="center"/>
    </xf>
    <xf numFmtId="0" fontId="18" fillId="0" borderId="15" xfId="9" applyFont="1" applyFill="1" applyBorder="1"/>
    <xf numFmtId="166" fontId="18" fillId="0" borderId="0" xfId="9" applyNumberFormat="1" applyFont="1" applyFill="1" applyBorder="1"/>
    <xf numFmtId="43" fontId="10" fillId="0" borderId="1" xfId="20" applyNumberFormat="1" applyFont="1" applyBorder="1" applyAlignment="1">
      <alignment vertical="center"/>
    </xf>
    <xf numFmtId="43" fontId="10" fillId="2" borderId="1" xfId="20" applyNumberFormat="1" applyFont="1" applyFill="1" applyBorder="1" applyAlignment="1">
      <alignment vertical="center"/>
    </xf>
    <xf numFmtId="0" fontId="10" fillId="0" borderId="1" xfId="20" applyFont="1" applyBorder="1" applyAlignment="1">
      <alignment horizontal="justify"/>
    </xf>
    <xf numFmtId="43" fontId="10" fillId="0" borderId="1" xfId="20" applyNumberFormat="1" applyFont="1" applyFill="1" applyBorder="1" applyAlignment="1">
      <alignment vertical="center"/>
    </xf>
    <xf numFmtId="0" fontId="17" fillId="0" borderId="22" xfId="9" applyFont="1" applyFill="1" applyBorder="1"/>
    <xf numFmtId="0" fontId="17" fillId="0" borderId="23" xfId="9" applyFont="1" applyFill="1" applyBorder="1"/>
    <xf numFmtId="1" fontId="11" fillId="0" borderId="1" xfId="9" applyNumberFormat="1" applyFont="1" applyFill="1" applyBorder="1" applyAlignment="1" applyProtection="1">
      <alignment horizontal="justify" vertical="center" wrapText="1"/>
      <protection locked="0"/>
    </xf>
    <xf numFmtId="166" fontId="17" fillId="0" borderId="15" xfId="10" applyNumberFormat="1" applyFont="1" applyFill="1" applyBorder="1"/>
    <xf numFmtId="164" fontId="17" fillId="0" borderId="20" xfId="9" applyNumberFormat="1" applyFont="1" applyFill="1" applyBorder="1"/>
    <xf numFmtId="169" fontId="17" fillId="0" borderId="0" xfId="9" applyNumberFormat="1" applyFont="1" applyFill="1" applyBorder="1"/>
    <xf numFmtId="166" fontId="20" fillId="0" borderId="0" xfId="9" applyNumberFormat="1" applyFont="1" applyFill="1" applyBorder="1"/>
    <xf numFmtId="0" fontId="17" fillId="0" borderId="0" xfId="9" applyFont="1" applyFill="1" applyBorder="1"/>
    <xf numFmtId="0" fontId="17" fillId="0" borderId="15" xfId="9" applyFont="1" applyFill="1" applyBorder="1"/>
    <xf numFmtId="14" fontId="15" fillId="0" borderId="1" xfId="6" applyNumberFormat="1" applyFont="1" applyFill="1" applyBorder="1" applyAlignment="1">
      <alignment horizontal="left" wrapText="1" shrinkToFit="1"/>
    </xf>
    <xf numFmtId="0" fontId="43" fillId="0" borderId="1" xfId="15" applyFont="1" applyBorder="1" applyAlignment="1">
      <alignment horizontal="left" wrapText="1"/>
    </xf>
    <xf numFmtId="0" fontId="15" fillId="0" borderId="8" xfId="13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left" shrinkToFit="1"/>
    </xf>
    <xf numFmtId="171" fontId="15" fillId="0" borderId="0" xfId="14" applyNumberFormat="1" applyFont="1" applyFill="1" applyBorder="1" applyAlignment="1"/>
    <xf numFmtId="0" fontId="22" fillId="0" borderId="0" xfId="0" applyFont="1" applyFill="1" applyBorder="1"/>
    <xf numFmtId="0" fontId="15" fillId="0" borderId="1" xfId="9" applyFont="1" applyFill="1" applyBorder="1" applyAlignment="1">
      <alignment horizontal="justify" vertical="center" wrapText="1"/>
    </xf>
    <xf numFmtId="0" fontId="43" fillId="0" borderId="8" xfId="15" applyFont="1" applyFill="1" applyBorder="1" applyAlignment="1">
      <alignment horizontal="left" wrapText="1"/>
    </xf>
    <xf numFmtId="49" fontId="43" fillId="0" borderId="1" xfId="15" applyNumberFormat="1" applyFont="1" applyBorder="1" applyAlignment="1">
      <alignment horizontal="left"/>
    </xf>
    <xf numFmtId="0" fontId="0" fillId="0" borderId="0" xfId="0" applyAlignment="1">
      <alignment wrapText="1"/>
    </xf>
    <xf numFmtId="0" fontId="13" fillId="0" borderId="26" xfId="9" applyFont="1" applyFill="1" applyBorder="1"/>
    <xf numFmtId="0" fontId="10" fillId="0" borderId="26" xfId="9" applyFont="1" applyFill="1" applyBorder="1"/>
    <xf numFmtId="0" fontId="10" fillId="0" borderId="1" xfId="20" applyFont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justify" vertical="top" wrapText="1" shrinkToFit="1"/>
    </xf>
    <xf numFmtId="49" fontId="43" fillId="0" borderId="1" xfId="15" applyNumberFormat="1" applyFont="1" applyFill="1" applyBorder="1" applyAlignment="1">
      <alignment horizontal="left"/>
    </xf>
    <xf numFmtId="0" fontId="35" fillId="0" borderId="0" xfId="0" applyFont="1" applyFill="1" applyBorder="1"/>
    <xf numFmtId="0" fontId="36" fillId="0" borderId="0" xfId="0" applyFont="1" applyFill="1" applyBorder="1"/>
    <xf numFmtId="16" fontId="15" fillId="0" borderId="1" xfId="14" applyNumberFormat="1" applyFont="1" applyFill="1" applyBorder="1" applyAlignment="1">
      <alignment horizontal="left" wrapText="1"/>
    </xf>
    <xf numFmtId="0" fontId="43" fillId="0" borderId="1" xfId="15" applyFont="1" applyFill="1" applyBorder="1" applyAlignment="1">
      <alignment horizontal="left" wrapText="1"/>
    </xf>
    <xf numFmtId="0" fontId="15" fillId="0" borderId="1" xfId="24" applyFont="1" applyFill="1" applyBorder="1" applyAlignment="1">
      <alignment horizontal="left" vertical="top" wrapText="1" shrinkToFit="1"/>
    </xf>
    <xf numFmtId="0" fontId="15" fillId="0" borderId="1" xfId="16" applyFont="1" applyFill="1" applyBorder="1" applyAlignment="1">
      <alignment horizontal="left" vertical="top" wrapText="1"/>
    </xf>
    <xf numFmtId="0" fontId="43" fillId="0" borderId="1" xfId="22" applyFont="1" applyFill="1" applyBorder="1" applyAlignment="1">
      <alignment horizontal="left" vertical="top" wrapText="1"/>
    </xf>
    <xf numFmtId="43" fontId="11" fillId="0" borderId="1" xfId="10" applyNumberFormat="1" applyFont="1" applyFill="1" applyBorder="1" applyAlignment="1" applyProtection="1">
      <alignment vertical="center" wrapText="1"/>
      <protection locked="0"/>
    </xf>
    <xf numFmtId="43" fontId="10" fillId="0" borderId="1" xfId="10" applyNumberFormat="1" applyFont="1" applyFill="1" applyBorder="1" applyAlignment="1" applyProtection="1">
      <alignment vertical="center" wrapText="1"/>
      <protection locked="0"/>
    </xf>
    <xf numFmtId="43" fontId="10" fillId="0" borderId="1" xfId="10" applyNumberFormat="1" applyFont="1" applyFill="1" applyBorder="1" applyAlignment="1">
      <alignment vertical="center"/>
    </xf>
    <xf numFmtId="49" fontId="10" fillId="0" borderId="1" xfId="9" applyNumberFormat="1" applyFont="1" applyFill="1" applyBorder="1" applyAlignment="1">
      <alignment horizontal="center" vertical="center"/>
    </xf>
    <xf numFmtId="49" fontId="11" fillId="0" borderId="1" xfId="9" applyNumberFormat="1" applyFont="1" applyFill="1" applyBorder="1" applyAlignment="1">
      <alignment horizontal="center" vertical="center"/>
    </xf>
    <xf numFmtId="43" fontId="12" fillId="0" borderId="1" xfId="10" applyNumberFormat="1" applyFont="1" applyFill="1" applyBorder="1" applyAlignment="1">
      <alignment vertical="center"/>
    </xf>
    <xf numFmtId="49" fontId="15" fillId="0" borderId="1" xfId="22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Fill="1" applyAlignment="1">
      <alignment horizontal="left" wrapText="1"/>
    </xf>
    <xf numFmtId="49" fontId="43" fillId="0" borderId="1" xfId="15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/>
    </xf>
    <xf numFmtId="0" fontId="43" fillId="0" borderId="8" xfId="15" applyFont="1" applyFill="1" applyBorder="1" applyAlignment="1">
      <alignment horizontal="left" vertical="center" wrapText="1"/>
    </xf>
    <xf numFmtId="0" fontId="15" fillId="0" borderId="8" xfId="0" applyNumberFormat="1" applyFont="1" applyFill="1" applyBorder="1" applyAlignment="1">
      <alignment wrapText="1"/>
    </xf>
    <xf numFmtId="49" fontId="43" fillId="0" borderId="1" xfId="15" applyNumberFormat="1" applyFont="1" applyBorder="1" applyAlignment="1">
      <alignment horizontal="left" wrapText="1"/>
    </xf>
    <xf numFmtId="0" fontId="15" fillId="0" borderId="1" xfId="22" applyFont="1" applyFill="1" applyBorder="1" applyAlignment="1">
      <alignment horizontal="left" wrapText="1"/>
    </xf>
    <xf numFmtId="0" fontId="43" fillId="0" borderId="1" xfId="0" applyFont="1" applyFill="1" applyBorder="1" applyAlignment="1">
      <alignment horizontal="justify" vertical="center" wrapText="1"/>
    </xf>
    <xf numFmtId="0" fontId="15" fillId="0" borderId="1" xfId="0" applyFont="1" applyBorder="1"/>
    <xf numFmtId="0" fontId="15" fillId="0" borderId="1" xfId="0" applyFont="1" applyFill="1" applyBorder="1" applyAlignment="1">
      <alignment wrapText="1"/>
    </xf>
    <xf numFmtId="171" fontId="0" fillId="3" borderId="0" xfId="0" applyNumberFormat="1" applyFont="1" applyFill="1" applyAlignment="1">
      <alignment horizontal="justify" vertical="center"/>
    </xf>
    <xf numFmtId="0" fontId="40" fillId="0" borderId="8" xfId="27" applyFont="1" applyFill="1" applyBorder="1" applyAlignment="1">
      <alignment horizontal="left" vertical="center" wrapText="1"/>
    </xf>
    <xf numFmtId="0" fontId="41" fillId="0" borderId="8" xfId="27" applyFont="1" applyFill="1" applyBorder="1" applyAlignment="1">
      <alignment horizontal="left" vertical="center" wrapText="1"/>
    </xf>
    <xf numFmtId="0" fontId="50" fillId="0" borderId="1" xfId="19" applyFont="1" applyFill="1" applyBorder="1" applyAlignment="1">
      <alignment horizontal="left" vertical="center" wrapText="1"/>
    </xf>
    <xf numFmtId="1" fontId="10" fillId="0" borderId="3" xfId="9" applyNumberFormat="1" applyFont="1" applyFill="1" applyBorder="1" applyAlignment="1" applyProtection="1">
      <alignment horizontal="justify" vertical="center" wrapText="1"/>
      <protection locked="0"/>
    </xf>
    <xf numFmtId="2" fontId="10" fillId="0" borderId="1" xfId="0" applyNumberFormat="1" applyFont="1" applyFill="1" applyBorder="1" applyAlignment="1">
      <alignment horizontal="right" vertical="center" wrapText="1"/>
    </xf>
    <xf numFmtId="2" fontId="16" fillId="3" borderId="1" xfId="0" applyNumberFormat="1" applyFont="1" applyFill="1" applyBorder="1" applyAlignment="1">
      <alignment horizontal="right" vertical="center"/>
    </xf>
    <xf numFmtId="2" fontId="30" fillId="3" borderId="1" xfId="8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justify" vertical="center"/>
    </xf>
    <xf numFmtId="2" fontId="27" fillId="3" borderId="1" xfId="8" applyNumberFormat="1" applyFont="1" applyFill="1" applyBorder="1" applyAlignment="1">
      <alignment horizontal="right" vertical="center" wrapText="1"/>
    </xf>
    <xf numFmtId="0" fontId="10" fillId="0" borderId="22" xfId="9" applyFont="1" applyFill="1" applyBorder="1"/>
    <xf numFmtId="0" fontId="10" fillId="0" borderId="23" xfId="9" applyFont="1" applyFill="1" applyBorder="1"/>
    <xf numFmtId="166" fontId="10" fillId="0" borderId="15" xfId="10" applyNumberFormat="1" applyFont="1" applyFill="1" applyBorder="1"/>
    <xf numFmtId="164" fontId="10" fillId="0" borderId="20" xfId="9" applyNumberFormat="1" applyFont="1" applyFill="1" applyBorder="1"/>
    <xf numFmtId="169" fontId="10" fillId="0" borderId="0" xfId="9" applyNumberFormat="1" applyFont="1" applyFill="1" applyBorder="1"/>
    <xf numFmtId="166" fontId="10" fillId="0" borderId="0" xfId="9" applyNumberFormat="1" applyFont="1" applyFill="1" applyBorder="1"/>
    <xf numFmtId="0" fontId="10" fillId="0" borderId="15" xfId="9" applyFont="1" applyFill="1" applyBorder="1"/>
    <xf numFmtId="0" fontId="10" fillId="0" borderId="3" xfId="20" applyFont="1" applyFill="1" applyBorder="1" applyAlignment="1">
      <alignment horizontal="justify" wrapText="1"/>
    </xf>
    <xf numFmtId="0" fontId="43" fillId="0" borderId="8" xfId="28" applyFont="1" applyFill="1" applyBorder="1" applyAlignment="1">
      <alignment horizontal="left" wrapText="1"/>
    </xf>
    <xf numFmtId="0" fontId="15" fillId="0" borderId="1" xfId="29" applyFont="1" applyFill="1" applyBorder="1" applyAlignment="1">
      <alignment horizontal="justify" vertical="center" wrapText="1"/>
    </xf>
    <xf numFmtId="0" fontId="43" fillId="0" borderId="1" xfId="28" applyFont="1" applyBorder="1" applyAlignment="1">
      <alignment horizontal="left" wrapText="1"/>
    </xf>
    <xf numFmtId="0" fontId="15" fillId="0" borderId="1" xfId="29" applyFont="1" applyFill="1" applyBorder="1" applyAlignment="1">
      <alignment horizontal="left" vertical="center" wrapText="1"/>
    </xf>
    <xf numFmtId="0" fontId="15" fillId="0" borderId="1" xfId="0" applyFont="1" applyBorder="1" applyAlignment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3" fillId="0" borderId="1" xfId="22" applyFont="1" applyBorder="1" applyAlignment="1">
      <alignment horizontal="left" wrapText="1"/>
    </xf>
    <xf numFmtId="0" fontId="43" fillId="0" borderId="1" xfId="15" applyFont="1" applyFill="1" applyBorder="1" applyAlignment="1">
      <alignment horizontal="left" vertical="top" wrapText="1"/>
    </xf>
    <xf numFmtId="0" fontId="22" fillId="0" borderId="0" xfId="0" applyFont="1" applyFill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12" fillId="0" borderId="23" xfId="0" applyFont="1" applyBorder="1" applyAlignment="1">
      <alignment horizontal="left" vertical="top" wrapText="1"/>
    </xf>
    <xf numFmtId="0" fontId="10" fillId="0" borderId="1" xfId="20" applyFont="1" applyBorder="1" applyAlignment="1">
      <alignment horizontal="justify" vertical="top" wrapText="1"/>
    </xf>
    <xf numFmtId="0" fontId="10" fillId="4" borderId="22" xfId="9" applyFont="1" applyFill="1" applyBorder="1"/>
    <xf numFmtId="0" fontId="10" fillId="4" borderId="23" xfId="9" applyFont="1" applyFill="1" applyBorder="1"/>
    <xf numFmtId="49" fontId="10" fillId="4" borderId="1" xfId="9" applyNumberFormat="1" applyFont="1" applyFill="1" applyBorder="1" applyAlignment="1">
      <alignment horizontal="center" vertical="center"/>
    </xf>
    <xf numFmtId="0" fontId="10" fillId="4" borderId="0" xfId="4" applyFont="1" applyFill="1" applyAlignment="1">
      <alignment horizontal="justify" vertical="center"/>
    </xf>
    <xf numFmtId="43" fontId="10" fillId="4" borderId="1" xfId="10" applyNumberFormat="1" applyFont="1" applyFill="1" applyBorder="1" applyAlignment="1" applyProtection="1">
      <alignment vertical="center" wrapText="1"/>
      <protection locked="0"/>
    </xf>
    <xf numFmtId="43" fontId="10" fillId="4" borderId="1" xfId="10" applyNumberFormat="1" applyFont="1" applyFill="1" applyBorder="1" applyAlignment="1">
      <alignment vertical="center"/>
    </xf>
    <xf numFmtId="43" fontId="12" fillId="4" borderId="1" xfId="10" applyNumberFormat="1" applyFont="1" applyFill="1" applyBorder="1" applyAlignment="1">
      <alignment vertical="center"/>
    </xf>
    <xf numFmtId="166" fontId="10" fillId="4" borderId="15" xfId="10" applyNumberFormat="1" applyFont="1" applyFill="1" applyBorder="1"/>
    <xf numFmtId="164" fontId="10" fillId="4" borderId="20" xfId="9" applyNumberFormat="1" applyFont="1" applyFill="1" applyBorder="1"/>
    <xf numFmtId="169" fontId="10" fillId="4" borderId="0" xfId="9" applyNumberFormat="1" applyFont="1" applyFill="1" applyBorder="1"/>
    <xf numFmtId="166" fontId="10" fillId="4" borderId="0" xfId="9" applyNumberFormat="1" applyFont="1" applyFill="1" applyBorder="1"/>
    <xf numFmtId="0" fontId="10" fillId="4" borderId="0" xfId="9" applyFont="1" applyFill="1" applyBorder="1"/>
    <xf numFmtId="0" fontId="10" fillId="4" borderId="15" xfId="9" applyFont="1" applyFill="1" applyBorder="1"/>
    <xf numFmtId="1" fontId="10" fillId="4" borderId="1" xfId="9" applyNumberFormat="1" applyFont="1" applyFill="1" applyBorder="1" applyAlignment="1" applyProtection="1">
      <alignment horizontal="justify" vertical="center" wrapText="1"/>
      <protection locked="0"/>
    </xf>
    <xf numFmtId="1" fontId="12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55" fillId="0" borderId="1" xfId="20" applyNumberFormat="1" applyFont="1" applyBorder="1" applyAlignment="1">
      <alignment vertical="center"/>
    </xf>
    <xf numFmtId="43" fontId="12" fillId="0" borderId="1" xfId="10" applyNumberFormat="1" applyFont="1" applyFill="1" applyBorder="1" applyAlignment="1" applyProtection="1">
      <alignment vertical="center" wrapText="1"/>
      <protection locked="0"/>
    </xf>
    <xf numFmtId="0" fontId="15" fillId="0" borderId="0" xfId="4" applyFont="1" applyAlignment="1">
      <alignment vertical="top" wrapText="1"/>
    </xf>
    <xf numFmtId="0" fontId="15" fillId="0" borderId="0" xfId="4" applyNumberFormat="1" applyFont="1" applyFill="1" applyBorder="1" applyAlignment="1" applyProtection="1">
      <alignment horizontal="justify" vertical="center" wrapText="1"/>
    </xf>
    <xf numFmtId="0" fontId="15" fillId="0" borderId="0" xfId="4" applyNumberFormat="1" applyFont="1" applyFill="1" applyBorder="1" applyAlignment="1" applyProtection="1">
      <alignment vertical="top" wrapText="1"/>
    </xf>
    <xf numFmtId="0" fontId="15" fillId="0" borderId="0" xfId="4" applyFont="1" applyAlignment="1">
      <alignment vertical="center" wrapText="1"/>
    </xf>
    <xf numFmtId="0" fontId="11" fillId="0" borderId="0" xfId="4" applyFont="1" applyBorder="1" applyAlignment="1">
      <alignment horizontal="justify" vertical="center" wrapText="1"/>
    </xf>
    <xf numFmtId="0" fontId="11" fillId="0" borderId="0" xfId="4" applyFont="1" applyBorder="1" applyAlignment="1">
      <alignment horizontal="center" wrapText="1"/>
    </xf>
    <xf numFmtId="0" fontId="15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justify" vertical="center" wrapText="1"/>
    </xf>
    <xf numFmtId="0" fontId="17" fillId="0" borderId="27" xfId="4" applyFont="1" applyBorder="1" applyAlignment="1">
      <alignment horizontal="center" wrapText="1"/>
    </xf>
    <xf numFmtId="0" fontId="10" fillId="0" borderId="0" xfId="4" applyFont="1" applyAlignment="1">
      <alignment vertical="top" wrapText="1"/>
    </xf>
    <xf numFmtId="0" fontId="56" fillId="0" borderId="1" xfId="4" applyNumberFormat="1" applyFont="1" applyBorder="1" applyAlignment="1">
      <alignment horizontal="center" vertical="center" wrapText="1"/>
    </xf>
    <xf numFmtId="0" fontId="56" fillId="0" borderId="1" xfId="4" applyFont="1" applyBorder="1" applyAlignment="1">
      <alignment horizontal="center" vertical="center" wrapText="1"/>
    </xf>
    <xf numFmtId="0" fontId="56" fillId="0" borderId="1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0" xfId="4" applyFont="1" applyAlignment="1">
      <alignment vertical="top" wrapText="1"/>
    </xf>
    <xf numFmtId="0" fontId="56" fillId="0" borderId="1" xfId="4" applyFont="1" applyBorder="1" applyAlignment="1">
      <alignment vertical="top" wrapText="1"/>
    </xf>
    <xf numFmtId="0" fontId="56" fillId="0" borderId="1" xfId="4" applyNumberFormat="1" applyFont="1" applyFill="1" applyBorder="1" applyAlignment="1" applyProtection="1">
      <alignment horizontal="justify" vertical="center" wrapText="1"/>
    </xf>
    <xf numFmtId="0" fontId="56" fillId="0" borderId="1" xfId="4" applyNumberFormat="1" applyFont="1" applyFill="1" applyBorder="1" applyAlignment="1" applyProtection="1">
      <alignment vertical="top" wrapText="1"/>
    </xf>
    <xf numFmtId="172" fontId="10" fillId="0" borderId="1" xfId="4" applyNumberFormat="1" applyFont="1" applyFill="1" applyBorder="1" applyAlignment="1" applyProtection="1">
      <alignment horizontal="right" wrapText="1"/>
    </xf>
    <xf numFmtId="49" fontId="56" fillId="0" borderId="1" xfId="4" applyNumberFormat="1" applyFont="1" applyBorder="1" applyAlignment="1">
      <alignment horizontal="center" vertical="center" wrapText="1"/>
    </xf>
    <xf numFmtId="0" fontId="56" fillId="0" borderId="1" xfId="4" applyFont="1" applyBorder="1" applyAlignment="1">
      <alignment horizontal="justify" vertical="center" wrapText="1"/>
    </xf>
    <xf numFmtId="172" fontId="10" fillId="0" borderId="1" xfId="4" applyNumberFormat="1" applyFont="1" applyFill="1" applyBorder="1" applyAlignment="1">
      <alignment horizontal="right" wrapText="1"/>
    </xf>
    <xf numFmtId="172" fontId="10" fillId="0" borderId="1" xfId="4" applyNumberFormat="1" applyFont="1" applyBorder="1" applyAlignment="1">
      <alignment horizontal="right" wrapText="1"/>
    </xf>
    <xf numFmtId="0" fontId="15" fillId="0" borderId="1" xfId="4" applyFont="1" applyBorder="1" applyAlignment="1">
      <alignment vertical="top" wrapText="1"/>
    </xf>
    <xf numFmtId="2" fontId="15" fillId="0" borderId="1" xfId="4" applyNumberFormat="1" applyFont="1" applyBorder="1" applyAlignment="1">
      <alignment horizontal="right" wrapText="1"/>
    </xf>
    <xf numFmtId="0" fontId="15" fillId="0" borderId="0" xfId="4" applyFont="1" applyBorder="1" applyAlignment="1">
      <alignment vertical="top" wrapText="1"/>
    </xf>
    <xf numFmtId="49" fontId="10" fillId="0" borderId="0" xfId="4" applyNumberFormat="1" applyFont="1" applyBorder="1" applyAlignment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justify" vertical="center" wrapText="1"/>
    </xf>
    <xf numFmtId="0" fontId="10" fillId="0" borderId="0" xfId="4" applyNumberFormat="1" applyFont="1" applyFill="1" applyBorder="1" applyAlignment="1" applyProtection="1">
      <alignment vertical="top" wrapText="1"/>
    </xf>
    <xf numFmtId="0" fontId="10" fillId="0" borderId="0" xfId="4" applyNumberFormat="1" applyFont="1" applyBorder="1" applyAlignment="1">
      <alignment horizontal="center" vertical="center" wrapText="1"/>
    </xf>
    <xf numFmtId="2" fontId="10" fillId="0" borderId="0" xfId="4" applyNumberFormat="1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2" fontId="15" fillId="0" borderId="0" xfId="14" applyNumberFormat="1" applyFont="1" applyFill="1" applyAlignment="1"/>
    <xf numFmtId="0" fontId="43" fillId="0" borderId="1" xfId="133" applyFont="1" applyFill="1" applyBorder="1" applyAlignment="1">
      <alignment horizontal="left" wrapText="1"/>
    </xf>
    <xf numFmtId="0" fontId="43" fillId="0" borderId="8" xfId="133" applyFont="1" applyFill="1" applyBorder="1" applyAlignment="1">
      <alignment horizontal="left" wrapText="1"/>
    </xf>
    <xf numFmtId="0" fontId="31" fillId="0" borderId="1" xfId="0" applyFont="1" applyFill="1" applyBorder="1"/>
    <xf numFmtId="2" fontId="15" fillId="0" borderId="1" xfId="14" applyNumberFormat="1" applyFont="1" applyFill="1" applyBorder="1" applyAlignment="1"/>
    <xf numFmtId="0" fontId="43" fillId="0" borderId="1" xfId="134" applyFont="1" applyFill="1" applyBorder="1" applyAlignment="1">
      <alignment horizontal="left" wrapText="1"/>
    </xf>
    <xf numFmtId="2" fontId="15" fillId="0" borderId="1" xfId="18" applyNumberFormat="1" applyFont="1" applyFill="1" applyBorder="1" applyAlignment="1"/>
    <xf numFmtId="2" fontId="31" fillId="0" borderId="1" xfId="14" applyNumberFormat="1" applyFont="1" applyFill="1" applyBorder="1" applyAlignment="1"/>
    <xf numFmtId="2" fontId="15" fillId="0" borderId="1" xfId="18" applyNumberFormat="1" applyFont="1" applyFill="1" applyBorder="1" applyAlignment="1">
      <alignment horizontal="right" vertical="center"/>
    </xf>
    <xf numFmtId="2" fontId="15" fillId="0" borderId="8" xfId="14" applyNumberFormat="1" applyFont="1" applyFill="1" applyBorder="1" applyAlignment="1"/>
    <xf numFmtId="2" fontId="17" fillId="0" borderId="1" xfId="14" applyNumberFormat="1" applyFont="1" applyFill="1" applyBorder="1" applyAlignment="1"/>
    <xf numFmtId="0" fontId="58" fillId="0" borderId="0" xfId="0" applyFont="1"/>
    <xf numFmtId="0" fontId="40" fillId="0" borderId="1" xfId="22" applyFont="1" applyFill="1" applyBorder="1" applyAlignment="1">
      <alignment horizontal="left" wrapText="1"/>
    </xf>
    <xf numFmtId="0" fontId="12" fillId="0" borderId="0" xfId="0" applyFont="1"/>
    <xf numFmtId="2" fontId="17" fillId="0" borderId="1" xfId="0" applyNumberFormat="1" applyFont="1" applyBorder="1" applyAlignment="1">
      <alignment horizontal="right" wrapText="1"/>
    </xf>
    <xf numFmtId="2" fontId="54" fillId="0" borderId="1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/>
    <xf numFmtId="2" fontId="57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vertical="top" wrapText="1"/>
    </xf>
    <xf numFmtId="2" fontId="59" fillId="0" borderId="1" xfId="0" applyNumberFormat="1" applyFont="1" applyBorder="1"/>
    <xf numFmtId="2" fontId="54" fillId="0" borderId="1" xfId="0" applyNumberFormat="1" applyFont="1" applyBorder="1"/>
    <xf numFmtId="43" fontId="15" fillId="0" borderId="0" xfId="9" applyNumberFormat="1" applyFont="1" applyFill="1"/>
    <xf numFmtId="0" fontId="43" fillId="0" borderId="1" xfId="22" applyFont="1" applyBorder="1" applyAlignment="1">
      <alignment horizontal="left" vertical="top" wrapText="1"/>
    </xf>
    <xf numFmtId="43" fontId="11" fillId="0" borderId="1" xfId="20" applyNumberFormat="1" applyFont="1" applyFill="1" applyBorder="1" applyAlignment="1">
      <alignment vertical="center"/>
    </xf>
    <xf numFmtId="49" fontId="10" fillId="0" borderId="1" xfId="4" applyNumberFormat="1" applyFont="1" applyBorder="1" applyAlignment="1">
      <alignment horizontal="center" vertical="center" wrapText="1"/>
    </xf>
    <xf numFmtId="0" fontId="10" fillId="0" borderId="1" xfId="4" applyNumberFormat="1" applyFont="1" applyFill="1" applyBorder="1" applyAlignment="1" applyProtection="1">
      <alignment horizontal="justify" vertical="center" wrapText="1"/>
    </xf>
    <xf numFmtId="0" fontId="10" fillId="0" borderId="1" xfId="4" applyNumberFormat="1" applyFont="1" applyFill="1" applyBorder="1" applyAlignment="1" applyProtection="1">
      <alignment vertical="top" wrapText="1"/>
    </xf>
    <xf numFmtId="2" fontId="10" fillId="0" borderId="0" xfId="0" applyNumberFormat="1" applyFont="1" applyFill="1" applyBorder="1" applyAlignment="1">
      <alignment horizontal="right"/>
    </xf>
    <xf numFmtId="2" fontId="17" fillId="0" borderId="1" xfId="14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/>
    <xf numFmtId="1" fontId="23" fillId="0" borderId="1" xfId="0" applyNumberFormat="1" applyFont="1" applyFill="1" applyBorder="1" applyAlignment="1">
      <alignment horizontal="center" vertical="top"/>
    </xf>
    <xf numFmtId="0" fontId="10" fillId="0" borderId="1" xfId="9" applyFont="1" applyFill="1" applyBorder="1" applyAlignment="1">
      <alignment horizontal="left" vertical="top" wrapText="1"/>
    </xf>
    <xf numFmtId="2" fontId="15" fillId="0" borderId="1" xfId="14" applyNumberFormat="1" applyFont="1" applyFill="1" applyBorder="1" applyAlignment="1">
      <alignment horizontal="right"/>
    </xf>
    <xf numFmtId="0" fontId="15" fillId="0" borderId="0" xfId="0" applyFont="1" applyAlignment="1"/>
    <xf numFmtId="0" fontId="0" fillId="0" borderId="0" xfId="0" applyAlignment="1"/>
    <xf numFmtId="171" fontId="49" fillId="0" borderId="0" xfId="26" applyNumberFormat="1" applyFont="1" applyAlignment="1">
      <alignment wrapText="1"/>
    </xf>
    <xf numFmtId="0" fontId="0" fillId="0" borderId="0" xfId="0" applyAlignment="1">
      <alignment wrapText="1"/>
    </xf>
    <xf numFmtId="0" fontId="1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0" fontId="29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6" fillId="0" borderId="1" xfId="4" applyFont="1" applyBorder="1" applyAlignment="1">
      <alignment horizontal="center" vertical="center" wrapText="1"/>
    </xf>
    <xf numFmtId="0" fontId="56" fillId="0" borderId="8" xfId="4" applyFont="1" applyBorder="1" applyAlignment="1">
      <alignment horizontal="center" vertical="center" wrapText="1"/>
    </xf>
    <xf numFmtId="0" fontId="56" fillId="0" borderId="10" xfId="4" applyFont="1" applyBorder="1" applyAlignment="1">
      <alignment horizontal="center" vertical="center" wrapText="1"/>
    </xf>
    <xf numFmtId="0" fontId="56" fillId="0" borderId="9" xfId="4" applyFont="1" applyBorder="1" applyAlignment="1">
      <alignment horizontal="center" vertical="center" wrapText="1"/>
    </xf>
    <xf numFmtId="0" fontId="15" fillId="0" borderId="0" xfId="4" applyFont="1" applyAlignment="1">
      <alignment horizontal="right" vertical="center" wrapText="1"/>
    </xf>
    <xf numFmtId="0" fontId="15" fillId="0" borderId="0" xfId="4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6" fillId="0" borderId="0" xfId="4" applyFont="1" applyAlignment="1">
      <alignment horizontal="right" wrapText="1"/>
    </xf>
    <xf numFmtId="0" fontId="14" fillId="0" borderId="0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4" fillId="0" borderId="0" xfId="9" applyFont="1" applyFill="1" applyBorder="1" applyAlignment="1">
      <alignment horizontal="center" vertical="center" wrapText="1"/>
    </xf>
    <xf numFmtId="0" fontId="13" fillId="0" borderId="1" xfId="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1" xfId="20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1" fontId="10" fillId="0" borderId="1" xfId="20" applyNumberFormat="1" applyFont="1" applyBorder="1" applyAlignment="1">
      <alignment horizontal="center" vertical="center"/>
    </xf>
    <xf numFmtId="49" fontId="13" fillId="0" borderId="2" xfId="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1" fontId="60" fillId="4" borderId="1" xfId="14" applyNumberFormat="1" applyFont="1" applyFill="1" applyBorder="1" applyAlignment="1"/>
    <xf numFmtId="2" fontId="35" fillId="0" borderId="0" xfId="0" applyNumberFormat="1" applyFont="1" applyFill="1"/>
    <xf numFmtId="2" fontId="14" fillId="3" borderId="1" xfId="8" applyNumberFormat="1" applyFont="1" applyFill="1" applyBorder="1" applyAlignment="1">
      <alignment horizontal="center" vertical="center" wrapText="1"/>
    </xf>
    <xf numFmtId="2" fontId="23" fillId="0" borderId="1" xfId="23" applyNumberFormat="1" applyFont="1" applyFill="1" applyBorder="1" applyAlignment="1">
      <alignment horizontal="center" vertical="top"/>
    </xf>
  </cellXfs>
  <cellStyles count="137">
    <cellStyle name="Excel Built-in Normal" xfId="32"/>
    <cellStyle name="Обычный" xfId="0" builtinId="0"/>
    <cellStyle name="Обычный 10" xfId="23"/>
    <cellStyle name="Обычный 11" xfId="33"/>
    <cellStyle name="Обычный 12" xfId="12"/>
    <cellStyle name="Обычный 13" xfId="34"/>
    <cellStyle name="Обычный 14" xfId="35"/>
    <cellStyle name="Обычный 15" xfId="36"/>
    <cellStyle name="Обычный 16" xfId="14"/>
    <cellStyle name="Обычный 17" xfId="26"/>
    <cellStyle name="Обычный 18" xfId="15"/>
    <cellStyle name="Обычный 18 2" xfId="22"/>
    <cellStyle name="Обычный 18 2 2" xfId="29"/>
    <cellStyle name="Обычный 18 2 3" xfId="134"/>
    <cellStyle name="Обычный 18 2 4" xfId="136"/>
    <cellStyle name="Обычный 18 3" xfId="27"/>
    <cellStyle name="Обычный 18 4" xfId="28"/>
    <cellStyle name="Обычный 18 5" xfId="133"/>
    <cellStyle name="Обычный 18 6" xfId="135"/>
    <cellStyle name="Обычный 19" xfId="37"/>
    <cellStyle name="Обычный 2" xfId="3"/>
    <cellStyle name="Обычный 2 10" xfId="38"/>
    <cellStyle name="Обычный 2 11" xfId="39"/>
    <cellStyle name="Обычный 2 12" xfId="40"/>
    <cellStyle name="Обычный 2 13" xfId="41"/>
    <cellStyle name="Обычный 2 14" xfId="42"/>
    <cellStyle name="Обычный 2 15" xfId="43"/>
    <cellStyle name="Обычный 2 16" xfId="44"/>
    <cellStyle name="Обычный 2 17" xfId="45"/>
    <cellStyle name="Обычный 2 18" xfId="46"/>
    <cellStyle name="Обычный 2 19" xfId="47"/>
    <cellStyle name="Обычный 2 2" xfId="6"/>
    <cellStyle name="Обычный 2 2 2" xfId="24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4" xfId="60"/>
    <cellStyle name="Обычный 2 5" xfId="61"/>
    <cellStyle name="Обычный 2 6" xfId="62"/>
    <cellStyle name="Обычный 2 7" xfId="63"/>
    <cellStyle name="Обычный 2 8" xfId="64"/>
    <cellStyle name="Обычный 2 9" xfId="65"/>
    <cellStyle name="Обычный 3" xfId="4"/>
    <cellStyle name="Обычный 3 10" xfId="66"/>
    <cellStyle name="Обычный 3 11" xfId="67"/>
    <cellStyle name="Обычный 3 12" xfId="68"/>
    <cellStyle name="Обычный 3 13" xfId="69"/>
    <cellStyle name="Обычный 3 14" xfId="70"/>
    <cellStyle name="Обычный 3 15" xfId="71"/>
    <cellStyle name="Обычный 3 16" xfId="72"/>
    <cellStyle name="Обычный 3 17" xfId="73"/>
    <cellStyle name="Обычный 3 18" xfId="74"/>
    <cellStyle name="Обычный 3 19" xfId="75"/>
    <cellStyle name="Обычный 3 2" xfId="76"/>
    <cellStyle name="Обычный 3 2 2" xfId="77"/>
    <cellStyle name="Обычный 3 20" xfId="78"/>
    <cellStyle name="Обычный 3 21" xfId="79"/>
    <cellStyle name="Обычный 3 22" xfId="80"/>
    <cellStyle name="Обычный 3 23" xfId="81"/>
    <cellStyle name="Обычный 3 24" xfId="82"/>
    <cellStyle name="Обычный 3 25" xfId="83"/>
    <cellStyle name="Обычный 3 26" xfId="84"/>
    <cellStyle name="Обычный 3 27" xfId="85"/>
    <cellStyle name="Обычный 3 28" xfId="86"/>
    <cellStyle name="Обычный 3 29" xfId="87"/>
    <cellStyle name="Обычный 3 3" xfId="88"/>
    <cellStyle name="Обычный 3 30" xfId="89"/>
    <cellStyle name="Обычный 3 31" xfId="18"/>
    <cellStyle name="Обычный 3 32" xfId="90"/>
    <cellStyle name="Обычный 3 4" xfId="91"/>
    <cellStyle name="Обычный 3 5" xfId="92"/>
    <cellStyle name="Обычный 3 6" xfId="93"/>
    <cellStyle name="Обычный 3 7" xfId="94"/>
    <cellStyle name="Обычный 3 8" xfId="95"/>
    <cellStyle name="Обычный 3 9" xfId="96"/>
    <cellStyle name="Обычный 4" xfId="5"/>
    <cellStyle name="Обычный 4 10" xfId="97"/>
    <cellStyle name="Обычный 4 11" xfId="98"/>
    <cellStyle name="Обычный 4 12" xfId="99"/>
    <cellStyle name="Обычный 4 13" xfId="100"/>
    <cellStyle name="Обычный 4 14" xfId="101"/>
    <cellStyle name="Обычный 4 15" xfId="102"/>
    <cellStyle name="Обычный 4 16" xfId="103"/>
    <cellStyle name="Обычный 4 17" xfId="104"/>
    <cellStyle name="Обычный 4 18" xfId="105"/>
    <cellStyle name="Обычный 4 19" xfId="106"/>
    <cellStyle name="Обычный 4 2" xfId="107"/>
    <cellStyle name="Обычный 4 20" xfId="108"/>
    <cellStyle name="Обычный 4 21" xfId="109"/>
    <cellStyle name="Обычный 4 22" xfId="110"/>
    <cellStyle name="Обычный 4 23" xfId="111"/>
    <cellStyle name="Обычный 4 24" xfId="112"/>
    <cellStyle name="Обычный 4 25" xfId="113"/>
    <cellStyle name="Обычный 4 26" xfId="114"/>
    <cellStyle name="Обычный 4 27" xfId="115"/>
    <cellStyle name="Обычный 4 28" xfId="116"/>
    <cellStyle name="Обычный 4 29" xfId="117"/>
    <cellStyle name="Обычный 4 3" xfId="118"/>
    <cellStyle name="Обычный 4 30" xfId="119"/>
    <cellStyle name="Обычный 4 31" xfId="120"/>
    <cellStyle name="Обычный 4 4" xfId="121"/>
    <cellStyle name="Обычный 4 5" xfId="122"/>
    <cellStyle name="Обычный 4 6" xfId="123"/>
    <cellStyle name="Обычный 4 7" xfId="124"/>
    <cellStyle name="Обычный 4 8" xfId="125"/>
    <cellStyle name="Обычный 4 9" xfId="126"/>
    <cellStyle name="Обычный 5" xfId="13"/>
    <cellStyle name="Обычный 5 2" xfId="31"/>
    <cellStyle name="Обычный 5 3" xfId="127"/>
    <cellStyle name="Обычный 6" xfId="128"/>
    <cellStyle name="Обычный 7" xfId="11"/>
    <cellStyle name="Обычный 8" xfId="129"/>
    <cellStyle name="Обычный 9" xfId="130"/>
    <cellStyle name="Обычный_ПР 13 фин.помощь1" xfId="20"/>
    <cellStyle name="Обычный_Прил 22,23,24" xfId="9"/>
    <cellStyle name="Обычный_Прил 5,6,8,18" xfId="21"/>
    <cellStyle name="Обычный_прил 7,9-2009-2010 нов классиф." xfId="17"/>
    <cellStyle name="Обычный_прилож 8,10 -2008г." xfId="16"/>
    <cellStyle name="Обычный_Прилож.№9 кап.стр." xfId="19"/>
    <cellStyle name="Процентный 2" xfId="131"/>
    <cellStyle name="Тысячи [0]_перечис.11" xfId="1"/>
    <cellStyle name="Тысячи_перечис.11" xfId="2"/>
    <cellStyle name="Финансовый 13" xfId="10"/>
    <cellStyle name="Финансовый 2" xfId="7"/>
    <cellStyle name="Финансовый 3" xfId="8"/>
    <cellStyle name="Финансовый 3 2" xfId="25"/>
    <cellStyle name="Финансовый 3 3" xfId="30"/>
    <cellStyle name="Финансовый 9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VI20"/>
  <sheetViews>
    <sheetView view="pageBreakPreview" zoomScale="60" zoomScaleNormal="80" workbookViewId="0">
      <selection activeCell="E13" sqref="E13"/>
    </sheetView>
  </sheetViews>
  <sheetFormatPr defaultRowHeight="12.75" x14ac:dyDescent="0.2"/>
  <cols>
    <col min="1" max="1" width="7.140625" style="22" customWidth="1"/>
    <col min="2" max="2" width="80.140625" style="29" customWidth="1"/>
    <col min="3" max="3" width="19.28515625" style="30" customWidth="1"/>
    <col min="4" max="4" width="17.42578125" style="21" customWidth="1"/>
    <col min="5" max="5" width="18.28515625" style="21" customWidth="1"/>
    <col min="6" max="251" width="9.140625" style="21"/>
    <col min="252" max="252" width="14.42578125" style="21" customWidth="1"/>
    <col min="253" max="253" width="61.42578125" style="21" customWidth="1"/>
    <col min="254" max="254" width="18.42578125" style="21" customWidth="1"/>
    <col min="255" max="255" width="28.42578125" style="21" customWidth="1"/>
    <col min="256" max="507" width="9.140625" style="21"/>
    <col min="508" max="508" width="14.42578125" style="21" customWidth="1"/>
    <col min="509" max="509" width="61.42578125" style="21" customWidth="1"/>
    <col min="510" max="510" width="18.42578125" style="21" customWidth="1"/>
    <col min="511" max="511" width="28.42578125" style="21" customWidth="1"/>
    <col min="512" max="763" width="9.140625" style="21"/>
    <col min="764" max="764" width="14.42578125" style="21" customWidth="1"/>
    <col min="765" max="765" width="61.42578125" style="21" customWidth="1"/>
    <col min="766" max="766" width="18.42578125" style="21" customWidth="1"/>
    <col min="767" max="767" width="28.42578125" style="21" customWidth="1"/>
    <col min="768" max="1019" width="9.140625" style="21"/>
    <col min="1020" max="1020" width="14.42578125" style="21" customWidth="1"/>
    <col min="1021" max="1021" width="61.42578125" style="21" customWidth="1"/>
    <col min="1022" max="1022" width="18.42578125" style="21" customWidth="1"/>
    <col min="1023" max="1023" width="28.42578125" style="21" customWidth="1"/>
    <col min="1024" max="1275" width="9.140625" style="21"/>
    <col min="1276" max="1276" width="14.42578125" style="21" customWidth="1"/>
    <col min="1277" max="1277" width="61.42578125" style="21" customWidth="1"/>
    <col min="1278" max="1278" width="18.42578125" style="21" customWidth="1"/>
    <col min="1279" max="1279" width="28.42578125" style="21" customWidth="1"/>
    <col min="1280" max="1531" width="9.140625" style="21"/>
    <col min="1532" max="1532" width="14.42578125" style="21" customWidth="1"/>
    <col min="1533" max="1533" width="61.42578125" style="21" customWidth="1"/>
    <col min="1534" max="1534" width="18.42578125" style="21" customWidth="1"/>
    <col min="1535" max="1535" width="28.42578125" style="21" customWidth="1"/>
    <col min="1536" max="1787" width="9.140625" style="21"/>
    <col min="1788" max="1788" width="14.42578125" style="21" customWidth="1"/>
    <col min="1789" max="1789" width="61.42578125" style="21" customWidth="1"/>
    <col min="1790" max="1790" width="18.42578125" style="21" customWidth="1"/>
    <col min="1791" max="1791" width="28.42578125" style="21" customWidth="1"/>
    <col min="1792" max="2043" width="9.140625" style="21"/>
    <col min="2044" max="2044" width="14.42578125" style="21" customWidth="1"/>
    <col min="2045" max="2045" width="61.42578125" style="21" customWidth="1"/>
    <col min="2046" max="2046" width="18.42578125" style="21" customWidth="1"/>
    <col min="2047" max="2047" width="28.42578125" style="21" customWidth="1"/>
    <col min="2048" max="2299" width="9.140625" style="21"/>
    <col min="2300" max="2300" width="14.42578125" style="21" customWidth="1"/>
    <col min="2301" max="2301" width="61.42578125" style="21" customWidth="1"/>
    <col min="2302" max="2302" width="18.42578125" style="21" customWidth="1"/>
    <col min="2303" max="2303" width="28.42578125" style="21" customWidth="1"/>
    <col min="2304" max="2555" width="9.140625" style="21"/>
    <col min="2556" max="2556" width="14.42578125" style="21" customWidth="1"/>
    <col min="2557" max="2557" width="61.42578125" style="21" customWidth="1"/>
    <col min="2558" max="2558" width="18.42578125" style="21" customWidth="1"/>
    <col min="2559" max="2559" width="28.42578125" style="21" customWidth="1"/>
    <col min="2560" max="2811" width="9.140625" style="21"/>
    <col min="2812" max="2812" width="14.42578125" style="21" customWidth="1"/>
    <col min="2813" max="2813" width="61.42578125" style="21" customWidth="1"/>
    <col min="2814" max="2814" width="18.42578125" style="21" customWidth="1"/>
    <col min="2815" max="2815" width="28.42578125" style="21" customWidth="1"/>
    <col min="2816" max="3067" width="9.140625" style="21"/>
    <col min="3068" max="3068" width="14.42578125" style="21" customWidth="1"/>
    <col min="3069" max="3069" width="61.42578125" style="21" customWidth="1"/>
    <col min="3070" max="3070" width="18.42578125" style="21" customWidth="1"/>
    <col min="3071" max="3071" width="28.42578125" style="21" customWidth="1"/>
    <col min="3072" max="3323" width="9.140625" style="21"/>
    <col min="3324" max="3324" width="14.42578125" style="21" customWidth="1"/>
    <col min="3325" max="3325" width="61.42578125" style="21" customWidth="1"/>
    <col min="3326" max="3326" width="18.42578125" style="21" customWidth="1"/>
    <col min="3327" max="3327" width="28.42578125" style="21" customWidth="1"/>
    <col min="3328" max="3579" width="9.140625" style="21"/>
    <col min="3580" max="3580" width="14.42578125" style="21" customWidth="1"/>
    <col min="3581" max="3581" width="61.42578125" style="21" customWidth="1"/>
    <col min="3582" max="3582" width="18.42578125" style="21" customWidth="1"/>
    <col min="3583" max="3583" width="28.42578125" style="21" customWidth="1"/>
    <col min="3584" max="3835" width="9.140625" style="21"/>
    <col min="3836" max="3836" width="14.42578125" style="21" customWidth="1"/>
    <col min="3837" max="3837" width="61.42578125" style="21" customWidth="1"/>
    <col min="3838" max="3838" width="18.42578125" style="21" customWidth="1"/>
    <col min="3839" max="3839" width="28.42578125" style="21" customWidth="1"/>
    <col min="3840" max="4091" width="9.140625" style="21"/>
    <col min="4092" max="4092" width="14.42578125" style="21" customWidth="1"/>
    <col min="4093" max="4093" width="61.42578125" style="21" customWidth="1"/>
    <col min="4094" max="4094" width="18.42578125" style="21" customWidth="1"/>
    <col min="4095" max="4095" width="28.42578125" style="21" customWidth="1"/>
    <col min="4096" max="4347" width="9.140625" style="21"/>
    <col min="4348" max="4348" width="14.42578125" style="21" customWidth="1"/>
    <col min="4349" max="4349" width="61.42578125" style="21" customWidth="1"/>
    <col min="4350" max="4350" width="18.42578125" style="21" customWidth="1"/>
    <col min="4351" max="4351" width="28.42578125" style="21" customWidth="1"/>
    <col min="4352" max="4603" width="9.140625" style="21"/>
    <col min="4604" max="4604" width="14.42578125" style="21" customWidth="1"/>
    <col min="4605" max="4605" width="61.42578125" style="21" customWidth="1"/>
    <col min="4606" max="4606" width="18.42578125" style="21" customWidth="1"/>
    <col min="4607" max="4607" width="28.42578125" style="21" customWidth="1"/>
    <col min="4608" max="4859" width="9.140625" style="21"/>
    <col min="4860" max="4860" width="14.42578125" style="21" customWidth="1"/>
    <col min="4861" max="4861" width="61.42578125" style="21" customWidth="1"/>
    <col min="4862" max="4862" width="18.42578125" style="21" customWidth="1"/>
    <col min="4863" max="4863" width="28.42578125" style="21" customWidth="1"/>
    <col min="4864" max="5115" width="9.140625" style="21"/>
    <col min="5116" max="5116" width="14.42578125" style="21" customWidth="1"/>
    <col min="5117" max="5117" width="61.42578125" style="21" customWidth="1"/>
    <col min="5118" max="5118" width="18.42578125" style="21" customWidth="1"/>
    <col min="5119" max="5119" width="28.42578125" style="21" customWidth="1"/>
    <col min="5120" max="5371" width="9.140625" style="21"/>
    <col min="5372" max="5372" width="14.42578125" style="21" customWidth="1"/>
    <col min="5373" max="5373" width="61.42578125" style="21" customWidth="1"/>
    <col min="5374" max="5374" width="18.42578125" style="21" customWidth="1"/>
    <col min="5375" max="5375" width="28.42578125" style="21" customWidth="1"/>
    <col min="5376" max="5627" width="9.140625" style="21"/>
    <col min="5628" max="5628" width="14.42578125" style="21" customWidth="1"/>
    <col min="5629" max="5629" width="61.42578125" style="21" customWidth="1"/>
    <col min="5630" max="5630" width="18.42578125" style="21" customWidth="1"/>
    <col min="5631" max="5631" width="28.42578125" style="21" customWidth="1"/>
    <col min="5632" max="5883" width="9.140625" style="21"/>
    <col min="5884" max="5884" width="14.42578125" style="21" customWidth="1"/>
    <col min="5885" max="5885" width="61.42578125" style="21" customWidth="1"/>
    <col min="5886" max="5886" width="18.42578125" style="21" customWidth="1"/>
    <col min="5887" max="5887" width="28.42578125" style="21" customWidth="1"/>
    <col min="5888" max="6139" width="9.140625" style="21"/>
    <col min="6140" max="6140" width="14.42578125" style="21" customWidth="1"/>
    <col min="6141" max="6141" width="61.42578125" style="21" customWidth="1"/>
    <col min="6142" max="6142" width="18.42578125" style="21" customWidth="1"/>
    <col min="6143" max="6143" width="28.42578125" style="21" customWidth="1"/>
    <col min="6144" max="6395" width="9.140625" style="21"/>
    <col min="6396" max="6396" width="14.42578125" style="21" customWidth="1"/>
    <col min="6397" max="6397" width="61.42578125" style="21" customWidth="1"/>
    <col min="6398" max="6398" width="18.42578125" style="21" customWidth="1"/>
    <col min="6399" max="6399" width="28.42578125" style="21" customWidth="1"/>
    <col min="6400" max="6651" width="9.140625" style="21"/>
    <col min="6652" max="6652" width="14.42578125" style="21" customWidth="1"/>
    <col min="6653" max="6653" width="61.42578125" style="21" customWidth="1"/>
    <col min="6654" max="6654" width="18.42578125" style="21" customWidth="1"/>
    <col min="6655" max="6655" width="28.42578125" style="21" customWidth="1"/>
    <col min="6656" max="6907" width="9.140625" style="21"/>
    <col min="6908" max="6908" width="14.42578125" style="21" customWidth="1"/>
    <col min="6909" max="6909" width="61.42578125" style="21" customWidth="1"/>
    <col min="6910" max="6910" width="18.42578125" style="21" customWidth="1"/>
    <col min="6911" max="6911" width="28.42578125" style="21" customWidth="1"/>
    <col min="6912" max="7163" width="9.140625" style="21"/>
    <col min="7164" max="7164" width="14.42578125" style="21" customWidth="1"/>
    <col min="7165" max="7165" width="61.42578125" style="21" customWidth="1"/>
    <col min="7166" max="7166" width="18.42578125" style="21" customWidth="1"/>
    <col min="7167" max="7167" width="28.42578125" style="21" customWidth="1"/>
    <col min="7168" max="7419" width="9.140625" style="21"/>
    <col min="7420" max="7420" width="14.42578125" style="21" customWidth="1"/>
    <col min="7421" max="7421" width="61.42578125" style="21" customWidth="1"/>
    <col min="7422" max="7422" width="18.42578125" style="21" customWidth="1"/>
    <col min="7423" max="7423" width="28.42578125" style="21" customWidth="1"/>
    <col min="7424" max="7675" width="9.140625" style="21"/>
    <col min="7676" max="7676" width="14.42578125" style="21" customWidth="1"/>
    <col min="7677" max="7677" width="61.42578125" style="21" customWidth="1"/>
    <col min="7678" max="7678" width="18.42578125" style="21" customWidth="1"/>
    <col min="7679" max="7679" width="28.42578125" style="21" customWidth="1"/>
    <col min="7680" max="7931" width="9.140625" style="21"/>
    <col min="7932" max="7932" width="14.42578125" style="21" customWidth="1"/>
    <col min="7933" max="7933" width="61.42578125" style="21" customWidth="1"/>
    <col min="7934" max="7934" width="18.42578125" style="21" customWidth="1"/>
    <col min="7935" max="7935" width="28.42578125" style="21" customWidth="1"/>
    <col min="7936" max="8187" width="9.140625" style="21"/>
    <col min="8188" max="8188" width="14.42578125" style="21" customWidth="1"/>
    <col min="8189" max="8189" width="61.42578125" style="21" customWidth="1"/>
    <col min="8190" max="8190" width="18.42578125" style="21" customWidth="1"/>
    <col min="8191" max="8191" width="28.42578125" style="21" customWidth="1"/>
    <col min="8192" max="8443" width="9.140625" style="21"/>
    <col min="8444" max="8444" width="14.42578125" style="21" customWidth="1"/>
    <col min="8445" max="8445" width="61.42578125" style="21" customWidth="1"/>
    <col min="8446" max="8446" width="18.42578125" style="21" customWidth="1"/>
    <col min="8447" max="8447" width="28.42578125" style="21" customWidth="1"/>
    <col min="8448" max="8699" width="9.140625" style="21"/>
    <col min="8700" max="8700" width="14.42578125" style="21" customWidth="1"/>
    <col min="8701" max="8701" width="61.42578125" style="21" customWidth="1"/>
    <col min="8702" max="8702" width="18.42578125" style="21" customWidth="1"/>
    <col min="8703" max="8703" width="28.42578125" style="21" customWidth="1"/>
    <col min="8704" max="8955" width="9.140625" style="21"/>
    <col min="8956" max="8956" width="14.42578125" style="21" customWidth="1"/>
    <col min="8957" max="8957" width="61.42578125" style="21" customWidth="1"/>
    <col min="8958" max="8958" width="18.42578125" style="21" customWidth="1"/>
    <col min="8959" max="8959" width="28.42578125" style="21" customWidth="1"/>
    <col min="8960" max="9211" width="9.140625" style="21"/>
    <col min="9212" max="9212" width="14.42578125" style="21" customWidth="1"/>
    <col min="9213" max="9213" width="61.42578125" style="21" customWidth="1"/>
    <col min="9214" max="9214" width="18.42578125" style="21" customWidth="1"/>
    <col min="9215" max="9215" width="28.42578125" style="21" customWidth="1"/>
    <col min="9216" max="9467" width="9.140625" style="21"/>
    <col min="9468" max="9468" width="14.42578125" style="21" customWidth="1"/>
    <col min="9469" max="9469" width="61.42578125" style="21" customWidth="1"/>
    <col min="9470" max="9470" width="18.42578125" style="21" customWidth="1"/>
    <col min="9471" max="9471" width="28.42578125" style="21" customWidth="1"/>
    <col min="9472" max="9723" width="9.140625" style="21"/>
    <col min="9724" max="9724" width="14.42578125" style="21" customWidth="1"/>
    <col min="9725" max="9725" width="61.42578125" style="21" customWidth="1"/>
    <col min="9726" max="9726" width="18.42578125" style="21" customWidth="1"/>
    <col min="9727" max="9727" width="28.42578125" style="21" customWidth="1"/>
    <col min="9728" max="9979" width="9.140625" style="21"/>
    <col min="9980" max="9980" width="14.42578125" style="21" customWidth="1"/>
    <col min="9981" max="9981" width="61.42578125" style="21" customWidth="1"/>
    <col min="9982" max="9982" width="18.42578125" style="21" customWidth="1"/>
    <col min="9983" max="9983" width="28.42578125" style="21" customWidth="1"/>
    <col min="9984" max="10235" width="9.140625" style="21"/>
    <col min="10236" max="10236" width="14.42578125" style="21" customWidth="1"/>
    <col min="10237" max="10237" width="61.42578125" style="21" customWidth="1"/>
    <col min="10238" max="10238" width="18.42578125" style="21" customWidth="1"/>
    <col min="10239" max="10239" width="28.42578125" style="21" customWidth="1"/>
    <col min="10240" max="10491" width="9.140625" style="21"/>
    <col min="10492" max="10492" width="14.42578125" style="21" customWidth="1"/>
    <col min="10493" max="10493" width="61.42578125" style="21" customWidth="1"/>
    <col min="10494" max="10494" width="18.42578125" style="21" customWidth="1"/>
    <col min="10495" max="10495" width="28.42578125" style="21" customWidth="1"/>
    <col min="10496" max="10747" width="9.140625" style="21"/>
    <col min="10748" max="10748" width="14.42578125" style="21" customWidth="1"/>
    <col min="10749" max="10749" width="61.42578125" style="21" customWidth="1"/>
    <col min="10750" max="10750" width="18.42578125" style="21" customWidth="1"/>
    <col min="10751" max="10751" width="28.42578125" style="21" customWidth="1"/>
    <col min="10752" max="11003" width="9.140625" style="21"/>
    <col min="11004" max="11004" width="14.42578125" style="21" customWidth="1"/>
    <col min="11005" max="11005" width="61.42578125" style="21" customWidth="1"/>
    <col min="11006" max="11006" width="18.42578125" style="21" customWidth="1"/>
    <col min="11007" max="11007" width="28.42578125" style="21" customWidth="1"/>
    <col min="11008" max="11259" width="9.140625" style="21"/>
    <col min="11260" max="11260" width="14.42578125" style="21" customWidth="1"/>
    <col min="11261" max="11261" width="61.42578125" style="21" customWidth="1"/>
    <col min="11262" max="11262" width="18.42578125" style="21" customWidth="1"/>
    <col min="11263" max="11263" width="28.42578125" style="21" customWidth="1"/>
    <col min="11264" max="11515" width="9.140625" style="21"/>
    <col min="11516" max="11516" width="14.42578125" style="21" customWidth="1"/>
    <col min="11517" max="11517" width="61.42578125" style="21" customWidth="1"/>
    <col min="11518" max="11518" width="18.42578125" style="21" customWidth="1"/>
    <col min="11519" max="11519" width="28.42578125" style="21" customWidth="1"/>
    <col min="11520" max="11771" width="9.140625" style="21"/>
    <col min="11772" max="11772" width="14.42578125" style="21" customWidth="1"/>
    <col min="11773" max="11773" width="61.42578125" style="21" customWidth="1"/>
    <col min="11774" max="11774" width="18.42578125" style="21" customWidth="1"/>
    <col min="11775" max="11775" width="28.42578125" style="21" customWidth="1"/>
    <col min="11776" max="12027" width="9.140625" style="21"/>
    <col min="12028" max="12028" width="14.42578125" style="21" customWidth="1"/>
    <col min="12029" max="12029" width="61.42578125" style="21" customWidth="1"/>
    <col min="12030" max="12030" width="18.42578125" style="21" customWidth="1"/>
    <col min="12031" max="12031" width="28.42578125" style="21" customWidth="1"/>
    <col min="12032" max="12283" width="9.140625" style="21"/>
    <col min="12284" max="12284" width="14.42578125" style="21" customWidth="1"/>
    <col min="12285" max="12285" width="61.42578125" style="21" customWidth="1"/>
    <col min="12286" max="12286" width="18.42578125" style="21" customWidth="1"/>
    <col min="12287" max="12287" width="28.42578125" style="21" customWidth="1"/>
    <col min="12288" max="12539" width="9.140625" style="21"/>
    <col min="12540" max="12540" width="14.42578125" style="21" customWidth="1"/>
    <col min="12541" max="12541" width="61.42578125" style="21" customWidth="1"/>
    <col min="12542" max="12542" width="18.42578125" style="21" customWidth="1"/>
    <col min="12543" max="12543" width="28.42578125" style="21" customWidth="1"/>
    <col min="12544" max="12795" width="9.140625" style="21"/>
    <col min="12796" max="12796" width="14.42578125" style="21" customWidth="1"/>
    <col min="12797" max="12797" width="61.42578125" style="21" customWidth="1"/>
    <col min="12798" max="12798" width="18.42578125" style="21" customWidth="1"/>
    <col min="12799" max="12799" width="28.42578125" style="21" customWidth="1"/>
    <col min="12800" max="13051" width="9.140625" style="21"/>
    <col min="13052" max="13052" width="14.42578125" style="21" customWidth="1"/>
    <col min="13053" max="13053" width="61.42578125" style="21" customWidth="1"/>
    <col min="13054" max="13054" width="18.42578125" style="21" customWidth="1"/>
    <col min="13055" max="13055" width="28.42578125" style="21" customWidth="1"/>
    <col min="13056" max="13307" width="9.140625" style="21"/>
    <col min="13308" max="13308" width="14.42578125" style="21" customWidth="1"/>
    <col min="13309" max="13309" width="61.42578125" style="21" customWidth="1"/>
    <col min="13310" max="13310" width="18.42578125" style="21" customWidth="1"/>
    <col min="13311" max="13311" width="28.42578125" style="21" customWidth="1"/>
    <col min="13312" max="13563" width="9.140625" style="21"/>
    <col min="13564" max="13564" width="14.42578125" style="21" customWidth="1"/>
    <col min="13565" max="13565" width="61.42578125" style="21" customWidth="1"/>
    <col min="13566" max="13566" width="18.42578125" style="21" customWidth="1"/>
    <col min="13567" max="13567" width="28.42578125" style="21" customWidth="1"/>
    <col min="13568" max="13819" width="9.140625" style="21"/>
    <col min="13820" max="13820" width="14.42578125" style="21" customWidth="1"/>
    <col min="13821" max="13821" width="61.42578125" style="21" customWidth="1"/>
    <col min="13822" max="13822" width="18.42578125" style="21" customWidth="1"/>
    <col min="13823" max="13823" width="28.42578125" style="21" customWidth="1"/>
    <col min="13824" max="14075" width="9.140625" style="21"/>
    <col min="14076" max="14076" width="14.42578125" style="21" customWidth="1"/>
    <col min="14077" max="14077" width="61.42578125" style="21" customWidth="1"/>
    <col min="14078" max="14078" width="18.42578125" style="21" customWidth="1"/>
    <col min="14079" max="14079" width="28.42578125" style="21" customWidth="1"/>
    <col min="14080" max="14331" width="9.140625" style="21"/>
    <col min="14332" max="14332" width="14.42578125" style="21" customWidth="1"/>
    <col min="14333" max="14333" width="61.42578125" style="21" customWidth="1"/>
    <col min="14334" max="14334" width="18.42578125" style="21" customWidth="1"/>
    <col min="14335" max="14335" width="28.42578125" style="21" customWidth="1"/>
    <col min="14336" max="14587" width="9.140625" style="21"/>
    <col min="14588" max="14588" width="14.42578125" style="21" customWidth="1"/>
    <col min="14589" max="14589" width="61.42578125" style="21" customWidth="1"/>
    <col min="14590" max="14590" width="18.42578125" style="21" customWidth="1"/>
    <col min="14591" max="14591" width="28.42578125" style="21" customWidth="1"/>
    <col min="14592" max="14843" width="9.140625" style="21"/>
    <col min="14844" max="14844" width="14.42578125" style="21" customWidth="1"/>
    <col min="14845" max="14845" width="61.42578125" style="21" customWidth="1"/>
    <col min="14846" max="14846" width="18.42578125" style="21" customWidth="1"/>
    <col min="14847" max="14847" width="28.42578125" style="21" customWidth="1"/>
    <col min="14848" max="15099" width="9.140625" style="21"/>
    <col min="15100" max="15100" width="14.42578125" style="21" customWidth="1"/>
    <col min="15101" max="15101" width="61.42578125" style="21" customWidth="1"/>
    <col min="15102" max="15102" width="18.42578125" style="21" customWidth="1"/>
    <col min="15103" max="15103" width="28.42578125" style="21" customWidth="1"/>
    <col min="15104" max="15355" width="9.140625" style="21"/>
    <col min="15356" max="15356" width="14.42578125" style="21" customWidth="1"/>
    <col min="15357" max="15357" width="61.42578125" style="21" customWidth="1"/>
    <col min="15358" max="15358" width="18.42578125" style="21" customWidth="1"/>
    <col min="15359" max="15359" width="28.42578125" style="21" customWidth="1"/>
    <col min="15360" max="15611" width="9.140625" style="21"/>
    <col min="15612" max="15612" width="14.42578125" style="21" customWidth="1"/>
    <col min="15613" max="15613" width="61.42578125" style="21" customWidth="1"/>
    <col min="15614" max="15614" width="18.42578125" style="21" customWidth="1"/>
    <col min="15615" max="15615" width="28.42578125" style="21" customWidth="1"/>
    <col min="15616" max="15867" width="9.140625" style="21"/>
    <col min="15868" max="15868" width="14.42578125" style="21" customWidth="1"/>
    <col min="15869" max="15869" width="61.42578125" style="21" customWidth="1"/>
    <col min="15870" max="15870" width="18.42578125" style="21" customWidth="1"/>
    <col min="15871" max="15871" width="28.42578125" style="21" customWidth="1"/>
    <col min="15872" max="16123" width="9.140625" style="21"/>
    <col min="16124" max="16124" width="14.42578125" style="21" customWidth="1"/>
    <col min="16125" max="16125" width="61.42578125" style="21" customWidth="1"/>
    <col min="16126" max="16126" width="18.42578125" style="21" customWidth="1"/>
    <col min="16127" max="16127" width="28.42578125" style="21" customWidth="1"/>
    <col min="16128" max="16384" width="9.140625" style="21"/>
  </cols>
  <sheetData>
    <row r="1" spans="1:16129" s="22" customFormat="1" ht="15.75" x14ac:dyDescent="0.25">
      <c r="A1" s="20"/>
      <c r="B1" s="170"/>
      <c r="C1" s="353" t="s">
        <v>397</v>
      </c>
      <c r="D1" s="354"/>
      <c r="E1" s="354"/>
      <c r="F1" s="171"/>
      <c r="G1" s="17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</row>
    <row r="2" spans="1:16129" s="22" customFormat="1" ht="18" customHeight="1" x14ac:dyDescent="0.25">
      <c r="A2" s="20"/>
      <c r="C2" s="355" t="s">
        <v>556</v>
      </c>
      <c r="D2" s="356"/>
      <c r="E2" s="356"/>
      <c r="F2" s="172"/>
      <c r="G2" s="17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</row>
    <row r="3" spans="1:16129" s="22" customFormat="1" ht="44.25" customHeight="1" x14ac:dyDescent="0.25">
      <c r="A3" s="20"/>
      <c r="B3" s="23"/>
      <c r="C3" s="356"/>
      <c r="D3" s="356"/>
      <c r="E3" s="356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</row>
    <row r="4" spans="1:16129" s="22" customFormat="1" ht="45.75" customHeight="1" x14ac:dyDescent="0.25">
      <c r="A4" s="20"/>
      <c r="B4" s="23"/>
      <c r="C4" s="206"/>
      <c r="D4" s="206"/>
      <c r="E4" s="20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</row>
    <row r="5" spans="1:16129" s="22" customFormat="1" ht="62.25" customHeight="1" x14ac:dyDescent="0.2">
      <c r="A5" s="357" t="s">
        <v>280</v>
      </c>
      <c r="B5" s="357"/>
      <c r="C5" s="357"/>
      <c r="D5" s="358"/>
      <c r="E5" s="358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</row>
    <row r="6" spans="1:16129" s="22" customFormat="1" ht="18.75" x14ac:dyDescent="0.3">
      <c r="A6" s="60"/>
      <c r="B6" s="61"/>
      <c r="C6" s="6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</row>
    <row r="7" spans="1:16129" s="22" customFormat="1" ht="18.75" x14ac:dyDescent="0.3">
      <c r="A7" s="60"/>
      <c r="B7" s="61"/>
      <c r="C7" s="6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</row>
    <row r="8" spans="1:16129" s="22" customFormat="1" ht="18.75" x14ac:dyDescent="0.3">
      <c r="A8" s="60"/>
      <c r="B8" s="61"/>
      <c r="D8" s="21"/>
      <c r="E8" s="24" t="s">
        <v>39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</row>
    <row r="9" spans="1:16129" s="26" customFormat="1" ht="39.950000000000003" customHeight="1" x14ac:dyDescent="0.2">
      <c r="A9" s="31" t="s">
        <v>40</v>
      </c>
      <c r="B9" s="32" t="s">
        <v>41</v>
      </c>
      <c r="C9" s="89" t="s">
        <v>51</v>
      </c>
      <c r="D9" s="169" t="s">
        <v>366</v>
      </c>
      <c r="E9" s="169" t="s">
        <v>367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</row>
    <row r="10" spans="1:16129" ht="69" customHeight="1" x14ac:dyDescent="0.2">
      <c r="A10" s="33" t="s">
        <v>42</v>
      </c>
      <c r="B10" s="34" t="s">
        <v>281</v>
      </c>
      <c r="C10" s="243">
        <f>'прил 14  Пр, КЦСР,КВР'!G515</f>
        <v>30228.981249999997</v>
      </c>
      <c r="D10" s="243">
        <f>'прил 14  Пр, КЦСР,КВР'!H515</f>
        <v>9724.8484100000005</v>
      </c>
      <c r="E10" s="243">
        <f>C10+D10</f>
        <v>39953.829659999996</v>
      </c>
      <c r="F10" s="238">
        <f>E10-'прил 14  Пр, КЦСР,КВР'!I515</f>
        <v>0</v>
      </c>
    </row>
    <row r="11" spans="1:16129" ht="64.5" customHeight="1" x14ac:dyDescent="0.2">
      <c r="A11" s="33" t="s">
        <v>43</v>
      </c>
      <c r="B11" s="34" t="s">
        <v>282</v>
      </c>
      <c r="C11" s="243">
        <f>'прил 14  Пр, КЦСР,КВР'!G514</f>
        <v>323906.60525999998</v>
      </c>
      <c r="D11" s="243">
        <f>'прил 14  Пр, КЦСР,КВР'!H514</f>
        <v>5460.6454400000002</v>
      </c>
      <c r="E11" s="243">
        <f t="shared" ref="E11:E13" si="0">C11+D11</f>
        <v>329367.25069999998</v>
      </c>
      <c r="F11" s="238">
        <f>E11-'прил 14  Пр, КЦСР,КВР'!I514</f>
        <v>0</v>
      </c>
    </row>
    <row r="12" spans="1:16129" ht="72.75" customHeight="1" x14ac:dyDescent="0.2">
      <c r="A12" s="33" t="s">
        <v>44</v>
      </c>
      <c r="B12" s="34" t="s">
        <v>283</v>
      </c>
      <c r="C12" s="244">
        <f>'прил 14  Пр, КЦСР,КВР'!G513</f>
        <v>40085.475749999998</v>
      </c>
      <c r="D12" s="244">
        <f>'прил 14  Пр, КЦСР,КВР'!H513</f>
        <v>1274.2926199999999</v>
      </c>
      <c r="E12" s="243">
        <f t="shared" si="0"/>
        <v>41359.768369999998</v>
      </c>
      <c r="F12" s="238">
        <f>E12-'прил 14  Пр, КЦСР,КВР'!I513</f>
        <v>0</v>
      </c>
    </row>
    <row r="13" spans="1:16129" ht="82.5" customHeight="1" x14ac:dyDescent="0.2">
      <c r="A13" s="33" t="s">
        <v>45</v>
      </c>
      <c r="B13" s="34" t="s">
        <v>284</v>
      </c>
      <c r="C13" s="244">
        <f>'прил 14  Пр, КЦСР,КВР'!G516</f>
        <v>16535.11233</v>
      </c>
      <c r="D13" s="244">
        <f>'прил 14  Пр, КЦСР,КВР'!H516</f>
        <v>670.51352999999995</v>
      </c>
      <c r="E13" s="243">
        <f t="shared" si="0"/>
        <v>17205.62586</v>
      </c>
      <c r="F13" s="238">
        <f>E13-'прил 14  Пр, КЦСР,КВР'!I516</f>
        <v>0</v>
      </c>
    </row>
    <row r="14" spans="1:16129" ht="39.950000000000003" hidden="1" customHeight="1" x14ac:dyDescent="0.3">
      <c r="A14" s="33" t="s">
        <v>46</v>
      </c>
      <c r="B14" s="27"/>
      <c r="C14" s="245"/>
      <c r="D14" s="246"/>
      <c r="E14" s="246"/>
    </row>
    <row r="15" spans="1:16129" ht="60" hidden="1" customHeight="1" x14ac:dyDescent="0.3">
      <c r="A15" s="33" t="s">
        <v>47</v>
      </c>
      <c r="B15" s="27"/>
      <c r="C15" s="245"/>
      <c r="D15" s="246"/>
      <c r="E15" s="246"/>
    </row>
    <row r="16" spans="1:16129" ht="39.950000000000003" hidden="1" customHeight="1" x14ac:dyDescent="0.3">
      <c r="A16" s="33" t="s">
        <v>48</v>
      </c>
      <c r="B16" s="28"/>
      <c r="C16" s="245"/>
      <c r="D16" s="246"/>
      <c r="E16" s="246"/>
    </row>
    <row r="17" spans="1:5" ht="39.950000000000003" hidden="1" customHeight="1" x14ac:dyDescent="0.3">
      <c r="A17" s="33" t="s">
        <v>49</v>
      </c>
      <c r="B17" s="27"/>
      <c r="C17" s="245"/>
      <c r="D17" s="246"/>
      <c r="E17" s="246"/>
    </row>
    <row r="18" spans="1:5" ht="18.75" x14ac:dyDescent="0.2">
      <c r="A18" s="90"/>
      <c r="B18" s="90" t="s">
        <v>50</v>
      </c>
      <c r="C18" s="247">
        <f>C10+C11+C12+C13+C14+C15+C16+C17</f>
        <v>410756.17458999995</v>
      </c>
      <c r="D18" s="247">
        <f t="shared" ref="D18:E18" si="1">D10+D11+D12+D13+D14+D15+D16+D17</f>
        <v>17130.3</v>
      </c>
      <c r="E18" s="247">
        <f t="shared" si="1"/>
        <v>427886.47459</v>
      </c>
    </row>
    <row r="19" spans="1:5" ht="18" x14ac:dyDescent="0.2">
      <c r="A19" s="26"/>
      <c r="B19" s="63"/>
      <c r="C19" s="64"/>
    </row>
    <row r="20" spans="1:5" ht="18" x14ac:dyDescent="0.25">
      <c r="A20" s="26"/>
      <c r="B20" s="63"/>
      <c r="C20" s="65"/>
    </row>
  </sheetData>
  <mergeCells count="3">
    <mergeCell ref="C1:E1"/>
    <mergeCell ref="C2:E3"/>
    <mergeCell ref="A5:E5"/>
  </mergeCells>
  <pageMargins left="0.74803149606299213" right="3.937007874015748E-2" top="0.51181102362204722" bottom="0.39370078740157483" header="0" footer="0"/>
  <pageSetup paperSize="9" scale="66" firstPageNumber="164" orientation="portrait" useFirstPageNumber="1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7"/>
  <sheetViews>
    <sheetView tabSelected="1" view="pageBreakPreview" topLeftCell="B492" zoomScale="85" zoomScaleNormal="100" zoomScaleSheetLayoutView="85" workbookViewId="0">
      <selection activeCell="I506" sqref="I506"/>
    </sheetView>
  </sheetViews>
  <sheetFormatPr defaultRowHeight="12.75" x14ac:dyDescent="0.2"/>
  <cols>
    <col min="1" max="1" width="5.140625" style="55" hidden="1" customWidth="1"/>
    <col min="2" max="2" width="50.140625" style="56" customWidth="1"/>
    <col min="3" max="3" width="6.7109375" style="57" customWidth="1"/>
    <col min="4" max="4" width="8" style="57" customWidth="1"/>
    <col min="5" max="5" width="12.42578125" style="57" customWidth="1"/>
    <col min="6" max="6" width="10" style="57" customWidth="1"/>
    <col min="7" max="8" width="13.28515625" style="349" customWidth="1"/>
    <col min="9" max="9" width="13.5703125" style="58" customWidth="1"/>
    <col min="10" max="10" width="9.140625" style="58"/>
    <col min="11" max="11" width="10.42578125" style="58" bestFit="1" customWidth="1"/>
    <col min="12" max="248" width="9.140625" style="58"/>
    <col min="249" max="249" width="3.5703125" style="58" customWidth="1"/>
    <col min="250" max="250" width="40.85546875" style="58" customWidth="1"/>
    <col min="251" max="251" width="5.140625" style="58" customWidth="1"/>
    <col min="252" max="253" width="4.28515625" style="58" customWidth="1"/>
    <col min="254" max="254" width="8.5703125" style="58" customWidth="1"/>
    <col min="255" max="255" width="6.7109375" style="58" customWidth="1"/>
    <col min="256" max="256" width="11.28515625" style="58" customWidth="1"/>
    <col min="257" max="257" width="12.28515625" style="58" customWidth="1"/>
    <col min="258" max="504" width="9.140625" style="58"/>
    <col min="505" max="505" width="3.5703125" style="58" customWidth="1"/>
    <col min="506" max="506" width="40.85546875" style="58" customWidth="1"/>
    <col min="507" max="507" width="5.140625" style="58" customWidth="1"/>
    <col min="508" max="509" width="4.28515625" style="58" customWidth="1"/>
    <col min="510" max="510" width="8.5703125" style="58" customWidth="1"/>
    <col min="511" max="511" width="6.7109375" style="58" customWidth="1"/>
    <col min="512" max="512" width="11.28515625" style="58" customWidth="1"/>
    <col min="513" max="513" width="12.28515625" style="58" customWidth="1"/>
    <col min="514" max="760" width="9.140625" style="58"/>
    <col min="761" max="761" width="3.5703125" style="58" customWidth="1"/>
    <col min="762" max="762" width="40.85546875" style="58" customWidth="1"/>
    <col min="763" max="763" width="5.140625" style="58" customWidth="1"/>
    <col min="764" max="765" width="4.28515625" style="58" customWidth="1"/>
    <col min="766" max="766" width="8.5703125" style="58" customWidth="1"/>
    <col min="767" max="767" width="6.7109375" style="58" customWidth="1"/>
    <col min="768" max="768" width="11.28515625" style="58" customWidth="1"/>
    <col min="769" max="769" width="12.28515625" style="58" customWidth="1"/>
    <col min="770" max="1016" width="9.140625" style="58"/>
    <col min="1017" max="1017" width="3.5703125" style="58" customWidth="1"/>
    <col min="1018" max="1018" width="40.85546875" style="58" customWidth="1"/>
    <col min="1019" max="1019" width="5.140625" style="58" customWidth="1"/>
    <col min="1020" max="1021" width="4.28515625" style="58" customWidth="1"/>
    <col min="1022" max="1022" width="8.5703125" style="58" customWidth="1"/>
    <col min="1023" max="1023" width="6.7109375" style="58" customWidth="1"/>
    <col min="1024" max="1024" width="11.28515625" style="58" customWidth="1"/>
    <col min="1025" max="1025" width="12.28515625" style="58" customWidth="1"/>
    <col min="1026" max="1272" width="9.140625" style="58"/>
    <col min="1273" max="1273" width="3.5703125" style="58" customWidth="1"/>
    <col min="1274" max="1274" width="40.85546875" style="58" customWidth="1"/>
    <col min="1275" max="1275" width="5.140625" style="58" customWidth="1"/>
    <col min="1276" max="1277" width="4.28515625" style="58" customWidth="1"/>
    <col min="1278" max="1278" width="8.5703125" style="58" customWidth="1"/>
    <col min="1279" max="1279" width="6.7109375" style="58" customWidth="1"/>
    <col min="1280" max="1280" width="11.28515625" style="58" customWidth="1"/>
    <col min="1281" max="1281" width="12.28515625" style="58" customWidth="1"/>
    <col min="1282" max="1528" width="9.140625" style="58"/>
    <col min="1529" max="1529" width="3.5703125" style="58" customWidth="1"/>
    <col min="1530" max="1530" width="40.85546875" style="58" customWidth="1"/>
    <col min="1531" max="1531" width="5.140625" style="58" customWidth="1"/>
    <col min="1532" max="1533" width="4.28515625" style="58" customWidth="1"/>
    <col min="1534" max="1534" width="8.5703125" style="58" customWidth="1"/>
    <col min="1535" max="1535" width="6.7109375" style="58" customWidth="1"/>
    <col min="1536" max="1536" width="11.28515625" style="58" customWidth="1"/>
    <col min="1537" max="1537" width="12.28515625" style="58" customWidth="1"/>
    <col min="1538" max="1784" width="9.140625" style="58"/>
    <col min="1785" max="1785" width="3.5703125" style="58" customWidth="1"/>
    <col min="1786" max="1786" width="40.85546875" style="58" customWidth="1"/>
    <col min="1787" max="1787" width="5.140625" style="58" customWidth="1"/>
    <col min="1788" max="1789" width="4.28515625" style="58" customWidth="1"/>
    <col min="1790" max="1790" width="8.5703125" style="58" customWidth="1"/>
    <col min="1791" max="1791" width="6.7109375" style="58" customWidth="1"/>
    <col min="1792" max="1792" width="11.28515625" style="58" customWidth="1"/>
    <col min="1793" max="1793" width="12.28515625" style="58" customWidth="1"/>
    <col min="1794" max="2040" width="9.140625" style="58"/>
    <col min="2041" max="2041" width="3.5703125" style="58" customWidth="1"/>
    <col min="2042" max="2042" width="40.85546875" style="58" customWidth="1"/>
    <col min="2043" max="2043" width="5.140625" style="58" customWidth="1"/>
    <col min="2044" max="2045" width="4.28515625" style="58" customWidth="1"/>
    <col min="2046" max="2046" width="8.5703125" style="58" customWidth="1"/>
    <col min="2047" max="2047" width="6.7109375" style="58" customWidth="1"/>
    <col min="2048" max="2048" width="11.28515625" style="58" customWidth="1"/>
    <col min="2049" max="2049" width="12.28515625" style="58" customWidth="1"/>
    <col min="2050" max="2296" width="9.140625" style="58"/>
    <col min="2297" max="2297" width="3.5703125" style="58" customWidth="1"/>
    <col min="2298" max="2298" width="40.85546875" style="58" customWidth="1"/>
    <col min="2299" max="2299" width="5.140625" style="58" customWidth="1"/>
    <col min="2300" max="2301" width="4.28515625" style="58" customWidth="1"/>
    <col min="2302" max="2302" width="8.5703125" style="58" customWidth="1"/>
    <col min="2303" max="2303" width="6.7109375" style="58" customWidth="1"/>
    <col min="2304" max="2304" width="11.28515625" style="58" customWidth="1"/>
    <col min="2305" max="2305" width="12.28515625" style="58" customWidth="1"/>
    <col min="2306" max="2552" width="9.140625" style="58"/>
    <col min="2553" max="2553" width="3.5703125" style="58" customWidth="1"/>
    <col min="2554" max="2554" width="40.85546875" style="58" customWidth="1"/>
    <col min="2555" max="2555" width="5.140625" style="58" customWidth="1"/>
    <col min="2556" max="2557" width="4.28515625" style="58" customWidth="1"/>
    <col min="2558" max="2558" width="8.5703125" style="58" customWidth="1"/>
    <col min="2559" max="2559" width="6.7109375" style="58" customWidth="1"/>
    <col min="2560" max="2560" width="11.28515625" style="58" customWidth="1"/>
    <col min="2561" max="2561" width="12.28515625" style="58" customWidth="1"/>
    <col min="2562" max="2808" width="9.140625" style="58"/>
    <col min="2809" max="2809" width="3.5703125" style="58" customWidth="1"/>
    <col min="2810" max="2810" width="40.85546875" style="58" customWidth="1"/>
    <col min="2811" max="2811" width="5.140625" style="58" customWidth="1"/>
    <col min="2812" max="2813" width="4.28515625" style="58" customWidth="1"/>
    <col min="2814" max="2814" width="8.5703125" style="58" customWidth="1"/>
    <col min="2815" max="2815" width="6.7109375" style="58" customWidth="1"/>
    <col min="2816" max="2816" width="11.28515625" style="58" customWidth="1"/>
    <col min="2817" max="2817" width="12.28515625" style="58" customWidth="1"/>
    <col min="2818" max="3064" width="9.140625" style="58"/>
    <col min="3065" max="3065" width="3.5703125" style="58" customWidth="1"/>
    <col min="3066" max="3066" width="40.85546875" style="58" customWidth="1"/>
    <col min="3067" max="3067" width="5.140625" style="58" customWidth="1"/>
    <col min="3068" max="3069" width="4.28515625" style="58" customWidth="1"/>
    <col min="3070" max="3070" width="8.5703125" style="58" customWidth="1"/>
    <col min="3071" max="3071" width="6.7109375" style="58" customWidth="1"/>
    <col min="3072" max="3072" width="11.28515625" style="58" customWidth="1"/>
    <col min="3073" max="3073" width="12.28515625" style="58" customWidth="1"/>
    <col min="3074" max="3320" width="9.140625" style="58"/>
    <col min="3321" max="3321" width="3.5703125" style="58" customWidth="1"/>
    <col min="3322" max="3322" width="40.85546875" style="58" customWidth="1"/>
    <col min="3323" max="3323" width="5.140625" style="58" customWidth="1"/>
    <col min="3324" max="3325" width="4.28515625" style="58" customWidth="1"/>
    <col min="3326" max="3326" width="8.5703125" style="58" customWidth="1"/>
    <col min="3327" max="3327" width="6.7109375" style="58" customWidth="1"/>
    <col min="3328" max="3328" width="11.28515625" style="58" customWidth="1"/>
    <col min="3329" max="3329" width="12.28515625" style="58" customWidth="1"/>
    <col min="3330" max="3576" width="9.140625" style="58"/>
    <col min="3577" max="3577" width="3.5703125" style="58" customWidth="1"/>
    <col min="3578" max="3578" width="40.85546875" style="58" customWidth="1"/>
    <col min="3579" max="3579" width="5.140625" style="58" customWidth="1"/>
    <col min="3580" max="3581" width="4.28515625" style="58" customWidth="1"/>
    <col min="3582" max="3582" width="8.5703125" style="58" customWidth="1"/>
    <col min="3583" max="3583" width="6.7109375" style="58" customWidth="1"/>
    <col min="3584" max="3584" width="11.28515625" style="58" customWidth="1"/>
    <col min="3585" max="3585" width="12.28515625" style="58" customWidth="1"/>
    <col min="3586" max="3832" width="9.140625" style="58"/>
    <col min="3833" max="3833" width="3.5703125" style="58" customWidth="1"/>
    <col min="3834" max="3834" width="40.85546875" style="58" customWidth="1"/>
    <col min="3835" max="3835" width="5.140625" style="58" customWidth="1"/>
    <col min="3836" max="3837" width="4.28515625" style="58" customWidth="1"/>
    <col min="3838" max="3838" width="8.5703125" style="58" customWidth="1"/>
    <col min="3839" max="3839" width="6.7109375" style="58" customWidth="1"/>
    <col min="3840" max="3840" width="11.28515625" style="58" customWidth="1"/>
    <col min="3841" max="3841" width="12.28515625" style="58" customWidth="1"/>
    <col min="3842" max="4088" width="9.140625" style="58"/>
    <col min="4089" max="4089" width="3.5703125" style="58" customWidth="1"/>
    <col min="4090" max="4090" width="40.85546875" style="58" customWidth="1"/>
    <col min="4091" max="4091" width="5.140625" style="58" customWidth="1"/>
    <col min="4092" max="4093" width="4.28515625" style="58" customWidth="1"/>
    <col min="4094" max="4094" width="8.5703125" style="58" customWidth="1"/>
    <col min="4095" max="4095" width="6.7109375" style="58" customWidth="1"/>
    <col min="4096" max="4096" width="11.28515625" style="58" customWidth="1"/>
    <col min="4097" max="4097" width="12.28515625" style="58" customWidth="1"/>
    <col min="4098" max="4344" width="9.140625" style="58"/>
    <col min="4345" max="4345" width="3.5703125" style="58" customWidth="1"/>
    <col min="4346" max="4346" width="40.85546875" style="58" customWidth="1"/>
    <col min="4347" max="4347" width="5.140625" style="58" customWidth="1"/>
    <col min="4348" max="4349" width="4.28515625" style="58" customWidth="1"/>
    <col min="4350" max="4350" width="8.5703125" style="58" customWidth="1"/>
    <col min="4351" max="4351" width="6.7109375" style="58" customWidth="1"/>
    <col min="4352" max="4352" width="11.28515625" style="58" customWidth="1"/>
    <col min="4353" max="4353" width="12.28515625" style="58" customWidth="1"/>
    <col min="4354" max="4600" width="9.140625" style="58"/>
    <col min="4601" max="4601" width="3.5703125" style="58" customWidth="1"/>
    <col min="4602" max="4602" width="40.85546875" style="58" customWidth="1"/>
    <col min="4603" max="4603" width="5.140625" style="58" customWidth="1"/>
    <col min="4604" max="4605" width="4.28515625" style="58" customWidth="1"/>
    <col min="4606" max="4606" width="8.5703125" style="58" customWidth="1"/>
    <col min="4607" max="4607" width="6.7109375" style="58" customWidth="1"/>
    <col min="4608" max="4608" width="11.28515625" style="58" customWidth="1"/>
    <col min="4609" max="4609" width="12.28515625" style="58" customWidth="1"/>
    <col min="4610" max="4856" width="9.140625" style="58"/>
    <col min="4857" max="4857" width="3.5703125" style="58" customWidth="1"/>
    <col min="4858" max="4858" width="40.85546875" style="58" customWidth="1"/>
    <col min="4859" max="4859" width="5.140625" style="58" customWidth="1"/>
    <col min="4860" max="4861" width="4.28515625" style="58" customWidth="1"/>
    <col min="4862" max="4862" width="8.5703125" style="58" customWidth="1"/>
    <col min="4863" max="4863" width="6.7109375" style="58" customWidth="1"/>
    <col min="4864" max="4864" width="11.28515625" style="58" customWidth="1"/>
    <col min="4865" max="4865" width="12.28515625" style="58" customWidth="1"/>
    <col min="4866" max="5112" width="9.140625" style="58"/>
    <col min="5113" max="5113" width="3.5703125" style="58" customWidth="1"/>
    <col min="5114" max="5114" width="40.85546875" style="58" customWidth="1"/>
    <col min="5115" max="5115" width="5.140625" style="58" customWidth="1"/>
    <col min="5116" max="5117" width="4.28515625" style="58" customWidth="1"/>
    <col min="5118" max="5118" width="8.5703125" style="58" customWidth="1"/>
    <col min="5119" max="5119" width="6.7109375" style="58" customWidth="1"/>
    <col min="5120" max="5120" width="11.28515625" style="58" customWidth="1"/>
    <col min="5121" max="5121" width="12.28515625" style="58" customWidth="1"/>
    <col min="5122" max="5368" width="9.140625" style="58"/>
    <col min="5369" max="5369" width="3.5703125" style="58" customWidth="1"/>
    <col min="5370" max="5370" width="40.85546875" style="58" customWidth="1"/>
    <col min="5371" max="5371" width="5.140625" style="58" customWidth="1"/>
    <col min="5372" max="5373" width="4.28515625" style="58" customWidth="1"/>
    <col min="5374" max="5374" width="8.5703125" style="58" customWidth="1"/>
    <col min="5375" max="5375" width="6.7109375" style="58" customWidth="1"/>
    <col min="5376" max="5376" width="11.28515625" style="58" customWidth="1"/>
    <col min="5377" max="5377" width="12.28515625" style="58" customWidth="1"/>
    <col min="5378" max="5624" width="9.140625" style="58"/>
    <col min="5625" max="5625" width="3.5703125" style="58" customWidth="1"/>
    <col min="5626" max="5626" width="40.85546875" style="58" customWidth="1"/>
    <col min="5627" max="5627" width="5.140625" style="58" customWidth="1"/>
    <col min="5628" max="5629" width="4.28515625" style="58" customWidth="1"/>
    <col min="5630" max="5630" width="8.5703125" style="58" customWidth="1"/>
    <col min="5631" max="5631" width="6.7109375" style="58" customWidth="1"/>
    <col min="5632" max="5632" width="11.28515625" style="58" customWidth="1"/>
    <col min="5633" max="5633" width="12.28515625" style="58" customWidth="1"/>
    <col min="5634" max="5880" width="9.140625" style="58"/>
    <col min="5881" max="5881" width="3.5703125" style="58" customWidth="1"/>
    <col min="5882" max="5882" width="40.85546875" style="58" customWidth="1"/>
    <col min="5883" max="5883" width="5.140625" style="58" customWidth="1"/>
    <col min="5884" max="5885" width="4.28515625" style="58" customWidth="1"/>
    <col min="5886" max="5886" width="8.5703125" style="58" customWidth="1"/>
    <col min="5887" max="5887" width="6.7109375" style="58" customWidth="1"/>
    <col min="5888" max="5888" width="11.28515625" style="58" customWidth="1"/>
    <col min="5889" max="5889" width="12.28515625" style="58" customWidth="1"/>
    <col min="5890" max="6136" width="9.140625" style="58"/>
    <col min="6137" max="6137" width="3.5703125" style="58" customWidth="1"/>
    <col min="6138" max="6138" width="40.85546875" style="58" customWidth="1"/>
    <col min="6139" max="6139" width="5.140625" style="58" customWidth="1"/>
    <col min="6140" max="6141" width="4.28515625" style="58" customWidth="1"/>
    <col min="6142" max="6142" width="8.5703125" style="58" customWidth="1"/>
    <col min="6143" max="6143" width="6.7109375" style="58" customWidth="1"/>
    <col min="6144" max="6144" width="11.28515625" style="58" customWidth="1"/>
    <col min="6145" max="6145" width="12.28515625" style="58" customWidth="1"/>
    <col min="6146" max="6392" width="9.140625" style="58"/>
    <col min="6393" max="6393" width="3.5703125" style="58" customWidth="1"/>
    <col min="6394" max="6394" width="40.85546875" style="58" customWidth="1"/>
    <col min="6395" max="6395" width="5.140625" style="58" customWidth="1"/>
    <col min="6396" max="6397" width="4.28515625" style="58" customWidth="1"/>
    <col min="6398" max="6398" width="8.5703125" style="58" customWidth="1"/>
    <col min="6399" max="6399" width="6.7109375" style="58" customWidth="1"/>
    <col min="6400" max="6400" width="11.28515625" style="58" customWidth="1"/>
    <col min="6401" max="6401" width="12.28515625" style="58" customWidth="1"/>
    <col min="6402" max="6648" width="9.140625" style="58"/>
    <col min="6649" max="6649" width="3.5703125" style="58" customWidth="1"/>
    <col min="6650" max="6650" width="40.85546875" style="58" customWidth="1"/>
    <col min="6651" max="6651" width="5.140625" style="58" customWidth="1"/>
    <col min="6652" max="6653" width="4.28515625" style="58" customWidth="1"/>
    <col min="6654" max="6654" width="8.5703125" style="58" customWidth="1"/>
    <col min="6655" max="6655" width="6.7109375" style="58" customWidth="1"/>
    <col min="6656" max="6656" width="11.28515625" style="58" customWidth="1"/>
    <col min="6657" max="6657" width="12.28515625" style="58" customWidth="1"/>
    <col min="6658" max="6904" width="9.140625" style="58"/>
    <col min="6905" max="6905" width="3.5703125" style="58" customWidth="1"/>
    <col min="6906" max="6906" width="40.85546875" style="58" customWidth="1"/>
    <col min="6907" max="6907" width="5.140625" style="58" customWidth="1"/>
    <col min="6908" max="6909" width="4.28515625" style="58" customWidth="1"/>
    <col min="6910" max="6910" width="8.5703125" style="58" customWidth="1"/>
    <col min="6911" max="6911" width="6.7109375" style="58" customWidth="1"/>
    <col min="6912" max="6912" width="11.28515625" style="58" customWidth="1"/>
    <col min="6913" max="6913" width="12.28515625" style="58" customWidth="1"/>
    <col min="6914" max="7160" width="9.140625" style="58"/>
    <col min="7161" max="7161" width="3.5703125" style="58" customWidth="1"/>
    <col min="7162" max="7162" width="40.85546875" style="58" customWidth="1"/>
    <col min="7163" max="7163" width="5.140625" style="58" customWidth="1"/>
    <col min="7164" max="7165" width="4.28515625" style="58" customWidth="1"/>
    <col min="7166" max="7166" width="8.5703125" style="58" customWidth="1"/>
    <col min="7167" max="7167" width="6.7109375" style="58" customWidth="1"/>
    <col min="7168" max="7168" width="11.28515625" style="58" customWidth="1"/>
    <col min="7169" max="7169" width="12.28515625" style="58" customWidth="1"/>
    <col min="7170" max="7416" width="9.140625" style="58"/>
    <col min="7417" max="7417" width="3.5703125" style="58" customWidth="1"/>
    <col min="7418" max="7418" width="40.85546875" style="58" customWidth="1"/>
    <col min="7419" max="7419" width="5.140625" style="58" customWidth="1"/>
    <col min="7420" max="7421" width="4.28515625" style="58" customWidth="1"/>
    <col min="7422" max="7422" width="8.5703125" style="58" customWidth="1"/>
    <col min="7423" max="7423" width="6.7109375" style="58" customWidth="1"/>
    <col min="7424" max="7424" width="11.28515625" style="58" customWidth="1"/>
    <col min="7425" max="7425" width="12.28515625" style="58" customWidth="1"/>
    <col min="7426" max="7672" width="9.140625" style="58"/>
    <col min="7673" max="7673" width="3.5703125" style="58" customWidth="1"/>
    <col min="7674" max="7674" width="40.85546875" style="58" customWidth="1"/>
    <col min="7675" max="7675" width="5.140625" style="58" customWidth="1"/>
    <col min="7676" max="7677" width="4.28515625" style="58" customWidth="1"/>
    <col min="7678" max="7678" width="8.5703125" style="58" customWidth="1"/>
    <col min="7679" max="7679" width="6.7109375" style="58" customWidth="1"/>
    <col min="7680" max="7680" width="11.28515625" style="58" customWidth="1"/>
    <col min="7681" max="7681" width="12.28515625" style="58" customWidth="1"/>
    <col min="7682" max="7928" width="9.140625" style="58"/>
    <col min="7929" max="7929" width="3.5703125" style="58" customWidth="1"/>
    <col min="7930" max="7930" width="40.85546875" style="58" customWidth="1"/>
    <col min="7931" max="7931" width="5.140625" style="58" customWidth="1"/>
    <col min="7932" max="7933" width="4.28515625" style="58" customWidth="1"/>
    <col min="7934" max="7934" width="8.5703125" style="58" customWidth="1"/>
    <col min="7935" max="7935" width="6.7109375" style="58" customWidth="1"/>
    <col min="7936" max="7936" width="11.28515625" style="58" customWidth="1"/>
    <col min="7937" max="7937" width="12.28515625" style="58" customWidth="1"/>
    <col min="7938" max="8184" width="9.140625" style="58"/>
    <col min="8185" max="8185" width="3.5703125" style="58" customWidth="1"/>
    <col min="8186" max="8186" width="40.85546875" style="58" customWidth="1"/>
    <col min="8187" max="8187" width="5.140625" style="58" customWidth="1"/>
    <col min="8188" max="8189" width="4.28515625" style="58" customWidth="1"/>
    <col min="8190" max="8190" width="8.5703125" style="58" customWidth="1"/>
    <col min="8191" max="8191" width="6.7109375" style="58" customWidth="1"/>
    <col min="8192" max="8192" width="11.28515625" style="58" customWidth="1"/>
    <col min="8193" max="8193" width="12.28515625" style="58" customWidth="1"/>
    <col min="8194" max="8440" width="9.140625" style="58"/>
    <col min="8441" max="8441" width="3.5703125" style="58" customWidth="1"/>
    <col min="8442" max="8442" width="40.85546875" style="58" customWidth="1"/>
    <col min="8443" max="8443" width="5.140625" style="58" customWidth="1"/>
    <col min="8444" max="8445" width="4.28515625" style="58" customWidth="1"/>
    <col min="8446" max="8446" width="8.5703125" style="58" customWidth="1"/>
    <col min="8447" max="8447" width="6.7109375" style="58" customWidth="1"/>
    <col min="8448" max="8448" width="11.28515625" style="58" customWidth="1"/>
    <col min="8449" max="8449" width="12.28515625" style="58" customWidth="1"/>
    <col min="8450" max="8696" width="9.140625" style="58"/>
    <col min="8697" max="8697" width="3.5703125" style="58" customWidth="1"/>
    <col min="8698" max="8698" width="40.85546875" style="58" customWidth="1"/>
    <col min="8699" max="8699" width="5.140625" style="58" customWidth="1"/>
    <col min="8700" max="8701" width="4.28515625" style="58" customWidth="1"/>
    <col min="8702" max="8702" width="8.5703125" style="58" customWidth="1"/>
    <col min="8703" max="8703" width="6.7109375" style="58" customWidth="1"/>
    <col min="8704" max="8704" width="11.28515625" style="58" customWidth="1"/>
    <col min="8705" max="8705" width="12.28515625" style="58" customWidth="1"/>
    <col min="8706" max="8952" width="9.140625" style="58"/>
    <col min="8953" max="8953" width="3.5703125" style="58" customWidth="1"/>
    <col min="8954" max="8954" width="40.85546875" style="58" customWidth="1"/>
    <col min="8955" max="8955" width="5.140625" style="58" customWidth="1"/>
    <col min="8956" max="8957" width="4.28515625" style="58" customWidth="1"/>
    <col min="8958" max="8958" width="8.5703125" style="58" customWidth="1"/>
    <col min="8959" max="8959" width="6.7109375" style="58" customWidth="1"/>
    <col min="8960" max="8960" width="11.28515625" style="58" customWidth="1"/>
    <col min="8961" max="8961" width="12.28515625" style="58" customWidth="1"/>
    <col min="8962" max="9208" width="9.140625" style="58"/>
    <col min="9209" max="9209" width="3.5703125" style="58" customWidth="1"/>
    <col min="9210" max="9210" width="40.85546875" style="58" customWidth="1"/>
    <col min="9211" max="9211" width="5.140625" style="58" customWidth="1"/>
    <col min="9212" max="9213" width="4.28515625" style="58" customWidth="1"/>
    <col min="9214" max="9214" width="8.5703125" style="58" customWidth="1"/>
    <col min="9215" max="9215" width="6.7109375" style="58" customWidth="1"/>
    <col min="9216" max="9216" width="11.28515625" style="58" customWidth="1"/>
    <col min="9217" max="9217" width="12.28515625" style="58" customWidth="1"/>
    <col min="9218" max="9464" width="9.140625" style="58"/>
    <col min="9465" max="9465" width="3.5703125" style="58" customWidth="1"/>
    <col min="9466" max="9466" width="40.85546875" style="58" customWidth="1"/>
    <col min="9467" max="9467" width="5.140625" style="58" customWidth="1"/>
    <col min="9468" max="9469" width="4.28515625" style="58" customWidth="1"/>
    <col min="9470" max="9470" width="8.5703125" style="58" customWidth="1"/>
    <col min="9471" max="9471" width="6.7109375" style="58" customWidth="1"/>
    <col min="9472" max="9472" width="11.28515625" style="58" customWidth="1"/>
    <col min="9473" max="9473" width="12.28515625" style="58" customWidth="1"/>
    <col min="9474" max="9720" width="9.140625" style="58"/>
    <col min="9721" max="9721" width="3.5703125" style="58" customWidth="1"/>
    <col min="9722" max="9722" width="40.85546875" style="58" customWidth="1"/>
    <col min="9723" max="9723" width="5.140625" style="58" customWidth="1"/>
    <col min="9724" max="9725" width="4.28515625" style="58" customWidth="1"/>
    <col min="9726" max="9726" width="8.5703125" style="58" customWidth="1"/>
    <col min="9727" max="9727" width="6.7109375" style="58" customWidth="1"/>
    <col min="9728" max="9728" width="11.28515625" style="58" customWidth="1"/>
    <col min="9729" max="9729" width="12.28515625" style="58" customWidth="1"/>
    <col min="9730" max="9976" width="9.140625" style="58"/>
    <col min="9977" max="9977" width="3.5703125" style="58" customWidth="1"/>
    <col min="9978" max="9978" width="40.85546875" style="58" customWidth="1"/>
    <col min="9979" max="9979" width="5.140625" style="58" customWidth="1"/>
    <col min="9980" max="9981" width="4.28515625" style="58" customWidth="1"/>
    <col min="9982" max="9982" width="8.5703125" style="58" customWidth="1"/>
    <col min="9983" max="9983" width="6.7109375" style="58" customWidth="1"/>
    <col min="9984" max="9984" width="11.28515625" style="58" customWidth="1"/>
    <col min="9985" max="9985" width="12.28515625" style="58" customWidth="1"/>
    <col min="9986" max="10232" width="9.140625" style="58"/>
    <col min="10233" max="10233" width="3.5703125" style="58" customWidth="1"/>
    <col min="10234" max="10234" width="40.85546875" style="58" customWidth="1"/>
    <col min="10235" max="10235" width="5.140625" style="58" customWidth="1"/>
    <col min="10236" max="10237" width="4.28515625" style="58" customWidth="1"/>
    <col min="10238" max="10238" width="8.5703125" style="58" customWidth="1"/>
    <col min="10239" max="10239" width="6.7109375" style="58" customWidth="1"/>
    <col min="10240" max="10240" width="11.28515625" style="58" customWidth="1"/>
    <col min="10241" max="10241" width="12.28515625" style="58" customWidth="1"/>
    <col min="10242" max="10488" width="9.140625" style="58"/>
    <col min="10489" max="10489" width="3.5703125" style="58" customWidth="1"/>
    <col min="10490" max="10490" width="40.85546875" style="58" customWidth="1"/>
    <col min="10491" max="10491" width="5.140625" style="58" customWidth="1"/>
    <col min="10492" max="10493" width="4.28515625" style="58" customWidth="1"/>
    <col min="10494" max="10494" width="8.5703125" style="58" customWidth="1"/>
    <col min="10495" max="10495" width="6.7109375" style="58" customWidth="1"/>
    <col min="10496" max="10496" width="11.28515625" style="58" customWidth="1"/>
    <col min="10497" max="10497" width="12.28515625" style="58" customWidth="1"/>
    <col min="10498" max="10744" width="9.140625" style="58"/>
    <col min="10745" max="10745" width="3.5703125" style="58" customWidth="1"/>
    <col min="10746" max="10746" width="40.85546875" style="58" customWidth="1"/>
    <col min="10747" max="10747" width="5.140625" style="58" customWidth="1"/>
    <col min="10748" max="10749" width="4.28515625" style="58" customWidth="1"/>
    <col min="10750" max="10750" width="8.5703125" style="58" customWidth="1"/>
    <col min="10751" max="10751" width="6.7109375" style="58" customWidth="1"/>
    <col min="10752" max="10752" width="11.28515625" style="58" customWidth="1"/>
    <col min="10753" max="10753" width="12.28515625" style="58" customWidth="1"/>
    <col min="10754" max="11000" width="9.140625" style="58"/>
    <col min="11001" max="11001" width="3.5703125" style="58" customWidth="1"/>
    <col min="11002" max="11002" width="40.85546875" style="58" customWidth="1"/>
    <col min="11003" max="11003" width="5.140625" style="58" customWidth="1"/>
    <col min="11004" max="11005" width="4.28515625" style="58" customWidth="1"/>
    <col min="11006" max="11006" width="8.5703125" style="58" customWidth="1"/>
    <col min="11007" max="11007" width="6.7109375" style="58" customWidth="1"/>
    <col min="11008" max="11008" width="11.28515625" style="58" customWidth="1"/>
    <col min="11009" max="11009" width="12.28515625" style="58" customWidth="1"/>
    <col min="11010" max="11256" width="9.140625" style="58"/>
    <col min="11257" max="11257" width="3.5703125" style="58" customWidth="1"/>
    <col min="11258" max="11258" width="40.85546875" style="58" customWidth="1"/>
    <col min="11259" max="11259" width="5.140625" style="58" customWidth="1"/>
    <col min="11260" max="11261" width="4.28515625" style="58" customWidth="1"/>
    <col min="11262" max="11262" width="8.5703125" style="58" customWidth="1"/>
    <col min="11263" max="11263" width="6.7109375" style="58" customWidth="1"/>
    <col min="11264" max="11264" width="11.28515625" style="58" customWidth="1"/>
    <col min="11265" max="11265" width="12.28515625" style="58" customWidth="1"/>
    <col min="11266" max="11512" width="9.140625" style="58"/>
    <col min="11513" max="11513" width="3.5703125" style="58" customWidth="1"/>
    <col min="11514" max="11514" width="40.85546875" style="58" customWidth="1"/>
    <col min="11515" max="11515" width="5.140625" style="58" customWidth="1"/>
    <col min="11516" max="11517" width="4.28515625" style="58" customWidth="1"/>
    <col min="11518" max="11518" width="8.5703125" style="58" customWidth="1"/>
    <col min="11519" max="11519" width="6.7109375" style="58" customWidth="1"/>
    <col min="11520" max="11520" width="11.28515625" style="58" customWidth="1"/>
    <col min="11521" max="11521" width="12.28515625" style="58" customWidth="1"/>
    <col min="11522" max="11768" width="9.140625" style="58"/>
    <col min="11769" max="11769" width="3.5703125" style="58" customWidth="1"/>
    <col min="11770" max="11770" width="40.85546875" style="58" customWidth="1"/>
    <col min="11771" max="11771" width="5.140625" style="58" customWidth="1"/>
    <col min="11772" max="11773" width="4.28515625" style="58" customWidth="1"/>
    <col min="11774" max="11774" width="8.5703125" style="58" customWidth="1"/>
    <col min="11775" max="11775" width="6.7109375" style="58" customWidth="1"/>
    <col min="11776" max="11776" width="11.28515625" style="58" customWidth="1"/>
    <col min="11777" max="11777" width="12.28515625" style="58" customWidth="1"/>
    <col min="11778" max="12024" width="9.140625" style="58"/>
    <col min="12025" max="12025" width="3.5703125" style="58" customWidth="1"/>
    <col min="12026" max="12026" width="40.85546875" style="58" customWidth="1"/>
    <col min="12027" max="12027" width="5.140625" style="58" customWidth="1"/>
    <col min="12028" max="12029" width="4.28515625" style="58" customWidth="1"/>
    <col min="12030" max="12030" width="8.5703125" style="58" customWidth="1"/>
    <col min="12031" max="12031" width="6.7109375" style="58" customWidth="1"/>
    <col min="12032" max="12032" width="11.28515625" style="58" customWidth="1"/>
    <col min="12033" max="12033" width="12.28515625" style="58" customWidth="1"/>
    <col min="12034" max="12280" width="9.140625" style="58"/>
    <col min="12281" max="12281" width="3.5703125" style="58" customWidth="1"/>
    <col min="12282" max="12282" width="40.85546875" style="58" customWidth="1"/>
    <col min="12283" max="12283" width="5.140625" style="58" customWidth="1"/>
    <col min="12284" max="12285" width="4.28515625" style="58" customWidth="1"/>
    <col min="12286" max="12286" width="8.5703125" style="58" customWidth="1"/>
    <col min="12287" max="12287" width="6.7109375" style="58" customWidth="1"/>
    <col min="12288" max="12288" width="11.28515625" style="58" customWidth="1"/>
    <col min="12289" max="12289" width="12.28515625" style="58" customWidth="1"/>
    <col min="12290" max="12536" width="9.140625" style="58"/>
    <col min="12537" max="12537" width="3.5703125" style="58" customWidth="1"/>
    <col min="12538" max="12538" width="40.85546875" style="58" customWidth="1"/>
    <col min="12539" max="12539" width="5.140625" style="58" customWidth="1"/>
    <col min="12540" max="12541" width="4.28515625" style="58" customWidth="1"/>
    <col min="12542" max="12542" width="8.5703125" style="58" customWidth="1"/>
    <col min="12543" max="12543" width="6.7109375" style="58" customWidth="1"/>
    <col min="12544" max="12544" width="11.28515625" style="58" customWidth="1"/>
    <col min="12545" max="12545" width="12.28515625" style="58" customWidth="1"/>
    <col min="12546" max="12792" width="9.140625" style="58"/>
    <col min="12793" max="12793" width="3.5703125" style="58" customWidth="1"/>
    <col min="12794" max="12794" width="40.85546875" style="58" customWidth="1"/>
    <col min="12795" max="12795" width="5.140625" style="58" customWidth="1"/>
    <col min="12796" max="12797" width="4.28515625" style="58" customWidth="1"/>
    <col min="12798" max="12798" width="8.5703125" style="58" customWidth="1"/>
    <col min="12799" max="12799" width="6.7109375" style="58" customWidth="1"/>
    <col min="12800" max="12800" width="11.28515625" style="58" customWidth="1"/>
    <col min="12801" max="12801" width="12.28515625" style="58" customWidth="1"/>
    <col min="12802" max="13048" width="9.140625" style="58"/>
    <col min="13049" max="13049" width="3.5703125" style="58" customWidth="1"/>
    <col min="13050" max="13050" width="40.85546875" style="58" customWidth="1"/>
    <col min="13051" max="13051" width="5.140625" style="58" customWidth="1"/>
    <col min="13052" max="13053" width="4.28515625" style="58" customWidth="1"/>
    <col min="13054" max="13054" width="8.5703125" style="58" customWidth="1"/>
    <col min="13055" max="13055" width="6.7109375" style="58" customWidth="1"/>
    <col min="13056" max="13056" width="11.28515625" style="58" customWidth="1"/>
    <col min="13057" max="13057" width="12.28515625" style="58" customWidth="1"/>
    <col min="13058" max="13304" width="9.140625" style="58"/>
    <col min="13305" max="13305" width="3.5703125" style="58" customWidth="1"/>
    <col min="13306" max="13306" width="40.85546875" style="58" customWidth="1"/>
    <col min="13307" max="13307" width="5.140625" style="58" customWidth="1"/>
    <col min="13308" max="13309" width="4.28515625" style="58" customWidth="1"/>
    <col min="13310" max="13310" width="8.5703125" style="58" customWidth="1"/>
    <col min="13311" max="13311" width="6.7109375" style="58" customWidth="1"/>
    <col min="13312" max="13312" width="11.28515625" style="58" customWidth="1"/>
    <col min="13313" max="13313" width="12.28515625" style="58" customWidth="1"/>
    <col min="13314" max="13560" width="9.140625" style="58"/>
    <col min="13561" max="13561" width="3.5703125" style="58" customWidth="1"/>
    <col min="13562" max="13562" width="40.85546875" style="58" customWidth="1"/>
    <col min="13563" max="13563" width="5.140625" style="58" customWidth="1"/>
    <col min="13564" max="13565" width="4.28515625" style="58" customWidth="1"/>
    <col min="13566" max="13566" width="8.5703125" style="58" customWidth="1"/>
    <col min="13567" max="13567" width="6.7109375" style="58" customWidth="1"/>
    <col min="13568" max="13568" width="11.28515625" style="58" customWidth="1"/>
    <col min="13569" max="13569" width="12.28515625" style="58" customWidth="1"/>
    <col min="13570" max="13816" width="9.140625" style="58"/>
    <col min="13817" max="13817" width="3.5703125" style="58" customWidth="1"/>
    <col min="13818" max="13818" width="40.85546875" style="58" customWidth="1"/>
    <col min="13819" max="13819" width="5.140625" style="58" customWidth="1"/>
    <col min="13820" max="13821" width="4.28515625" style="58" customWidth="1"/>
    <col min="13822" max="13822" width="8.5703125" style="58" customWidth="1"/>
    <col min="13823" max="13823" width="6.7109375" style="58" customWidth="1"/>
    <col min="13824" max="13824" width="11.28515625" style="58" customWidth="1"/>
    <col min="13825" max="13825" width="12.28515625" style="58" customWidth="1"/>
    <col min="13826" max="14072" width="9.140625" style="58"/>
    <col min="14073" max="14073" width="3.5703125" style="58" customWidth="1"/>
    <col min="14074" max="14074" width="40.85546875" style="58" customWidth="1"/>
    <col min="14075" max="14075" width="5.140625" style="58" customWidth="1"/>
    <col min="14076" max="14077" width="4.28515625" style="58" customWidth="1"/>
    <col min="14078" max="14078" width="8.5703125" style="58" customWidth="1"/>
    <col min="14079" max="14079" width="6.7109375" style="58" customWidth="1"/>
    <col min="14080" max="14080" width="11.28515625" style="58" customWidth="1"/>
    <col min="14081" max="14081" width="12.28515625" style="58" customWidth="1"/>
    <col min="14082" max="14328" width="9.140625" style="58"/>
    <col min="14329" max="14329" width="3.5703125" style="58" customWidth="1"/>
    <col min="14330" max="14330" width="40.85546875" style="58" customWidth="1"/>
    <col min="14331" max="14331" width="5.140625" style="58" customWidth="1"/>
    <col min="14332" max="14333" width="4.28515625" style="58" customWidth="1"/>
    <col min="14334" max="14334" width="8.5703125" style="58" customWidth="1"/>
    <col min="14335" max="14335" width="6.7109375" style="58" customWidth="1"/>
    <col min="14336" max="14336" width="11.28515625" style="58" customWidth="1"/>
    <col min="14337" max="14337" width="12.28515625" style="58" customWidth="1"/>
    <col min="14338" max="14584" width="9.140625" style="58"/>
    <col min="14585" max="14585" width="3.5703125" style="58" customWidth="1"/>
    <col min="14586" max="14586" width="40.85546875" style="58" customWidth="1"/>
    <col min="14587" max="14587" width="5.140625" style="58" customWidth="1"/>
    <col min="14588" max="14589" width="4.28515625" style="58" customWidth="1"/>
    <col min="14590" max="14590" width="8.5703125" style="58" customWidth="1"/>
    <col min="14591" max="14591" width="6.7109375" style="58" customWidth="1"/>
    <col min="14592" max="14592" width="11.28515625" style="58" customWidth="1"/>
    <col min="14593" max="14593" width="12.28515625" style="58" customWidth="1"/>
    <col min="14594" max="14840" width="9.140625" style="58"/>
    <col min="14841" max="14841" width="3.5703125" style="58" customWidth="1"/>
    <col min="14842" max="14842" width="40.85546875" style="58" customWidth="1"/>
    <col min="14843" max="14843" width="5.140625" style="58" customWidth="1"/>
    <col min="14844" max="14845" width="4.28515625" style="58" customWidth="1"/>
    <col min="14846" max="14846" width="8.5703125" style="58" customWidth="1"/>
    <col min="14847" max="14847" width="6.7109375" style="58" customWidth="1"/>
    <col min="14848" max="14848" width="11.28515625" style="58" customWidth="1"/>
    <col min="14849" max="14849" width="12.28515625" style="58" customWidth="1"/>
    <col min="14850" max="15096" width="9.140625" style="58"/>
    <col min="15097" max="15097" width="3.5703125" style="58" customWidth="1"/>
    <col min="15098" max="15098" width="40.85546875" style="58" customWidth="1"/>
    <col min="15099" max="15099" width="5.140625" style="58" customWidth="1"/>
    <col min="15100" max="15101" width="4.28515625" style="58" customWidth="1"/>
    <col min="15102" max="15102" width="8.5703125" style="58" customWidth="1"/>
    <col min="15103" max="15103" width="6.7109375" style="58" customWidth="1"/>
    <col min="15104" max="15104" width="11.28515625" style="58" customWidth="1"/>
    <col min="15105" max="15105" width="12.28515625" style="58" customWidth="1"/>
    <col min="15106" max="15352" width="9.140625" style="58"/>
    <col min="15353" max="15353" width="3.5703125" style="58" customWidth="1"/>
    <col min="15354" max="15354" width="40.85546875" style="58" customWidth="1"/>
    <col min="15355" max="15355" width="5.140625" style="58" customWidth="1"/>
    <col min="15356" max="15357" width="4.28515625" style="58" customWidth="1"/>
    <col min="15358" max="15358" width="8.5703125" style="58" customWidth="1"/>
    <col min="15359" max="15359" width="6.7109375" style="58" customWidth="1"/>
    <col min="15360" max="15360" width="11.28515625" style="58" customWidth="1"/>
    <col min="15361" max="15361" width="12.28515625" style="58" customWidth="1"/>
    <col min="15362" max="15608" width="9.140625" style="58"/>
    <col min="15609" max="15609" width="3.5703125" style="58" customWidth="1"/>
    <col min="15610" max="15610" width="40.85546875" style="58" customWidth="1"/>
    <col min="15611" max="15611" width="5.140625" style="58" customWidth="1"/>
    <col min="15612" max="15613" width="4.28515625" style="58" customWidth="1"/>
    <col min="15614" max="15614" width="8.5703125" style="58" customWidth="1"/>
    <col min="15615" max="15615" width="6.7109375" style="58" customWidth="1"/>
    <col min="15616" max="15616" width="11.28515625" style="58" customWidth="1"/>
    <col min="15617" max="15617" width="12.28515625" style="58" customWidth="1"/>
    <col min="15618" max="15864" width="9.140625" style="58"/>
    <col min="15865" max="15865" width="3.5703125" style="58" customWidth="1"/>
    <col min="15866" max="15866" width="40.85546875" style="58" customWidth="1"/>
    <col min="15867" max="15867" width="5.140625" style="58" customWidth="1"/>
    <col min="15868" max="15869" width="4.28515625" style="58" customWidth="1"/>
    <col min="15870" max="15870" width="8.5703125" style="58" customWidth="1"/>
    <col min="15871" max="15871" width="6.7109375" style="58" customWidth="1"/>
    <col min="15872" max="15872" width="11.28515625" style="58" customWidth="1"/>
    <col min="15873" max="15873" width="12.28515625" style="58" customWidth="1"/>
    <col min="15874" max="16120" width="9.140625" style="58"/>
    <col min="16121" max="16121" width="3.5703125" style="58" customWidth="1"/>
    <col min="16122" max="16122" width="40.85546875" style="58" customWidth="1"/>
    <col min="16123" max="16123" width="5.140625" style="58" customWidth="1"/>
    <col min="16124" max="16125" width="4.28515625" style="58" customWidth="1"/>
    <col min="16126" max="16126" width="8.5703125" style="58" customWidth="1"/>
    <col min="16127" max="16127" width="6.7109375" style="58" customWidth="1"/>
    <col min="16128" max="16128" width="11.28515625" style="58" customWidth="1"/>
    <col min="16129" max="16129" width="12.28515625" style="58" customWidth="1"/>
    <col min="16130" max="16384" width="9.140625" style="58"/>
  </cols>
  <sheetData>
    <row r="1" spans="1:11" ht="15" customHeight="1" x14ac:dyDescent="0.2">
      <c r="E1" s="174"/>
      <c r="F1" s="362" t="s">
        <v>339</v>
      </c>
      <c r="G1" s="356"/>
      <c r="H1" s="356"/>
      <c r="I1" s="356"/>
    </row>
    <row r="2" spans="1:11" ht="66" customHeight="1" x14ac:dyDescent="0.2">
      <c r="D2" s="173"/>
      <c r="E2" s="174"/>
      <c r="F2" s="361" t="s">
        <v>557</v>
      </c>
      <c r="G2" s="356"/>
      <c r="H2" s="356"/>
      <c r="I2" s="356"/>
    </row>
    <row r="3" spans="1:11" s="13" customFormat="1" ht="77.25" customHeight="1" x14ac:dyDescent="0.3">
      <c r="A3" s="359" t="s">
        <v>340</v>
      </c>
      <c r="B3" s="359"/>
      <c r="C3" s="359"/>
      <c r="D3" s="359"/>
      <c r="E3" s="359"/>
      <c r="F3" s="359"/>
      <c r="G3" s="360"/>
      <c r="H3" s="356"/>
      <c r="I3" s="356"/>
    </row>
    <row r="4" spans="1:11" s="13" customFormat="1" ht="18.75" x14ac:dyDescent="0.3">
      <c r="A4" s="130"/>
      <c r="B4" s="359" t="s">
        <v>341</v>
      </c>
      <c r="C4" s="356"/>
      <c r="D4" s="356"/>
      <c r="E4" s="356"/>
      <c r="F4" s="356"/>
      <c r="G4" s="356"/>
      <c r="H4" s="356"/>
      <c r="I4" s="356"/>
    </row>
    <row r="5" spans="1:11" s="68" customFormat="1" ht="18.75" x14ac:dyDescent="0.3">
      <c r="A5" s="66"/>
      <c r="B5" s="66"/>
      <c r="C5" s="66"/>
      <c r="D5" s="66"/>
      <c r="E5" s="67"/>
      <c r="F5" s="175"/>
      <c r="G5" s="429"/>
      <c r="H5" s="347"/>
      <c r="I5" s="153" t="s">
        <v>35</v>
      </c>
    </row>
    <row r="6" spans="1:11" s="117" customFormat="1" ht="56.25" x14ac:dyDescent="0.2">
      <c r="A6" s="118" t="s">
        <v>23</v>
      </c>
      <c r="B6" s="131" t="s">
        <v>24</v>
      </c>
      <c r="C6" s="132" t="s">
        <v>71</v>
      </c>
      <c r="D6" s="132" t="s">
        <v>72</v>
      </c>
      <c r="E6" s="132" t="s">
        <v>73</v>
      </c>
      <c r="F6" s="132" t="s">
        <v>74</v>
      </c>
      <c r="G6" s="430" t="s">
        <v>51</v>
      </c>
      <c r="H6" s="348" t="s">
        <v>366</v>
      </c>
      <c r="I6" s="169" t="s">
        <v>367</v>
      </c>
    </row>
    <row r="7" spans="1:11" s="116" customFormat="1" ht="11.25" x14ac:dyDescent="0.2">
      <c r="A7" s="119">
        <v>1</v>
      </c>
      <c r="B7" s="133">
        <v>1</v>
      </c>
      <c r="C7" s="134" t="s">
        <v>55</v>
      </c>
      <c r="D7" s="134" t="s">
        <v>25</v>
      </c>
      <c r="E7" s="134" t="s">
        <v>26</v>
      </c>
      <c r="F7" s="134" t="s">
        <v>27</v>
      </c>
      <c r="G7" s="431">
        <v>6</v>
      </c>
      <c r="H7" s="350">
        <v>7</v>
      </c>
      <c r="I7" s="266">
        <v>8</v>
      </c>
    </row>
    <row r="8" spans="1:11" x14ac:dyDescent="0.2">
      <c r="B8" s="104" t="s">
        <v>161</v>
      </c>
      <c r="C8" s="99" t="s">
        <v>42</v>
      </c>
      <c r="D8" s="99"/>
      <c r="E8" s="99"/>
      <c r="F8" s="99"/>
      <c r="G8" s="323">
        <f>G9+G14+G23+G49+G72+G78+G68</f>
        <v>27625.015099999997</v>
      </c>
      <c r="H8" s="323">
        <f t="shared" ref="H8:I8" si="0">H9+H14+H23+H49+H72+H78+H68</f>
        <v>-79.149620000000013</v>
      </c>
      <c r="I8" s="323">
        <f t="shared" si="0"/>
        <v>27545.86548</v>
      </c>
      <c r="K8" s="176">
        <f>G8-J8</f>
        <v>27625.015099999997</v>
      </c>
    </row>
    <row r="9" spans="1:11" ht="25.5" x14ac:dyDescent="0.2">
      <c r="B9" s="104" t="s">
        <v>162</v>
      </c>
      <c r="C9" s="99" t="s">
        <v>42</v>
      </c>
      <c r="D9" s="99" t="s">
        <v>43</v>
      </c>
      <c r="E9" s="99"/>
      <c r="F9" s="99"/>
      <c r="G9" s="323">
        <f>G10</f>
        <v>1371.02</v>
      </c>
      <c r="H9" s="323">
        <f t="shared" ref="H9:I9" si="1">H10</f>
        <v>-14.2</v>
      </c>
      <c r="I9" s="323">
        <f t="shared" si="1"/>
        <v>1356.82</v>
      </c>
    </row>
    <row r="10" spans="1:11" x14ac:dyDescent="0.2">
      <c r="B10" s="120" t="s">
        <v>134</v>
      </c>
      <c r="C10" s="99" t="s">
        <v>42</v>
      </c>
      <c r="D10" s="99" t="s">
        <v>43</v>
      </c>
      <c r="E10" s="99" t="s">
        <v>135</v>
      </c>
      <c r="F10" s="99"/>
      <c r="G10" s="323">
        <f>G11</f>
        <v>1371.02</v>
      </c>
      <c r="H10" s="323">
        <f t="shared" ref="H10:I10" si="2">H11</f>
        <v>-14.2</v>
      </c>
      <c r="I10" s="323">
        <f t="shared" si="2"/>
        <v>1356.82</v>
      </c>
    </row>
    <row r="11" spans="1:11" ht="25.5" x14ac:dyDescent="0.2">
      <c r="B11" s="120" t="s">
        <v>163</v>
      </c>
      <c r="C11" s="99" t="s">
        <v>42</v>
      </c>
      <c r="D11" s="99" t="s">
        <v>43</v>
      </c>
      <c r="E11" s="120">
        <v>9920800</v>
      </c>
      <c r="F11" s="99"/>
      <c r="G11" s="323">
        <f t="shared" ref="G11:I12" si="3">G12</f>
        <v>1371.02</v>
      </c>
      <c r="H11" s="323">
        <f t="shared" si="3"/>
        <v>-14.2</v>
      </c>
      <c r="I11" s="323">
        <f t="shared" si="3"/>
        <v>1356.82</v>
      </c>
    </row>
    <row r="12" spans="1:11" ht="25.5" x14ac:dyDescent="0.2">
      <c r="B12" s="120" t="s">
        <v>164</v>
      </c>
      <c r="C12" s="99" t="s">
        <v>42</v>
      </c>
      <c r="D12" s="99" t="s">
        <v>43</v>
      </c>
      <c r="E12" s="120">
        <v>9921800</v>
      </c>
      <c r="F12" s="99"/>
      <c r="G12" s="323">
        <f>G13</f>
        <v>1371.02</v>
      </c>
      <c r="H12" s="323">
        <f t="shared" si="3"/>
        <v>-14.2</v>
      </c>
      <c r="I12" s="323">
        <f t="shared" si="3"/>
        <v>1356.82</v>
      </c>
    </row>
    <row r="13" spans="1:11" x14ac:dyDescent="0.2">
      <c r="B13" s="101" t="s">
        <v>106</v>
      </c>
      <c r="C13" s="99" t="s">
        <v>42</v>
      </c>
      <c r="D13" s="99" t="s">
        <v>43</v>
      </c>
      <c r="E13" s="120">
        <v>9921800</v>
      </c>
      <c r="F13" s="99" t="s">
        <v>107</v>
      </c>
      <c r="G13" s="323">
        <v>1371.02</v>
      </c>
      <c r="H13" s="325">
        <f>-14.2</f>
        <v>-14.2</v>
      </c>
      <c r="I13" s="323">
        <f t="shared" ref="I13" si="4">G13+H13</f>
        <v>1356.82</v>
      </c>
    </row>
    <row r="14" spans="1:11" ht="38.25" x14ac:dyDescent="0.2">
      <c r="B14" s="104" t="s">
        <v>165</v>
      </c>
      <c r="C14" s="99" t="s">
        <v>42</v>
      </c>
      <c r="D14" s="99" t="s">
        <v>44</v>
      </c>
      <c r="E14" s="99"/>
      <c r="F14" s="99"/>
      <c r="G14" s="323">
        <f>G15</f>
        <v>1823.3938499999999</v>
      </c>
      <c r="H14" s="323">
        <f t="shared" ref="H14:I14" si="5">H15</f>
        <v>0</v>
      </c>
      <c r="I14" s="323">
        <f t="shared" si="5"/>
        <v>1823.3938499999999</v>
      </c>
    </row>
    <row r="15" spans="1:11" x14ac:dyDescent="0.2">
      <c r="B15" s="120" t="s">
        <v>134</v>
      </c>
      <c r="C15" s="99" t="s">
        <v>42</v>
      </c>
      <c r="D15" s="99" t="s">
        <v>44</v>
      </c>
      <c r="E15" s="99" t="s">
        <v>135</v>
      </c>
      <c r="F15" s="99"/>
      <c r="G15" s="323">
        <f>G16</f>
        <v>1823.3938499999999</v>
      </c>
      <c r="H15" s="323">
        <f t="shared" ref="H15:I15" si="6">H16</f>
        <v>0</v>
      </c>
      <c r="I15" s="323">
        <f t="shared" si="6"/>
        <v>1823.3938499999999</v>
      </c>
    </row>
    <row r="16" spans="1:11" ht="25.5" x14ac:dyDescent="0.2">
      <c r="B16" s="120" t="s">
        <v>166</v>
      </c>
      <c r="C16" s="99" t="s">
        <v>42</v>
      </c>
      <c r="D16" s="99" t="s">
        <v>44</v>
      </c>
      <c r="E16" s="120">
        <v>9900800</v>
      </c>
      <c r="F16" s="99"/>
      <c r="G16" s="323">
        <f>G17+G19</f>
        <v>1823.3938499999999</v>
      </c>
      <c r="H16" s="323">
        <f t="shared" ref="H16:I16" si="7">H17+H19</f>
        <v>0</v>
      </c>
      <c r="I16" s="323">
        <f t="shared" si="7"/>
        <v>1823.3938499999999</v>
      </c>
    </row>
    <row r="17" spans="2:9" ht="25.5" x14ac:dyDescent="0.2">
      <c r="B17" s="120" t="s">
        <v>167</v>
      </c>
      <c r="C17" s="99" t="s">
        <v>42</v>
      </c>
      <c r="D17" s="99" t="s">
        <v>44</v>
      </c>
      <c r="E17" s="120">
        <v>9901800</v>
      </c>
      <c r="F17" s="99"/>
      <c r="G17" s="323">
        <f>G18</f>
        <v>953.75</v>
      </c>
      <c r="H17" s="323">
        <f t="shared" ref="H17:I17" si="8">H18</f>
        <v>0</v>
      </c>
      <c r="I17" s="323">
        <f t="shared" si="8"/>
        <v>953.75</v>
      </c>
    </row>
    <row r="18" spans="2:9" x14ac:dyDescent="0.2">
      <c r="B18" s="101" t="s">
        <v>106</v>
      </c>
      <c r="C18" s="99" t="s">
        <v>42</v>
      </c>
      <c r="D18" s="99" t="s">
        <v>44</v>
      </c>
      <c r="E18" s="120">
        <v>9901800</v>
      </c>
      <c r="F18" s="99" t="s">
        <v>107</v>
      </c>
      <c r="G18" s="323">
        <v>953.75</v>
      </c>
      <c r="H18" s="323"/>
      <c r="I18" s="323">
        <f t="shared" ref="I18" si="9">G18+H18</f>
        <v>953.75</v>
      </c>
    </row>
    <row r="19" spans="2:9" ht="25.5" x14ac:dyDescent="0.2">
      <c r="B19" s="120" t="s">
        <v>168</v>
      </c>
      <c r="C19" s="99" t="s">
        <v>42</v>
      </c>
      <c r="D19" s="99" t="s">
        <v>44</v>
      </c>
      <c r="E19" s="120" t="s">
        <v>421</v>
      </c>
      <c r="F19" s="99"/>
      <c r="G19" s="323">
        <f>SUM(G20:G22)</f>
        <v>869.64385000000004</v>
      </c>
      <c r="H19" s="323">
        <f t="shared" ref="H19:I19" si="10">SUM(H20:H22)</f>
        <v>0</v>
      </c>
      <c r="I19" s="323">
        <f t="shared" si="10"/>
        <v>869.64385000000004</v>
      </c>
    </row>
    <row r="20" spans="2:9" x14ac:dyDescent="0.2">
      <c r="B20" s="101" t="s">
        <v>106</v>
      </c>
      <c r="C20" s="99" t="s">
        <v>42</v>
      </c>
      <c r="D20" s="99" t="s">
        <v>44</v>
      </c>
      <c r="E20" s="120" t="s">
        <v>421</v>
      </c>
      <c r="F20" s="99" t="s">
        <v>107</v>
      </c>
      <c r="G20" s="323">
        <v>563.64385000000004</v>
      </c>
      <c r="H20" s="323"/>
      <c r="I20" s="323">
        <f t="shared" ref="I20" si="11">G20+H20</f>
        <v>563.64385000000004</v>
      </c>
    </row>
    <row r="21" spans="2:9" ht="51" x14ac:dyDescent="0.2">
      <c r="B21" s="100" t="s">
        <v>365</v>
      </c>
      <c r="C21" s="99" t="s">
        <v>42</v>
      </c>
      <c r="D21" s="99" t="s">
        <v>44</v>
      </c>
      <c r="E21" s="120" t="s">
        <v>421</v>
      </c>
      <c r="F21" s="99" t="s">
        <v>111</v>
      </c>
      <c r="G21" s="323">
        <v>306</v>
      </c>
      <c r="H21" s="323"/>
      <c r="I21" s="323">
        <f t="shared" ref="I21" si="12">G21+H21</f>
        <v>306</v>
      </c>
    </row>
    <row r="22" spans="2:9" ht="25.5" hidden="1" x14ac:dyDescent="0.2">
      <c r="B22" s="100" t="s">
        <v>114</v>
      </c>
      <c r="C22" s="99" t="s">
        <v>42</v>
      </c>
      <c r="D22" s="99" t="s">
        <v>44</v>
      </c>
      <c r="E22" s="120" t="s">
        <v>169</v>
      </c>
      <c r="F22" s="99" t="s">
        <v>115</v>
      </c>
      <c r="G22" s="323"/>
      <c r="H22" s="323"/>
      <c r="I22" s="323">
        <f t="shared" ref="I22" si="13">G22+H22</f>
        <v>0</v>
      </c>
    </row>
    <row r="23" spans="2:9" ht="38.25" x14ac:dyDescent="0.2">
      <c r="B23" s="104" t="s">
        <v>127</v>
      </c>
      <c r="C23" s="99" t="s">
        <v>42</v>
      </c>
      <c r="D23" s="99" t="s">
        <v>45</v>
      </c>
      <c r="E23" s="99"/>
      <c r="F23" s="99"/>
      <c r="G23" s="323">
        <f>G24+G34+G37+G40</f>
        <v>18353.561249999999</v>
      </c>
      <c r="H23" s="323">
        <f t="shared" ref="H23:I23" si="14">H24+H34+H37+H40</f>
        <v>-188.88733000000002</v>
      </c>
      <c r="I23" s="323">
        <f t="shared" si="14"/>
        <v>18164.673919999997</v>
      </c>
    </row>
    <row r="24" spans="2:9" ht="25.5" x14ac:dyDescent="0.2">
      <c r="B24" s="121" t="s">
        <v>170</v>
      </c>
      <c r="C24" s="99" t="s">
        <v>42</v>
      </c>
      <c r="D24" s="99" t="s">
        <v>45</v>
      </c>
      <c r="E24" s="99" t="s">
        <v>171</v>
      </c>
      <c r="F24" s="99"/>
      <c r="G24" s="325">
        <f>G25</f>
        <v>15979.26125</v>
      </c>
      <c r="H24" s="325">
        <f t="shared" ref="H24:I24" si="15">H25</f>
        <v>100.36266999999998</v>
      </c>
      <c r="I24" s="325">
        <f t="shared" si="15"/>
        <v>16079.62392</v>
      </c>
    </row>
    <row r="25" spans="2:9" ht="25.5" x14ac:dyDescent="0.2">
      <c r="B25" s="121" t="s">
        <v>172</v>
      </c>
      <c r="C25" s="99" t="s">
        <v>42</v>
      </c>
      <c r="D25" s="99" t="s">
        <v>45</v>
      </c>
      <c r="E25" s="122" t="s">
        <v>422</v>
      </c>
      <c r="F25" s="99"/>
      <c r="G25" s="325">
        <f>SUM(G26:G33)</f>
        <v>15979.26125</v>
      </c>
      <c r="H25" s="325">
        <f t="shared" ref="H25:I25" si="16">SUM(H26:H33)</f>
        <v>100.36266999999998</v>
      </c>
      <c r="I25" s="325">
        <f t="shared" si="16"/>
        <v>16079.62392</v>
      </c>
    </row>
    <row r="26" spans="2:9" x14ac:dyDescent="0.2">
      <c r="B26" s="101" t="s">
        <v>106</v>
      </c>
      <c r="C26" s="99" t="s">
        <v>42</v>
      </c>
      <c r="D26" s="99" t="s">
        <v>45</v>
      </c>
      <c r="E26" s="122" t="s">
        <v>422</v>
      </c>
      <c r="F26" s="99" t="s">
        <v>107</v>
      </c>
      <c r="G26" s="325">
        <v>11205.25</v>
      </c>
      <c r="H26" s="325">
        <f>-98.38433-69.553+14.2+29.521</f>
        <v>-124.21633000000001</v>
      </c>
      <c r="I26" s="323">
        <f t="shared" ref="I26:I29" si="17">G26+H26</f>
        <v>11081.033670000001</v>
      </c>
    </row>
    <row r="27" spans="2:9" ht="38.25" x14ac:dyDescent="0.2">
      <c r="B27" s="100" t="s">
        <v>108</v>
      </c>
      <c r="C27" s="99" t="s">
        <v>42</v>
      </c>
      <c r="D27" s="99" t="s">
        <v>45</v>
      </c>
      <c r="E27" s="122" t="s">
        <v>422</v>
      </c>
      <c r="F27" s="99" t="s">
        <v>109</v>
      </c>
      <c r="G27" s="325">
        <v>91.4</v>
      </c>
      <c r="H27" s="325">
        <f>-30-3</f>
        <v>-33</v>
      </c>
      <c r="I27" s="323">
        <f t="shared" si="17"/>
        <v>58.400000000000006</v>
      </c>
    </row>
    <row r="28" spans="2:9" ht="51" hidden="1" x14ac:dyDescent="0.2">
      <c r="B28" s="100" t="s">
        <v>110</v>
      </c>
      <c r="C28" s="99" t="s">
        <v>42</v>
      </c>
      <c r="D28" s="99" t="s">
        <v>45</v>
      </c>
      <c r="E28" s="122" t="s">
        <v>422</v>
      </c>
      <c r="F28" s="99" t="s">
        <v>111</v>
      </c>
      <c r="G28" s="325">
        <v>0</v>
      </c>
      <c r="H28" s="323">
        <v>0</v>
      </c>
      <c r="I28" s="323">
        <f t="shared" si="17"/>
        <v>0</v>
      </c>
    </row>
    <row r="29" spans="2:9" ht="25.5" x14ac:dyDescent="0.2">
      <c r="B29" s="102" t="s">
        <v>112</v>
      </c>
      <c r="C29" s="99" t="s">
        <v>42</v>
      </c>
      <c r="D29" s="99" t="s">
        <v>45</v>
      </c>
      <c r="E29" s="122" t="s">
        <v>422</v>
      </c>
      <c r="F29" s="99" t="s">
        <v>113</v>
      </c>
      <c r="G29" s="325">
        <v>819.5</v>
      </c>
      <c r="H29" s="325">
        <f>-50+17.692-23.521</f>
        <v>-55.829000000000001</v>
      </c>
      <c r="I29" s="323">
        <f t="shared" si="17"/>
        <v>763.67100000000005</v>
      </c>
    </row>
    <row r="30" spans="2:9" ht="25.5" x14ac:dyDescent="0.2">
      <c r="B30" s="100" t="s">
        <v>114</v>
      </c>
      <c r="C30" s="99" t="s">
        <v>42</v>
      </c>
      <c r="D30" s="99" t="s">
        <v>45</v>
      </c>
      <c r="E30" s="122" t="s">
        <v>422</v>
      </c>
      <c r="F30" s="99" t="s">
        <v>115</v>
      </c>
      <c r="G30" s="325">
        <v>3763.7304800000002</v>
      </c>
      <c r="H30" s="325">
        <f>80-17.692+100+154.1-189.117-3</f>
        <v>124.29100000000003</v>
      </c>
      <c r="I30" s="323">
        <f t="shared" ref="I30:I31" si="18">G30+H30</f>
        <v>3888.0214800000003</v>
      </c>
    </row>
    <row r="31" spans="2:9" ht="51" x14ac:dyDescent="0.2">
      <c r="B31" s="100" t="s">
        <v>431</v>
      </c>
      <c r="C31" s="99" t="s">
        <v>42</v>
      </c>
      <c r="D31" s="99" t="s">
        <v>45</v>
      </c>
      <c r="E31" s="122" t="s">
        <v>422</v>
      </c>
      <c r="F31" s="99" t="s">
        <v>430</v>
      </c>
      <c r="G31" s="325">
        <v>14.14077</v>
      </c>
      <c r="H31" s="323"/>
      <c r="I31" s="323">
        <f t="shared" si="18"/>
        <v>14.14077</v>
      </c>
    </row>
    <row r="32" spans="2:9" ht="31.5" customHeight="1" x14ac:dyDescent="0.2">
      <c r="B32" s="216" t="s">
        <v>173</v>
      </c>
      <c r="C32" s="99" t="s">
        <v>42</v>
      </c>
      <c r="D32" s="99" t="s">
        <v>45</v>
      </c>
      <c r="E32" s="122" t="s">
        <v>422</v>
      </c>
      <c r="F32" s="99" t="s">
        <v>117</v>
      </c>
      <c r="G32" s="325">
        <v>0</v>
      </c>
      <c r="H32" s="325">
        <v>189.11699999999999</v>
      </c>
      <c r="I32" s="323">
        <f t="shared" ref="I32" si="19">G32+H32</f>
        <v>189.11699999999999</v>
      </c>
    </row>
    <row r="33" spans="2:9" x14ac:dyDescent="0.2">
      <c r="B33" s="135" t="s">
        <v>118</v>
      </c>
      <c r="C33" s="99" t="s">
        <v>42</v>
      </c>
      <c r="D33" s="99" t="s">
        <v>45</v>
      </c>
      <c r="E33" s="122" t="s">
        <v>422</v>
      </c>
      <c r="F33" s="99" t="s">
        <v>119</v>
      </c>
      <c r="G33" s="325">
        <v>85.24</v>
      </c>
      <c r="H33" s="323"/>
      <c r="I33" s="323">
        <f t="shared" ref="I33" si="20">G33+H33</f>
        <v>85.24</v>
      </c>
    </row>
    <row r="34" spans="2:9" ht="25.5" hidden="1" x14ac:dyDescent="0.2">
      <c r="B34" s="121" t="s">
        <v>78</v>
      </c>
      <c r="C34" s="99" t="s">
        <v>42</v>
      </c>
      <c r="D34" s="99" t="s">
        <v>45</v>
      </c>
      <c r="E34" s="99" t="s">
        <v>98</v>
      </c>
      <c r="F34" s="99"/>
      <c r="G34" s="323">
        <f>G35</f>
        <v>0</v>
      </c>
      <c r="H34" s="323">
        <f t="shared" ref="H34:I35" si="21">H35</f>
        <v>0</v>
      </c>
      <c r="I34" s="323">
        <f t="shared" si="21"/>
        <v>0</v>
      </c>
    </row>
    <row r="35" spans="2:9" ht="63.75" hidden="1" x14ac:dyDescent="0.2">
      <c r="B35" s="128" t="s">
        <v>302</v>
      </c>
      <c r="C35" s="99" t="s">
        <v>42</v>
      </c>
      <c r="D35" s="99" t="s">
        <v>45</v>
      </c>
      <c r="E35" s="99" t="s">
        <v>303</v>
      </c>
      <c r="F35" s="99"/>
      <c r="G35" s="323">
        <f>G36</f>
        <v>0</v>
      </c>
      <c r="H35" s="323">
        <f t="shared" si="21"/>
        <v>0</v>
      </c>
      <c r="I35" s="323">
        <f t="shared" si="21"/>
        <v>0</v>
      </c>
    </row>
    <row r="36" spans="2:9" ht="38.25" hidden="1" x14ac:dyDescent="0.2">
      <c r="B36" s="100" t="s">
        <v>106</v>
      </c>
      <c r="C36" s="99" t="s">
        <v>42</v>
      </c>
      <c r="D36" s="99" t="s">
        <v>45</v>
      </c>
      <c r="E36" s="99" t="s">
        <v>303</v>
      </c>
      <c r="F36" s="99" t="s">
        <v>107</v>
      </c>
      <c r="G36" s="323">
        <v>0</v>
      </c>
      <c r="H36" s="323"/>
      <c r="I36" s="323">
        <f t="shared" ref="I36" si="22">G36+H36</f>
        <v>0</v>
      </c>
    </row>
    <row r="37" spans="2:9" ht="38.25" x14ac:dyDescent="0.2">
      <c r="B37" s="121" t="s">
        <v>128</v>
      </c>
      <c r="C37" s="99" t="s">
        <v>42</v>
      </c>
      <c r="D37" s="99" t="s">
        <v>45</v>
      </c>
      <c r="E37" s="99" t="s">
        <v>129</v>
      </c>
      <c r="F37" s="99"/>
      <c r="G37" s="323">
        <f>G38</f>
        <v>1620.7</v>
      </c>
      <c r="H37" s="323">
        <f t="shared" ref="H37:I37" si="23">H38</f>
        <v>-289.25</v>
      </c>
      <c r="I37" s="323">
        <f t="shared" si="23"/>
        <v>1331.45</v>
      </c>
    </row>
    <row r="38" spans="2:9" ht="38.25" x14ac:dyDescent="0.2">
      <c r="B38" s="121" t="s">
        <v>130</v>
      </c>
      <c r="C38" s="99" t="s">
        <v>42</v>
      </c>
      <c r="D38" s="99" t="s">
        <v>45</v>
      </c>
      <c r="E38" s="99" t="s">
        <v>131</v>
      </c>
      <c r="F38" s="99"/>
      <c r="G38" s="323">
        <f t="shared" ref="G38:I38" si="24">G39</f>
        <v>1620.7</v>
      </c>
      <c r="H38" s="323">
        <f t="shared" si="24"/>
        <v>-289.25</v>
      </c>
      <c r="I38" s="323">
        <f t="shared" si="24"/>
        <v>1331.45</v>
      </c>
    </row>
    <row r="39" spans="2:9" x14ac:dyDescent="0.2">
      <c r="B39" s="101" t="s">
        <v>106</v>
      </c>
      <c r="C39" s="99" t="s">
        <v>42</v>
      </c>
      <c r="D39" s="99" t="s">
        <v>45</v>
      </c>
      <c r="E39" s="99" t="s">
        <v>131</v>
      </c>
      <c r="F39" s="99" t="s">
        <v>107</v>
      </c>
      <c r="G39" s="323">
        <v>1620.7</v>
      </c>
      <c r="H39" s="323">
        <f>-100-189.25</f>
        <v>-289.25</v>
      </c>
      <c r="I39" s="323">
        <f t="shared" ref="I39" si="25">G39+H39</f>
        <v>1331.45</v>
      </c>
    </row>
    <row r="40" spans="2:9" x14ac:dyDescent="0.2">
      <c r="B40" s="120" t="s">
        <v>134</v>
      </c>
      <c r="C40" s="136" t="s">
        <v>42</v>
      </c>
      <c r="D40" s="136" t="s">
        <v>45</v>
      </c>
      <c r="E40" s="120">
        <v>9900000</v>
      </c>
      <c r="F40" s="99"/>
      <c r="G40" s="325">
        <f>G43+G47+G41</f>
        <v>753.6</v>
      </c>
      <c r="H40" s="325">
        <f t="shared" ref="H40:I40" si="26">H43+H47+H41</f>
        <v>0</v>
      </c>
      <c r="I40" s="325">
        <f t="shared" si="26"/>
        <v>753.6</v>
      </c>
    </row>
    <row r="41" spans="2:9" ht="51" hidden="1" x14ac:dyDescent="0.2">
      <c r="B41" s="4" t="s">
        <v>401</v>
      </c>
      <c r="C41" s="99" t="s">
        <v>42</v>
      </c>
      <c r="D41" s="99" t="s">
        <v>45</v>
      </c>
      <c r="E41" s="120">
        <v>9900010</v>
      </c>
      <c r="F41" s="99"/>
      <c r="G41" s="325">
        <f>G42</f>
        <v>0</v>
      </c>
      <c r="H41" s="325">
        <f t="shared" ref="H41:I41" si="27">H42</f>
        <v>0</v>
      </c>
      <c r="I41" s="325">
        <f t="shared" si="27"/>
        <v>0</v>
      </c>
    </row>
    <row r="42" spans="2:9" hidden="1" x14ac:dyDescent="0.2">
      <c r="B42" s="210" t="s">
        <v>403</v>
      </c>
      <c r="C42" s="99" t="s">
        <v>42</v>
      </c>
      <c r="D42" s="99" t="s">
        <v>45</v>
      </c>
      <c r="E42" s="120">
        <v>9900010</v>
      </c>
      <c r="F42" s="99" t="s">
        <v>402</v>
      </c>
      <c r="G42" s="325"/>
      <c r="H42" s="325"/>
      <c r="I42" s="325">
        <f>G42+H42</f>
        <v>0</v>
      </c>
    </row>
    <row r="43" spans="2:9" ht="102" x14ac:dyDescent="0.2">
      <c r="B43" s="120" t="s">
        <v>174</v>
      </c>
      <c r="C43" s="99" t="s">
        <v>42</v>
      </c>
      <c r="D43" s="99" t="s">
        <v>45</v>
      </c>
      <c r="E43" s="161">
        <v>9902506</v>
      </c>
      <c r="F43" s="99"/>
      <c r="G43" s="325">
        <f t="shared" ref="G43" si="28">SUM(G44:G46)</f>
        <v>753</v>
      </c>
      <c r="H43" s="325">
        <f t="shared" ref="H43:I43" si="29">SUM(H44:H46)</f>
        <v>0</v>
      </c>
      <c r="I43" s="325">
        <f t="shared" si="29"/>
        <v>753</v>
      </c>
    </row>
    <row r="44" spans="2:9" x14ac:dyDescent="0.2">
      <c r="B44" s="101" t="s">
        <v>106</v>
      </c>
      <c r="C44" s="99" t="s">
        <v>42</v>
      </c>
      <c r="D44" s="99" t="s">
        <v>45</v>
      </c>
      <c r="E44" s="161">
        <v>9902506</v>
      </c>
      <c r="F44" s="99" t="s">
        <v>107</v>
      </c>
      <c r="G44" s="325">
        <v>662.17370000000005</v>
      </c>
      <c r="H44" s="323">
        <f>1</f>
        <v>1</v>
      </c>
      <c r="I44" s="323">
        <f t="shared" ref="I44" si="30">G44+H44</f>
        <v>663.17370000000005</v>
      </c>
    </row>
    <row r="45" spans="2:9" ht="38.25" x14ac:dyDescent="0.2">
      <c r="B45" s="100" t="s">
        <v>108</v>
      </c>
      <c r="C45" s="99" t="s">
        <v>42</v>
      </c>
      <c r="D45" s="99" t="s">
        <v>45</v>
      </c>
      <c r="E45" s="161">
        <v>9902506</v>
      </c>
      <c r="F45" s="99" t="s">
        <v>109</v>
      </c>
      <c r="G45" s="325">
        <v>1</v>
      </c>
      <c r="H45" s="323"/>
      <c r="I45" s="323">
        <f t="shared" ref="I45" si="31">G45+H45</f>
        <v>1</v>
      </c>
    </row>
    <row r="46" spans="2:9" ht="25.5" x14ac:dyDescent="0.2">
      <c r="B46" s="100" t="s">
        <v>114</v>
      </c>
      <c r="C46" s="99" t="s">
        <v>42</v>
      </c>
      <c r="D46" s="99" t="s">
        <v>45</v>
      </c>
      <c r="E46" s="161">
        <v>9902506</v>
      </c>
      <c r="F46" s="99" t="s">
        <v>115</v>
      </c>
      <c r="G46" s="325">
        <v>89.826300000000003</v>
      </c>
      <c r="H46" s="325">
        <v>-1</v>
      </c>
      <c r="I46" s="323">
        <f t="shared" ref="I46" si="32">G46+H46</f>
        <v>88.826300000000003</v>
      </c>
    </row>
    <row r="47" spans="2:9" ht="102" x14ac:dyDescent="0.2">
      <c r="B47" s="137" t="s">
        <v>175</v>
      </c>
      <c r="C47" s="99" t="s">
        <v>42</v>
      </c>
      <c r="D47" s="99" t="s">
        <v>45</v>
      </c>
      <c r="E47" s="120" t="s">
        <v>176</v>
      </c>
      <c r="F47" s="99"/>
      <c r="G47" s="325">
        <f t="shared" ref="G47:I47" si="33">G48</f>
        <v>0.6</v>
      </c>
      <c r="H47" s="325">
        <f t="shared" si="33"/>
        <v>0</v>
      </c>
      <c r="I47" s="325">
        <f t="shared" si="33"/>
        <v>0.6</v>
      </c>
    </row>
    <row r="48" spans="2:9" ht="25.5" x14ac:dyDescent="0.2">
      <c r="B48" s="100" t="s">
        <v>114</v>
      </c>
      <c r="C48" s="99" t="s">
        <v>42</v>
      </c>
      <c r="D48" s="99" t="s">
        <v>45</v>
      </c>
      <c r="E48" s="120" t="s">
        <v>176</v>
      </c>
      <c r="F48" s="99" t="s">
        <v>115</v>
      </c>
      <c r="G48" s="325">
        <v>0.6</v>
      </c>
      <c r="H48" s="323"/>
      <c r="I48" s="323">
        <f t="shared" ref="I48" si="34">G48+H48</f>
        <v>0.6</v>
      </c>
    </row>
    <row r="49" spans="2:9" ht="25.5" x14ac:dyDescent="0.2">
      <c r="B49" s="105" t="s">
        <v>132</v>
      </c>
      <c r="C49" s="99" t="s">
        <v>42</v>
      </c>
      <c r="D49" s="99" t="s">
        <v>47</v>
      </c>
      <c r="E49" s="120"/>
      <c r="F49" s="99"/>
      <c r="G49" s="325">
        <f>G50+G62</f>
        <v>4623.33</v>
      </c>
      <c r="H49" s="325">
        <f t="shared" ref="H49:I49" si="35">H50+H62</f>
        <v>295.25171</v>
      </c>
      <c r="I49" s="325">
        <f t="shared" si="35"/>
        <v>4918.5817100000004</v>
      </c>
    </row>
    <row r="50" spans="2:9" ht="38.25" x14ac:dyDescent="0.2">
      <c r="B50" s="121" t="s">
        <v>128</v>
      </c>
      <c r="C50" s="99" t="s">
        <v>42</v>
      </c>
      <c r="D50" s="99" t="s">
        <v>47</v>
      </c>
      <c r="E50" s="99" t="s">
        <v>129</v>
      </c>
      <c r="F50" s="99"/>
      <c r="G50" s="323">
        <f>G51+G58</f>
        <v>3778.56</v>
      </c>
      <c r="H50" s="323">
        <f t="shared" ref="H50:I50" si="36">H51+H58</f>
        <v>295.25171</v>
      </c>
      <c r="I50" s="323">
        <f t="shared" si="36"/>
        <v>4073.8117100000004</v>
      </c>
    </row>
    <row r="51" spans="2:9" ht="38.25" x14ac:dyDescent="0.2">
      <c r="B51" s="121" t="s">
        <v>130</v>
      </c>
      <c r="C51" s="99" t="s">
        <v>42</v>
      </c>
      <c r="D51" s="99" t="s">
        <v>47</v>
      </c>
      <c r="E51" s="99" t="s">
        <v>131</v>
      </c>
      <c r="F51" s="99"/>
      <c r="G51" s="323">
        <f t="shared" ref="G51" si="37">SUM(G52:G57)</f>
        <v>3360.56</v>
      </c>
      <c r="H51" s="323">
        <f t="shared" ref="H51:I51" si="38">SUM(H52:H57)</f>
        <v>305.35171000000003</v>
      </c>
      <c r="I51" s="323">
        <f t="shared" si="38"/>
        <v>3665.9117100000003</v>
      </c>
    </row>
    <row r="52" spans="2:9" x14ac:dyDescent="0.2">
      <c r="B52" s="101" t="s">
        <v>106</v>
      </c>
      <c r="C52" s="99" t="s">
        <v>42</v>
      </c>
      <c r="D52" s="99" t="s">
        <v>47</v>
      </c>
      <c r="E52" s="99" t="s">
        <v>131</v>
      </c>
      <c r="F52" s="99" t="s">
        <v>107</v>
      </c>
      <c r="G52" s="323">
        <v>2747.51</v>
      </c>
      <c r="H52" s="323">
        <f>100+291.03361</f>
        <v>391.03361000000001</v>
      </c>
      <c r="I52" s="323">
        <f t="shared" ref="I52" si="39">G52+H52</f>
        <v>3138.5436100000002</v>
      </c>
    </row>
    <row r="53" spans="2:9" ht="38.25" x14ac:dyDescent="0.2">
      <c r="B53" s="100" t="s">
        <v>108</v>
      </c>
      <c r="C53" s="99" t="s">
        <v>42</v>
      </c>
      <c r="D53" s="99" t="s">
        <v>47</v>
      </c>
      <c r="E53" s="99" t="s">
        <v>131</v>
      </c>
      <c r="F53" s="99" t="s">
        <v>109</v>
      </c>
      <c r="G53" s="323">
        <v>16</v>
      </c>
      <c r="H53" s="323">
        <f>-9.7</f>
        <v>-9.6999999999999993</v>
      </c>
      <c r="I53" s="323">
        <f t="shared" ref="I53" si="40">G53+H53</f>
        <v>6.3000000000000007</v>
      </c>
    </row>
    <row r="54" spans="2:9" ht="25.5" x14ac:dyDescent="0.2">
      <c r="B54" s="102" t="s">
        <v>112</v>
      </c>
      <c r="C54" s="99" t="s">
        <v>42</v>
      </c>
      <c r="D54" s="99" t="s">
        <v>47</v>
      </c>
      <c r="E54" s="99" t="s">
        <v>131</v>
      </c>
      <c r="F54" s="99" t="s">
        <v>113</v>
      </c>
      <c r="G54" s="323">
        <v>156.49</v>
      </c>
      <c r="H54" s="323">
        <f>-3.52-42.43386-1.746+3.491</f>
        <v>-44.208860000000008</v>
      </c>
      <c r="I54" s="323">
        <f t="shared" ref="I54" si="41">G54+H54</f>
        <v>112.28113999999999</v>
      </c>
    </row>
    <row r="55" spans="2:9" ht="25.5" x14ac:dyDescent="0.2">
      <c r="B55" s="100" t="s">
        <v>114</v>
      </c>
      <c r="C55" s="99" t="s">
        <v>42</v>
      </c>
      <c r="D55" s="99" t="s">
        <v>47</v>
      </c>
      <c r="E55" s="99" t="s">
        <v>131</v>
      </c>
      <c r="F55" s="99" t="s">
        <v>115</v>
      </c>
      <c r="G55" s="323">
        <v>425.42</v>
      </c>
      <c r="H55" s="323">
        <f>1.76-28.8611-1.745+1.76+6.00171</f>
        <v>-21.084389999999999</v>
      </c>
      <c r="I55" s="323">
        <f t="shared" ref="I55" si="42">G55+H55</f>
        <v>404.33561000000003</v>
      </c>
    </row>
    <row r="56" spans="2:9" ht="31.5" customHeight="1" x14ac:dyDescent="0.2">
      <c r="B56" s="216" t="s">
        <v>116</v>
      </c>
      <c r="C56" s="99" t="s">
        <v>42</v>
      </c>
      <c r="D56" s="99" t="s">
        <v>47</v>
      </c>
      <c r="E56" s="99" t="s">
        <v>131</v>
      </c>
      <c r="F56" s="99" t="s">
        <v>117</v>
      </c>
      <c r="G56" s="323">
        <v>10</v>
      </c>
      <c r="H56" s="323">
        <f>-9.565</f>
        <v>-9.5649999999999995</v>
      </c>
      <c r="I56" s="323">
        <f t="shared" ref="I56" si="43">G56+H56</f>
        <v>0.4350000000000005</v>
      </c>
    </row>
    <row r="57" spans="2:9" x14ac:dyDescent="0.2">
      <c r="B57" s="135" t="s">
        <v>118</v>
      </c>
      <c r="C57" s="99" t="s">
        <v>42</v>
      </c>
      <c r="D57" s="99" t="s">
        <v>47</v>
      </c>
      <c r="E57" s="99" t="s">
        <v>131</v>
      </c>
      <c r="F57" s="99" t="s">
        <v>119</v>
      </c>
      <c r="G57" s="323">
        <v>5.14</v>
      </c>
      <c r="H57" s="323">
        <v>-1.12365</v>
      </c>
      <c r="I57" s="323">
        <f t="shared" ref="I57" si="44">G57+H57</f>
        <v>4.0163499999999992</v>
      </c>
    </row>
    <row r="58" spans="2:9" ht="38.25" x14ac:dyDescent="0.2">
      <c r="B58" s="128" t="s">
        <v>143</v>
      </c>
      <c r="C58" s="99" t="s">
        <v>42</v>
      </c>
      <c r="D58" s="99" t="s">
        <v>47</v>
      </c>
      <c r="E58" s="99" t="s">
        <v>144</v>
      </c>
      <c r="F58" s="99"/>
      <c r="G58" s="323">
        <f>G59</f>
        <v>418</v>
      </c>
      <c r="H58" s="323">
        <f t="shared" ref="H58:I58" si="45">H59</f>
        <v>-10.100000000000001</v>
      </c>
      <c r="I58" s="323">
        <f t="shared" si="45"/>
        <v>407.9</v>
      </c>
    </row>
    <row r="59" spans="2:9" ht="51" x14ac:dyDescent="0.2">
      <c r="B59" s="138" t="s">
        <v>304</v>
      </c>
      <c r="C59" s="99" t="s">
        <v>42</v>
      </c>
      <c r="D59" s="99" t="s">
        <v>47</v>
      </c>
      <c r="E59" s="99" t="s">
        <v>305</v>
      </c>
      <c r="F59" s="99"/>
      <c r="G59" s="323">
        <f>G60+G61</f>
        <v>418</v>
      </c>
      <c r="H59" s="323">
        <f t="shared" ref="H59:I59" si="46">H60+H61</f>
        <v>-10.100000000000001</v>
      </c>
      <c r="I59" s="323">
        <f t="shared" si="46"/>
        <v>407.9</v>
      </c>
    </row>
    <row r="60" spans="2:9" ht="25.5" x14ac:dyDescent="0.2">
      <c r="B60" s="102" t="s">
        <v>112</v>
      </c>
      <c r="C60" s="99" t="s">
        <v>42</v>
      </c>
      <c r="D60" s="99" t="s">
        <v>47</v>
      </c>
      <c r="E60" s="99" t="s">
        <v>305</v>
      </c>
      <c r="F60" s="99" t="s">
        <v>113</v>
      </c>
      <c r="G60" s="323">
        <v>418</v>
      </c>
      <c r="H60" s="323">
        <f>-48.20496+3.1</f>
        <v>-45.104959999999998</v>
      </c>
      <c r="I60" s="323">
        <f t="shared" ref="I60" si="47">G60+H60</f>
        <v>372.89503999999999</v>
      </c>
    </row>
    <row r="61" spans="2:9" ht="25.5" x14ac:dyDescent="0.2">
      <c r="B61" s="100" t="s">
        <v>114</v>
      </c>
      <c r="C61" s="99" t="s">
        <v>42</v>
      </c>
      <c r="D61" s="99" t="s">
        <v>47</v>
      </c>
      <c r="E61" s="99" t="s">
        <v>305</v>
      </c>
      <c r="F61" s="99" t="s">
        <v>115</v>
      </c>
      <c r="G61" s="323"/>
      <c r="H61" s="323">
        <f>38.10496-3.1</f>
        <v>35.004959999999997</v>
      </c>
      <c r="I61" s="323">
        <f>G61+H61</f>
        <v>35.004959999999997</v>
      </c>
    </row>
    <row r="62" spans="2:9" x14ac:dyDescent="0.2">
      <c r="B62" s="120" t="s">
        <v>134</v>
      </c>
      <c r="C62" s="99" t="s">
        <v>42</v>
      </c>
      <c r="D62" s="99" t="s">
        <v>47</v>
      </c>
      <c r="E62" s="120" t="s">
        <v>140</v>
      </c>
      <c r="F62" s="99"/>
      <c r="G62" s="323">
        <f>G63</f>
        <v>844.77</v>
      </c>
      <c r="H62" s="323">
        <f t="shared" ref="H62:I62" si="48">H63</f>
        <v>0</v>
      </c>
      <c r="I62" s="323">
        <f t="shared" si="48"/>
        <v>844.77</v>
      </c>
    </row>
    <row r="63" spans="2:9" ht="25.5" x14ac:dyDescent="0.2">
      <c r="B63" s="120" t="s">
        <v>163</v>
      </c>
      <c r="C63" s="99" t="s">
        <v>42</v>
      </c>
      <c r="D63" s="99" t="s">
        <v>47</v>
      </c>
      <c r="E63" s="120">
        <v>9900800</v>
      </c>
      <c r="F63" s="99"/>
      <c r="G63" s="323">
        <f t="shared" ref="G63:I63" si="49">G64</f>
        <v>844.77</v>
      </c>
      <c r="H63" s="323">
        <f t="shared" si="49"/>
        <v>0</v>
      </c>
      <c r="I63" s="323">
        <f t="shared" si="49"/>
        <v>844.77</v>
      </c>
    </row>
    <row r="64" spans="2:9" ht="25.5" x14ac:dyDescent="0.2">
      <c r="B64" s="120" t="s">
        <v>177</v>
      </c>
      <c r="C64" s="99" t="s">
        <v>42</v>
      </c>
      <c r="D64" s="99" t="s">
        <v>47</v>
      </c>
      <c r="E64" s="120" t="s">
        <v>421</v>
      </c>
      <c r="F64" s="99"/>
      <c r="G64" s="323">
        <f t="shared" ref="G64" si="50">G65+G67+G66</f>
        <v>844.77</v>
      </c>
      <c r="H64" s="323">
        <f t="shared" ref="H64:I64" si="51">H65+H67+H66</f>
        <v>0</v>
      </c>
      <c r="I64" s="323">
        <f t="shared" si="51"/>
        <v>844.77</v>
      </c>
    </row>
    <row r="65" spans="2:9" x14ac:dyDescent="0.2">
      <c r="B65" s="101" t="s">
        <v>106</v>
      </c>
      <c r="C65" s="99" t="s">
        <v>42</v>
      </c>
      <c r="D65" s="99" t="s">
        <v>47</v>
      </c>
      <c r="E65" s="120" t="s">
        <v>421</v>
      </c>
      <c r="F65" s="99" t="s">
        <v>107</v>
      </c>
      <c r="G65" s="323">
        <v>826.77</v>
      </c>
      <c r="H65" s="323"/>
      <c r="I65" s="323">
        <f t="shared" ref="I65" si="52">G65+H65</f>
        <v>826.77</v>
      </c>
    </row>
    <row r="66" spans="2:9" ht="25.5" x14ac:dyDescent="0.2">
      <c r="B66" s="102" t="s">
        <v>112</v>
      </c>
      <c r="C66" s="99" t="s">
        <v>42</v>
      </c>
      <c r="D66" s="99" t="s">
        <v>47</v>
      </c>
      <c r="E66" s="120" t="s">
        <v>421</v>
      </c>
      <c r="F66" s="99" t="s">
        <v>113</v>
      </c>
      <c r="G66" s="323">
        <v>10</v>
      </c>
      <c r="H66" s="323"/>
      <c r="I66" s="323">
        <f t="shared" ref="I66" si="53">G66+H66</f>
        <v>10</v>
      </c>
    </row>
    <row r="67" spans="2:9" ht="25.5" x14ac:dyDescent="0.2">
      <c r="B67" s="100" t="s">
        <v>114</v>
      </c>
      <c r="C67" s="99" t="s">
        <v>42</v>
      </c>
      <c r="D67" s="99" t="s">
        <v>47</v>
      </c>
      <c r="E67" s="120" t="s">
        <v>421</v>
      </c>
      <c r="F67" s="99" t="s">
        <v>115</v>
      </c>
      <c r="G67" s="323">
        <v>8</v>
      </c>
      <c r="H67" s="323"/>
      <c r="I67" s="323">
        <f t="shared" ref="I67" si="54">G67+H67</f>
        <v>8</v>
      </c>
    </row>
    <row r="68" spans="2:9" x14ac:dyDescent="0.2">
      <c r="B68" s="100" t="s">
        <v>497</v>
      </c>
      <c r="C68" s="99" t="s">
        <v>42</v>
      </c>
      <c r="D68" s="99" t="s">
        <v>48</v>
      </c>
      <c r="E68" s="258"/>
      <c r="F68" s="99"/>
      <c r="G68" s="323">
        <f>G69</f>
        <v>183</v>
      </c>
      <c r="H68" s="323">
        <f t="shared" ref="H68:I70" si="55">H69</f>
        <v>0</v>
      </c>
      <c r="I68" s="323">
        <f t="shared" si="55"/>
        <v>183</v>
      </c>
    </row>
    <row r="69" spans="2:9" x14ac:dyDescent="0.2">
      <c r="B69" s="258" t="s">
        <v>134</v>
      </c>
      <c r="C69" s="99" t="s">
        <v>42</v>
      </c>
      <c r="D69" s="99" t="s">
        <v>48</v>
      </c>
      <c r="E69" s="258">
        <v>9900000</v>
      </c>
      <c r="F69" s="99"/>
      <c r="G69" s="323">
        <f>G70</f>
        <v>183</v>
      </c>
      <c r="H69" s="323">
        <f t="shared" si="55"/>
        <v>0</v>
      </c>
      <c r="I69" s="323">
        <f t="shared" si="55"/>
        <v>183</v>
      </c>
    </row>
    <row r="70" spans="2:9" ht="25.5" x14ac:dyDescent="0.2">
      <c r="B70" s="100" t="s">
        <v>498</v>
      </c>
      <c r="C70" s="99" t="s">
        <v>42</v>
      </c>
      <c r="D70" s="99" t="s">
        <v>48</v>
      </c>
      <c r="E70" s="258">
        <v>9900015</v>
      </c>
      <c r="F70" s="99"/>
      <c r="G70" s="323">
        <f>G71</f>
        <v>183</v>
      </c>
      <c r="H70" s="323">
        <f t="shared" si="55"/>
        <v>0</v>
      </c>
      <c r="I70" s="323">
        <f t="shared" si="55"/>
        <v>183</v>
      </c>
    </row>
    <row r="71" spans="2:9" ht="25.5" x14ac:dyDescent="0.2">
      <c r="B71" s="100" t="s">
        <v>114</v>
      </c>
      <c r="C71" s="99" t="s">
        <v>42</v>
      </c>
      <c r="D71" s="99" t="s">
        <v>48</v>
      </c>
      <c r="E71" s="258">
        <v>9900015</v>
      </c>
      <c r="F71" s="99" t="s">
        <v>115</v>
      </c>
      <c r="G71" s="323">
        <v>183</v>
      </c>
      <c r="H71" s="323"/>
      <c r="I71" s="323">
        <f>G71+H71</f>
        <v>183</v>
      </c>
    </row>
    <row r="72" spans="2:9" x14ac:dyDescent="0.2">
      <c r="B72" s="105" t="s">
        <v>22</v>
      </c>
      <c r="C72" s="99" t="s">
        <v>42</v>
      </c>
      <c r="D72" s="99" t="s">
        <v>133</v>
      </c>
      <c r="E72" s="99"/>
      <c r="F72" s="99"/>
      <c r="G72" s="323">
        <f t="shared" ref="G72:I76" si="56">G73</f>
        <v>189.11</v>
      </c>
      <c r="H72" s="323">
        <f t="shared" si="56"/>
        <v>-189.114</v>
      </c>
      <c r="I72" s="323">
        <f t="shared" si="56"/>
        <v>-3.9999999999906777E-3</v>
      </c>
    </row>
    <row r="73" spans="2:9" x14ac:dyDescent="0.2">
      <c r="B73" s="120" t="s">
        <v>134</v>
      </c>
      <c r="C73" s="99" t="s">
        <v>42</v>
      </c>
      <c r="D73" s="99" t="s">
        <v>133</v>
      </c>
      <c r="E73" s="99" t="s">
        <v>135</v>
      </c>
      <c r="F73" s="99"/>
      <c r="G73" s="323">
        <f>G76+G74</f>
        <v>189.11</v>
      </c>
      <c r="H73" s="323">
        <f>H76+H74</f>
        <v>-189.114</v>
      </c>
      <c r="I73" s="323">
        <f>I76+I74</f>
        <v>-3.9999999999906777E-3</v>
      </c>
    </row>
    <row r="74" spans="2:9" ht="25.5" x14ac:dyDescent="0.2">
      <c r="B74" s="142" t="s">
        <v>462</v>
      </c>
      <c r="C74" s="99" t="s">
        <v>42</v>
      </c>
      <c r="D74" s="99" t="s">
        <v>133</v>
      </c>
      <c r="E74" s="120" t="s">
        <v>463</v>
      </c>
      <c r="F74" s="99"/>
      <c r="G74" s="323">
        <f t="shared" si="56"/>
        <v>189.11</v>
      </c>
      <c r="H74" s="323">
        <f t="shared" si="56"/>
        <v>-189.114</v>
      </c>
      <c r="I74" s="323">
        <f t="shared" si="56"/>
        <v>-3.9999999999906777E-3</v>
      </c>
    </row>
    <row r="75" spans="2:9" x14ac:dyDescent="0.2">
      <c r="B75" s="105" t="s">
        <v>137</v>
      </c>
      <c r="C75" s="99" t="s">
        <v>42</v>
      </c>
      <c r="D75" s="99" t="s">
        <v>133</v>
      </c>
      <c r="E75" s="120" t="s">
        <v>463</v>
      </c>
      <c r="F75" s="99" t="s">
        <v>138</v>
      </c>
      <c r="G75" s="323">
        <v>189.11</v>
      </c>
      <c r="H75" s="323">
        <f>-20-15-34.28-119.834</f>
        <v>-189.114</v>
      </c>
      <c r="I75" s="323">
        <f t="shared" ref="I75" si="57">G75+H75</f>
        <v>-3.9999999999906777E-3</v>
      </c>
    </row>
    <row r="76" spans="2:9" hidden="1" x14ac:dyDescent="0.2">
      <c r="B76" s="120" t="s">
        <v>136</v>
      </c>
      <c r="C76" s="99" t="s">
        <v>42</v>
      </c>
      <c r="D76" s="99" t="s">
        <v>133</v>
      </c>
      <c r="E76" s="120" t="s">
        <v>420</v>
      </c>
      <c r="F76" s="99"/>
      <c r="G76" s="323">
        <f t="shared" si="56"/>
        <v>0</v>
      </c>
      <c r="H76" s="323">
        <f t="shared" si="56"/>
        <v>0</v>
      </c>
      <c r="I76" s="323">
        <f t="shared" si="56"/>
        <v>0</v>
      </c>
    </row>
    <row r="77" spans="2:9" hidden="1" x14ac:dyDescent="0.2">
      <c r="B77" s="105" t="s">
        <v>137</v>
      </c>
      <c r="C77" s="99" t="s">
        <v>42</v>
      </c>
      <c r="D77" s="99" t="s">
        <v>133</v>
      </c>
      <c r="E77" s="120" t="s">
        <v>420</v>
      </c>
      <c r="F77" s="99" t="s">
        <v>138</v>
      </c>
      <c r="G77" s="323"/>
      <c r="H77" s="323"/>
      <c r="I77" s="323">
        <f t="shared" ref="I77" si="58">G77+H77</f>
        <v>0</v>
      </c>
    </row>
    <row r="78" spans="2:9" x14ac:dyDescent="0.2">
      <c r="B78" s="135" t="s">
        <v>21</v>
      </c>
      <c r="C78" s="136" t="s">
        <v>42</v>
      </c>
      <c r="D78" s="136" t="s">
        <v>139</v>
      </c>
      <c r="E78" s="99"/>
      <c r="F78" s="99"/>
      <c r="G78" s="323">
        <f>G83+G79</f>
        <v>1081.5999999999999</v>
      </c>
      <c r="H78" s="323">
        <f t="shared" ref="H78:I78" si="59">H83+H79</f>
        <v>17.799999999999997</v>
      </c>
      <c r="I78" s="323">
        <f t="shared" si="59"/>
        <v>1099.4000000000001</v>
      </c>
    </row>
    <row r="79" spans="2:9" ht="25.5" hidden="1" x14ac:dyDescent="0.2">
      <c r="B79" s="215" t="s">
        <v>170</v>
      </c>
      <c r="C79" s="99" t="s">
        <v>42</v>
      </c>
      <c r="D79" s="99" t="s">
        <v>139</v>
      </c>
      <c r="E79" s="99" t="s">
        <v>171</v>
      </c>
      <c r="F79" s="99"/>
      <c r="G79" s="323">
        <f>G80</f>
        <v>0</v>
      </c>
      <c r="H79" s="323">
        <f t="shared" ref="H79:I81" si="60">H80</f>
        <v>0</v>
      </c>
      <c r="I79" s="323">
        <f t="shared" si="60"/>
        <v>0</v>
      </c>
    </row>
    <row r="80" spans="2:9" ht="38.25" hidden="1" x14ac:dyDescent="0.2">
      <c r="B80" s="204" t="s">
        <v>469</v>
      </c>
      <c r="C80" s="99" t="s">
        <v>42</v>
      </c>
      <c r="D80" s="99" t="s">
        <v>139</v>
      </c>
      <c r="E80" s="99" t="s">
        <v>193</v>
      </c>
      <c r="F80" s="99"/>
      <c r="G80" s="323">
        <f>G81</f>
        <v>0</v>
      </c>
      <c r="H80" s="323">
        <f t="shared" si="60"/>
        <v>0</v>
      </c>
      <c r="I80" s="323">
        <f t="shared" si="60"/>
        <v>0</v>
      </c>
    </row>
    <row r="81" spans="2:9" ht="38.25" hidden="1" x14ac:dyDescent="0.2">
      <c r="B81" s="232" t="s">
        <v>468</v>
      </c>
      <c r="C81" s="99" t="s">
        <v>42</v>
      </c>
      <c r="D81" s="99" t="s">
        <v>139</v>
      </c>
      <c r="E81" s="99" t="s">
        <v>470</v>
      </c>
      <c r="F81" s="99"/>
      <c r="G81" s="323">
        <f>G82</f>
        <v>0</v>
      </c>
      <c r="H81" s="323">
        <f t="shared" si="60"/>
        <v>0</v>
      </c>
      <c r="I81" s="323">
        <f t="shared" si="60"/>
        <v>0</v>
      </c>
    </row>
    <row r="82" spans="2:9" ht="25.5" hidden="1" x14ac:dyDescent="0.2">
      <c r="B82" s="100" t="s">
        <v>114</v>
      </c>
      <c r="C82" s="99" t="s">
        <v>42</v>
      </c>
      <c r="D82" s="99" t="s">
        <v>139</v>
      </c>
      <c r="E82" s="99" t="s">
        <v>470</v>
      </c>
      <c r="F82" s="99" t="s">
        <v>115</v>
      </c>
      <c r="G82" s="323"/>
      <c r="H82" s="323"/>
      <c r="I82" s="323">
        <f t="shared" ref="I82" si="61">G82+H82</f>
        <v>0</v>
      </c>
    </row>
    <row r="83" spans="2:9" x14ac:dyDescent="0.2">
      <c r="B83" s="120" t="s">
        <v>134</v>
      </c>
      <c r="C83" s="136" t="s">
        <v>42</v>
      </c>
      <c r="D83" s="136" t="s">
        <v>139</v>
      </c>
      <c r="E83" s="120">
        <v>9900000</v>
      </c>
      <c r="F83" s="99"/>
      <c r="G83" s="323">
        <f>G88+G90+G93+G95+G86+G84</f>
        <v>1081.5999999999999</v>
      </c>
      <c r="H83" s="323">
        <f t="shared" ref="H83:I83" si="62">H88+H90+H93+H95+H86+H84</f>
        <v>17.799999999999997</v>
      </c>
      <c r="I83" s="323">
        <f t="shared" si="62"/>
        <v>1099.4000000000001</v>
      </c>
    </row>
    <row r="84" spans="2:9" ht="38.25" x14ac:dyDescent="0.2">
      <c r="B84" s="237" t="s">
        <v>141</v>
      </c>
      <c r="C84" s="99" t="s">
        <v>42</v>
      </c>
      <c r="D84" s="99" t="s">
        <v>139</v>
      </c>
      <c r="E84" s="99" t="s">
        <v>550</v>
      </c>
      <c r="F84" s="99"/>
      <c r="G84" s="323">
        <f>G85</f>
        <v>0.1</v>
      </c>
      <c r="H84" s="323">
        <f t="shared" ref="H84:I84" si="63">H85</f>
        <v>0</v>
      </c>
      <c r="I84" s="323">
        <f t="shared" si="63"/>
        <v>0.1</v>
      </c>
    </row>
    <row r="85" spans="2:9" ht="25.5" x14ac:dyDescent="0.2">
      <c r="B85" s="100" t="s">
        <v>114</v>
      </c>
      <c r="C85" s="99" t="s">
        <v>42</v>
      </c>
      <c r="D85" s="99" t="s">
        <v>139</v>
      </c>
      <c r="E85" s="99" t="s">
        <v>550</v>
      </c>
      <c r="F85" s="99" t="s">
        <v>115</v>
      </c>
      <c r="G85" s="323">
        <v>0.1</v>
      </c>
      <c r="H85" s="323"/>
      <c r="I85" s="323">
        <f>G85+H85</f>
        <v>0.1</v>
      </c>
    </row>
    <row r="86" spans="2:9" x14ac:dyDescent="0.2">
      <c r="B86" s="100" t="s">
        <v>377</v>
      </c>
      <c r="C86" s="99" t="s">
        <v>42</v>
      </c>
      <c r="D86" s="99" t="s">
        <v>139</v>
      </c>
      <c r="E86" s="99" t="s">
        <v>379</v>
      </c>
      <c r="F86" s="99"/>
      <c r="G86" s="323">
        <f>G87</f>
        <v>180</v>
      </c>
      <c r="H86" s="323">
        <f t="shared" ref="H86:I86" si="64">H87</f>
        <v>-25.6</v>
      </c>
      <c r="I86" s="323">
        <f t="shared" si="64"/>
        <v>154.4</v>
      </c>
    </row>
    <row r="87" spans="2:9" ht="38.25" x14ac:dyDescent="0.2">
      <c r="B87" s="196" t="s">
        <v>378</v>
      </c>
      <c r="C87" s="99" t="s">
        <v>42</v>
      </c>
      <c r="D87" s="99" t="s">
        <v>139</v>
      </c>
      <c r="E87" s="99" t="s">
        <v>379</v>
      </c>
      <c r="F87" s="99" t="s">
        <v>111</v>
      </c>
      <c r="G87" s="323">
        <v>180</v>
      </c>
      <c r="H87" s="325">
        <v>-25.6</v>
      </c>
      <c r="I87" s="323">
        <f>G87+H87</f>
        <v>154.4</v>
      </c>
    </row>
    <row r="88" spans="2:9" ht="38.25" hidden="1" x14ac:dyDescent="0.2">
      <c r="B88" s="120" t="s">
        <v>141</v>
      </c>
      <c r="C88" s="136" t="s">
        <v>42</v>
      </c>
      <c r="D88" s="136" t="s">
        <v>139</v>
      </c>
      <c r="E88" s="120">
        <v>9901537</v>
      </c>
      <c r="F88" s="99"/>
      <c r="G88" s="323">
        <f>G89</f>
        <v>0</v>
      </c>
      <c r="H88" s="323">
        <f t="shared" ref="H88:I88" si="65">H89</f>
        <v>0</v>
      </c>
      <c r="I88" s="323">
        <f t="shared" si="65"/>
        <v>0</v>
      </c>
    </row>
    <row r="89" spans="2:9" ht="25.5" hidden="1" x14ac:dyDescent="0.2">
      <c r="B89" s="100" t="s">
        <v>114</v>
      </c>
      <c r="C89" s="136" t="s">
        <v>42</v>
      </c>
      <c r="D89" s="136" t="s">
        <v>139</v>
      </c>
      <c r="E89" s="120">
        <v>9901537</v>
      </c>
      <c r="F89" s="99" t="s">
        <v>115</v>
      </c>
      <c r="G89" s="323"/>
      <c r="H89" s="323"/>
      <c r="I89" s="323">
        <f t="shared" ref="I89" si="66">G89+H89</f>
        <v>0</v>
      </c>
    </row>
    <row r="90" spans="2:9" ht="38.25" x14ac:dyDescent="0.2">
      <c r="B90" s="104" t="s">
        <v>178</v>
      </c>
      <c r="C90" s="99" t="s">
        <v>42</v>
      </c>
      <c r="D90" s="99" t="s">
        <v>139</v>
      </c>
      <c r="E90" s="99" t="s">
        <v>306</v>
      </c>
      <c r="F90" s="99"/>
      <c r="G90" s="323">
        <f t="shared" ref="G90" si="67">G91+G92</f>
        <v>53.1</v>
      </c>
      <c r="H90" s="323">
        <f t="shared" ref="H90:I90" si="68">H91+H92</f>
        <v>0</v>
      </c>
      <c r="I90" s="323">
        <f t="shared" si="68"/>
        <v>53.1</v>
      </c>
    </row>
    <row r="91" spans="2:9" ht="25.5" x14ac:dyDescent="0.2">
      <c r="B91" s="102" t="s">
        <v>112</v>
      </c>
      <c r="C91" s="99" t="s">
        <v>42</v>
      </c>
      <c r="D91" s="99" t="s">
        <v>139</v>
      </c>
      <c r="E91" s="99" t="s">
        <v>306</v>
      </c>
      <c r="F91" s="99" t="s">
        <v>113</v>
      </c>
      <c r="G91" s="323">
        <v>10</v>
      </c>
      <c r="H91" s="323"/>
      <c r="I91" s="323">
        <f t="shared" ref="I91" si="69">G91+H91</f>
        <v>10</v>
      </c>
    </row>
    <row r="92" spans="2:9" ht="25.5" x14ac:dyDescent="0.2">
      <c r="B92" s="100" t="s">
        <v>114</v>
      </c>
      <c r="C92" s="99" t="s">
        <v>42</v>
      </c>
      <c r="D92" s="99" t="s">
        <v>139</v>
      </c>
      <c r="E92" s="99" t="s">
        <v>306</v>
      </c>
      <c r="F92" s="99" t="s">
        <v>115</v>
      </c>
      <c r="G92" s="323">
        <v>43.1</v>
      </c>
      <c r="H92" s="323"/>
      <c r="I92" s="323">
        <f t="shared" ref="I92" si="70">G92+H92</f>
        <v>43.1</v>
      </c>
    </row>
    <row r="93" spans="2:9" ht="63.75" x14ac:dyDescent="0.2">
      <c r="B93" s="104" t="s">
        <v>179</v>
      </c>
      <c r="C93" s="99" t="s">
        <v>42</v>
      </c>
      <c r="D93" s="99" t="s">
        <v>139</v>
      </c>
      <c r="E93" s="99" t="s">
        <v>307</v>
      </c>
      <c r="F93" s="99"/>
      <c r="G93" s="323">
        <f t="shared" ref="G93:I93" si="71">G94</f>
        <v>213.8</v>
      </c>
      <c r="H93" s="323">
        <f t="shared" si="71"/>
        <v>0</v>
      </c>
      <c r="I93" s="323">
        <f t="shared" si="71"/>
        <v>213.8</v>
      </c>
    </row>
    <row r="94" spans="2:9" ht="38.25" x14ac:dyDescent="0.2">
      <c r="B94" s="100" t="s">
        <v>106</v>
      </c>
      <c r="C94" s="99" t="s">
        <v>42</v>
      </c>
      <c r="D94" s="99" t="s">
        <v>139</v>
      </c>
      <c r="E94" s="99" t="s">
        <v>307</v>
      </c>
      <c r="F94" s="99" t="s">
        <v>107</v>
      </c>
      <c r="G94" s="323">
        <v>213.8</v>
      </c>
      <c r="H94" s="323"/>
      <c r="I94" s="323">
        <f t="shared" ref="I94" si="72">G94+H94</f>
        <v>213.8</v>
      </c>
    </row>
    <row r="95" spans="2:9" x14ac:dyDescent="0.2">
      <c r="B95" s="104" t="s">
        <v>180</v>
      </c>
      <c r="C95" s="99" t="s">
        <v>42</v>
      </c>
      <c r="D95" s="99" t="s">
        <v>139</v>
      </c>
      <c r="E95" s="99" t="s">
        <v>308</v>
      </c>
      <c r="F95" s="99"/>
      <c r="G95" s="323">
        <f>G96+G97+G100+G99</f>
        <v>634.6</v>
      </c>
      <c r="H95" s="323">
        <f>H96+H97+H100+H99</f>
        <v>43.4</v>
      </c>
      <c r="I95" s="323">
        <f>I96+I97+I100+I99</f>
        <v>678</v>
      </c>
    </row>
    <row r="96" spans="2:9" ht="38.25" x14ac:dyDescent="0.2">
      <c r="B96" s="100" t="s">
        <v>106</v>
      </c>
      <c r="C96" s="99" t="s">
        <v>42</v>
      </c>
      <c r="D96" s="99" t="s">
        <v>139</v>
      </c>
      <c r="E96" s="99" t="s">
        <v>308</v>
      </c>
      <c r="F96" s="99" t="s">
        <v>107</v>
      </c>
      <c r="G96" s="323">
        <v>484.16</v>
      </c>
      <c r="H96" s="323">
        <f>13.8913+43.4</f>
        <v>57.2913</v>
      </c>
      <c r="I96" s="323">
        <f t="shared" ref="I96:I99" si="73">G96+H96</f>
        <v>541.45130000000006</v>
      </c>
    </row>
    <row r="97" spans="2:9" ht="38.25" x14ac:dyDescent="0.2">
      <c r="B97" s="100" t="s">
        <v>108</v>
      </c>
      <c r="C97" s="99" t="s">
        <v>42</v>
      </c>
      <c r="D97" s="99" t="s">
        <v>139</v>
      </c>
      <c r="E97" s="99" t="s">
        <v>308</v>
      </c>
      <c r="F97" s="99" t="s">
        <v>109</v>
      </c>
      <c r="G97" s="323">
        <v>1</v>
      </c>
      <c r="H97" s="323">
        <v>-1</v>
      </c>
      <c r="I97" s="323">
        <f t="shared" si="73"/>
        <v>0</v>
      </c>
    </row>
    <row r="98" spans="2:9" ht="51" hidden="1" x14ac:dyDescent="0.2">
      <c r="B98" s="100" t="s">
        <v>110</v>
      </c>
      <c r="C98" s="99" t="s">
        <v>42</v>
      </c>
      <c r="D98" s="99" t="s">
        <v>139</v>
      </c>
      <c r="E98" s="99" t="s">
        <v>308</v>
      </c>
      <c r="F98" s="99" t="s">
        <v>111</v>
      </c>
      <c r="G98" s="323"/>
      <c r="H98" s="323"/>
      <c r="I98" s="323">
        <f t="shared" si="73"/>
        <v>0</v>
      </c>
    </row>
    <row r="99" spans="2:9" ht="25.5" x14ac:dyDescent="0.2">
      <c r="B99" s="102" t="s">
        <v>112</v>
      </c>
      <c r="C99" s="99" t="s">
        <v>42</v>
      </c>
      <c r="D99" s="99" t="s">
        <v>139</v>
      </c>
      <c r="E99" s="99" t="s">
        <v>308</v>
      </c>
      <c r="F99" s="99" t="s">
        <v>113</v>
      </c>
      <c r="G99" s="323"/>
      <c r="H99" s="323">
        <v>5.9420000000000002</v>
      </c>
      <c r="I99" s="323">
        <f t="shared" si="73"/>
        <v>5.9420000000000002</v>
      </c>
    </row>
    <row r="100" spans="2:9" ht="25.5" x14ac:dyDescent="0.2">
      <c r="B100" s="100" t="s">
        <v>114</v>
      </c>
      <c r="C100" s="99" t="s">
        <v>42</v>
      </c>
      <c r="D100" s="99" t="s">
        <v>139</v>
      </c>
      <c r="E100" s="99" t="s">
        <v>308</v>
      </c>
      <c r="F100" s="99" t="s">
        <v>115</v>
      </c>
      <c r="G100" s="323">
        <v>149.44</v>
      </c>
      <c r="H100" s="323">
        <f>-12.8913-5.942</f>
        <v>-18.833300000000001</v>
      </c>
      <c r="I100" s="323">
        <f t="shared" ref="I100" si="74">G100+H100</f>
        <v>130.60669999999999</v>
      </c>
    </row>
    <row r="101" spans="2:9" x14ac:dyDescent="0.2">
      <c r="B101" s="105" t="s">
        <v>149</v>
      </c>
      <c r="C101" s="99" t="s">
        <v>43</v>
      </c>
      <c r="D101" s="99" t="s">
        <v>150</v>
      </c>
      <c r="E101" s="99"/>
      <c r="F101" s="99"/>
      <c r="G101" s="323">
        <f t="shared" ref="G101:I102" si="75">G102</f>
        <v>465.2</v>
      </c>
      <c r="H101" s="323">
        <f t="shared" si="75"/>
        <v>52</v>
      </c>
      <c r="I101" s="323">
        <f t="shared" si="75"/>
        <v>517.20000000000005</v>
      </c>
    </row>
    <row r="102" spans="2:9" x14ac:dyDescent="0.2">
      <c r="B102" s="100" t="s">
        <v>151</v>
      </c>
      <c r="C102" s="99" t="s">
        <v>43</v>
      </c>
      <c r="D102" s="99" t="s">
        <v>44</v>
      </c>
      <c r="E102" s="99"/>
      <c r="F102" s="99"/>
      <c r="G102" s="323">
        <f>G103</f>
        <v>465.2</v>
      </c>
      <c r="H102" s="323">
        <f t="shared" si="75"/>
        <v>52</v>
      </c>
      <c r="I102" s="323">
        <f t="shared" si="75"/>
        <v>517.20000000000005</v>
      </c>
    </row>
    <row r="103" spans="2:9" ht="38.25" x14ac:dyDescent="0.2">
      <c r="B103" s="121" t="s">
        <v>128</v>
      </c>
      <c r="C103" s="99" t="s">
        <v>43</v>
      </c>
      <c r="D103" s="99" t="s">
        <v>44</v>
      </c>
      <c r="E103" s="99" t="s">
        <v>129</v>
      </c>
      <c r="F103" s="99"/>
      <c r="G103" s="323">
        <f t="shared" ref="G103:I105" si="76">G104</f>
        <v>465.2</v>
      </c>
      <c r="H103" s="323">
        <f t="shared" si="76"/>
        <v>52</v>
      </c>
      <c r="I103" s="323">
        <f t="shared" si="76"/>
        <v>517.20000000000005</v>
      </c>
    </row>
    <row r="104" spans="2:9" ht="38.25" x14ac:dyDescent="0.2">
      <c r="B104" s="121" t="s">
        <v>143</v>
      </c>
      <c r="C104" s="99" t="s">
        <v>43</v>
      </c>
      <c r="D104" s="99" t="s">
        <v>44</v>
      </c>
      <c r="E104" s="99" t="s">
        <v>144</v>
      </c>
      <c r="F104" s="99"/>
      <c r="G104" s="323">
        <f t="shared" si="76"/>
        <v>465.2</v>
      </c>
      <c r="H104" s="323">
        <f t="shared" si="76"/>
        <v>52</v>
      </c>
      <c r="I104" s="323">
        <f t="shared" si="76"/>
        <v>517.20000000000005</v>
      </c>
    </row>
    <row r="105" spans="2:9" ht="25.5" x14ac:dyDescent="0.2">
      <c r="B105" s="139" t="s">
        <v>471</v>
      </c>
      <c r="C105" s="99" t="s">
        <v>43</v>
      </c>
      <c r="D105" s="99" t="s">
        <v>44</v>
      </c>
      <c r="E105" s="99" t="s">
        <v>153</v>
      </c>
      <c r="F105" s="99"/>
      <c r="G105" s="323">
        <f t="shared" si="76"/>
        <v>465.2</v>
      </c>
      <c r="H105" s="323">
        <f t="shared" si="76"/>
        <v>52</v>
      </c>
      <c r="I105" s="323">
        <f t="shared" si="76"/>
        <v>517.20000000000005</v>
      </c>
    </row>
    <row r="106" spans="2:9" x14ac:dyDescent="0.2">
      <c r="B106" s="140" t="s">
        <v>152</v>
      </c>
      <c r="C106" s="99" t="s">
        <v>43</v>
      </c>
      <c r="D106" s="99" t="s">
        <v>44</v>
      </c>
      <c r="E106" s="99" t="s">
        <v>153</v>
      </c>
      <c r="F106" s="99" t="s">
        <v>154</v>
      </c>
      <c r="G106" s="323">
        <v>465.2</v>
      </c>
      <c r="H106" s="323">
        <v>52</v>
      </c>
      <c r="I106" s="323">
        <f t="shared" ref="I106" si="77">G106+H106</f>
        <v>517.20000000000005</v>
      </c>
    </row>
    <row r="107" spans="2:9" ht="25.5" x14ac:dyDescent="0.2">
      <c r="B107" s="104" t="s">
        <v>181</v>
      </c>
      <c r="C107" s="99" t="s">
        <v>44</v>
      </c>
      <c r="D107" s="99"/>
      <c r="E107" s="99"/>
      <c r="F107" s="99"/>
      <c r="G107" s="325">
        <f>G108+G125</f>
        <v>1200.3819000000001</v>
      </c>
      <c r="H107" s="325">
        <f>H108+H125</f>
        <v>354.85133000000002</v>
      </c>
      <c r="I107" s="325">
        <f>I108+I125</f>
        <v>1555.2332299999998</v>
      </c>
    </row>
    <row r="108" spans="2:9" ht="38.25" x14ac:dyDescent="0.2">
      <c r="B108" s="104" t="s">
        <v>182</v>
      </c>
      <c r="C108" s="99" t="s">
        <v>44</v>
      </c>
      <c r="D108" s="99" t="s">
        <v>103</v>
      </c>
      <c r="E108" s="99"/>
      <c r="F108" s="99"/>
      <c r="G108" s="323">
        <f>G109+G117</f>
        <v>930.08190000000013</v>
      </c>
      <c r="H108" s="323">
        <f>H109+H117</f>
        <v>365.15133000000003</v>
      </c>
      <c r="I108" s="323">
        <f t="shared" ref="I108" si="78">I109+I117</f>
        <v>1295.2332299999998</v>
      </c>
    </row>
    <row r="109" spans="2:9" ht="39" x14ac:dyDescent="0.25">
      <c r="B109" s="121" t="s">
        <v>183</v>
      </c>
      <c r="C109" s="99" t="s">
        <v>44</v>
      </c>
      <c r="D109" s="99" t="s">
        <v>103</v>
      </c>
      <c r="E109" s="122" t="s">
        <v>195</v>
      </c>
      <c r="F109" s="99"/>
      <c r="G109" s="326">
        <f t="shared" ref="G109:I110" si="79">G110</f>
        <v>687.14190000000008</v>
      </c>
      <c r="H109" s="326">
        <f t="shared" si="79"/>
        <v>186.03733</v>
      </c>
      <c r="I109" s="326">
        <f t="shared" si="79"/>
        <v>873.17922999999996</v>
      </c>
    </row>
    <row r="110" spans="2:9" ht="39" x14ac:dyDescent="0.25">
      <c r="B110" s="121" t="s">
        <v>185</v>
      </c>
      <c r="C110" s="99" t="s">
        <v>44</v>
      </c>
      <c r="D110" s="99" t="s">
        <v>103</v>
      </c>
      <c r="E110" s="122" t="s">
        <v>350</v>
      </c>
      <c r="F110" s="99"/>
      <c r="G110" s="326">
        <f t="shared" si="79"/>
        <v>687.14190000000008</v>
      </c>
      <c r="H110" s="326">
        <f t="shared" si="79"/>
        <v>186.03733</v>
      </c>
      <c r="I110" s="326">
        <f t="shared" si="79"/>
        <v>873.17922999999996</v>
      </c>
    </row>
    <row r="111" spans="2:9" ht="51.75" x14ac:dyDescent="0.25">
      <c r="B111" s="121" t="s">
        <v>186</v>
      </c>
      <c r="C111" s="99" t="s">
        <v>44</v>
      </c>
      <c r="D111" s="99" t="s">
        <v>103</v>
      </c>
      <c r="E111" s="123" t="s">
        <v>404</v>
      </c>
      <c r="F111" s="99"/>
      <c r="G111" s="326">
        <f>G113+G115+G116+G114+G112</f>
        <v>687.14190000000008</v>
      </c>
      <c r="H111" s="326">
        <f>H113+H115+H116+H114+H112</f>
        <v>186.03733</v>
      </c>
      <c r="I111" s="326">
        <f t="shared" ref="I111" si="80">I113+I115+I116+I114+I112</f>
        <v>873.17922999999996</v>
      </c>
    </row>
    <row r="112" spans="2:9" ht="26.25" x14ac:dyDescent="0.25">
      <c r="B112" s="100" t="s">
        <v>515</v>
      </c>
      <c r="C112" s="99" t="s">
        <v>44</v>
      </c>
      <c r="D112" s="99" t="s">
        <v>103</v>
      </c>
      <c r="E112" s="205" t="s">
        <v>404</v>
      </c>
      <c r="F112" s="99" t="s">
        <v>516</v>
      </c>
      <c r="G112" s="326">
        <v>290.49799999999999</v>
      </c>
      <c r="H112" s="323">
        <f>69.553</f>
        <v>69.552999999999997</v>
      </c>
      <c r="I112" s="323">
        <f t="shared" ref="I112:I113" si="81">G112+H112</f>
        <v>360.05099999999999</v>
      </c>
    </row>
    <row r="113" spans="2:9" x14ac:dyDescent="0.2">
      <c r="B113" s="101" t="s">
        <v>106</v>
      </c>
      <c r="C113" s="99" t="s">
        <v>44</v>
      </c>
      <c r="D113" s="99" t="s">
        <v>103</v>
      </c>
      <c r="E113" s="123" t="s">
        <v>404</v>
      </c>
      <c r="F113" s="99" t="s">
        <v>107</v>
      </c>
      <c r="G113" s="323">
        <v>293.53199999999998</v>
      </c>
      <c r="H113" s="323">
        <f>98.38433+3.1</f>
        <v>101.48433</v>
      </c>
      <c r="I113" s="323">
        <f t="shared" si="81"/>
        <v>395.01632999999998</v>
      </c>
    </row>
    <row r="114" spans="2:9" ht="25.5" x14ac:dyDescent="0.2">
      <c r="B114" s="102" t="s">
        <v>112</v>
      </c>
      <c r="C114" s="99" t="s">
        <v>44</v>
      </c>
      <c r="D114" s="99" t="s">
        <v>103</v>
      </c>
      <c r="E114" s="123" t="s">
        <v>404</v>
      </c>
      <c r="F114" s="99" t="s">
        <v>113</v>
      </c>
      <c r="G114" s="323">
        <v>44.1</v>
      </c>
      <c r="H114" s="323"/>
      <c r="I114" s="323">
        <f>G114+H114</f>
        <v>44.1</v>
      </c>
    </row>
    <row r="115" spans="2:9" ht="25.5" x14ac:dyDescent="0.2">
      <c r="B115" s="100" t="s">
        <v>114</v>
      </c>
      <c r="C115" s="99" t="s">
        <v>44</v>
      </c>
      <c r="D115" s="99" t="s">
        <v>103</v>
      </c>
      <c r="E115" s="123" t="s">
        <v>404</v>
      </c>
      <c r="F115" s="99" t="s">
        <v>115</v>
      </c>
      <c r="G115" s="323">
        <v>49.011899999999997</v>
      </c>
      <c r="H115" s="325">
        <v>25</v>
      </c>
      <c r="I115" s="323">
        <f t="shared" ref="I115:I116" si="82">G115+H115</f>
        <v>74.011899999999997</v>
      </c>
    </row>
    <row r="116" spans="2:9" x14ac:dyDescent="0.2">
      <c r="B116" s="210" t="s">
        <v>403</v>
      </c>
      <c r="C116" s="99" t="s">
        <v>44</v>
      </c>
      <c r="D116" s="99" t="s">
        <v>103</v>
      </c>
      <c r="E116" s="127" t="s">
        <v>404</v>
      </c>
      <c r="F116" s="99" t="s">
        <v>402</v>
      </c>
      <c r="G116" s="323">
        <v>10</v>
      </c>
      <c r="H116" s="323">
        <v>-10</v>
      </c>
      <c r="I116" s="323">
        <f t="shared" si="82"/>
        <v>0</v>
      </c>
    </row>
    <row r="117" spans="2:9" x14ac:dyDescent="0.2">
      <c r="B117" s="197" t="s">
        <v>134</v>
      </c>
      <c r="C117" s="99" t="s">
        <v>44</v>
      </c>
      <c r="D117" s="99" t="s">
        <v>103</v>
      </c>
      <c r="E117" s="205" t="s">
        <v>135</v>
      </c>
      <c r="F117" s="99"/>
      <c r="G117" s="323">
        <f>G120+G123+G118</f>
        <v>242.94</v>
      </c>
      <c r="H117" s="323">
        <f>H120+H123+H118</f>
        <v>179.114</v>
      </c>
      <c r="I117" s="323">
        <f>I120+I123+I118</f>
        <v>422.05399999999997</v>
      </c>
    </row>
    <row r="118" spans="2:9" ht="25.5" x14ac:dyDescent="0.2">
      <c r="B118" s="257" t="s">
        <v>394</v>
      </c>
      <c r="C118" s="99" t="s">
        <v>44</v>
      </c>
      <c r="D118" s="99" t="s">
        <v>103</v>
      </c>
      <c r="E118" s="205" t="s">
        <v>463</v>
      </c>
      <c r="F118" s="99"/>
      <c r="G118" s="323">
        <f>G119</f>
        <v>106.44</v>
      </c>
      <c r="H118" s="323">
        <f>H119</f>
        <v>169.114</v>
      </c>
      <c r="I118" s="323">
        <f t="shared" ref="I118" si="83">I119</f>
        <v>275.55399999999997</v>
      </c>
    </row>
    <row r="119" spans="2:9" ht="25.5" x14ac:dyDescent="0.2">
      <c r="B119" s="100" t="s">
        <v>114</v>
      </c>
      <c r="C119" s="99" t="s">
        <v>44</v>
      </c>
      <c r="D119" s="99" t="s">
        <v>103</v>
      </c>
      <c r="E119" s="205" t="s">
        <v>463</v>
      </c>
      <c r="F119" s="99" t="s">
        <v>115</v>
      </c>
      <c r="G119" s="323">
        <v>106.44</v>
      </c>
      <c r="H119" s="325">
        <f>15+34.28+119.834</f>
        <v>169.114</v>
      </c>
      <c r="I119" s="323">
        <f>G119+H119</f>
        <v>275.55399999999997</v>
      </c>
    </row>
    <row r="120" spans="2:9" ht="25.5" x14ac:dyDescent="0.2">
      <c r="B120" s="142" t="s">
        <v>394</v>
      </c>
      <c r="C120" s="99" t="s">
        <v>44</v>
      </c>
      <c r="D120" s="99" t="s">
        <v>103</v>
      </c>
      <c r="E120" s="205" t="s">
        <v>395</v>
      </c>
      <c r="F120" s="99"/>
      <c r="G120" s="323">
        <f>G121+G122</f>
        <v>106.5</v>
      </c>
      <c r="H120" s="323">
        <f t="shared" ref="H120:I120" si="84">H121+H122</f>
        <v>10</v>
      </c>
      <c r="I120" s="323">
        <f t="shared" si="84"/>
        <v>116.5</v>
      </c>
    </row>
    <row r="121" spans="2:9" ht="25.5" x14ac:dyDescent="0.2">
      <c r="B121" s="100" t="s">
        <v>114</v>
      </c>
      <c r="C121" s="99" t="s">
        <v>44</v>
      </c>
      <c r="D121" s="99" t="s">
        <v>103</v>
      </c>
      <c r="E121" s="205" t="s">
        <v>395</v>
      </c>
      <c r="F121" s="99" t="s">
        <v>115</v>
      </c>
      <c r="G121" s="323">
        <v>106.5</v>
      </c>
      <c r="H121" s="325"/>
      <c r="I121" s="323">
        <f>G121+H121</f>
        <v>106.5</v>
      </c>
    </row>
    <row r="122" spans="2:9" x14ac:dyDescent="0.2">
      <c r="B122" s="210" t="s">
        <v>403</v>
      </c>
      <c r="C122" s="99" t="s">
        <v>44</v>
      </c>
      <c r="D122" s="99" t="s">
        <v>103</v>
      </c>
      <c r="E122" s="205" t="s">
        <v>395</v>
      </c>
      <c r="F122" s="99" t="s">
        <v>402</v>
      </c>
      <c r="G122" s="323"/>
      <c r="H122" s="325">
        <v>10</v>
      </c>
      <c r="I122" s="323">
        <f>G122+H122</f>
        <v>10</v>
      </c>
    </row>
    <row r="123" spans="2:9" ht="15" x14ac:dyDescent="0.25">
      <c r="B123" s="322" t="s">
        <v>432</v>
      </c>
      <c r="C123" s="99" t="s">
        <v>44</v>
      </c>
      <c r="D123" s="99" t="s">
        <v>103</v>
      </c>
      <c r="E123" s="205" t="s">
        <v>433</v>
      </c>
      <c r="F123" s="99"/>
      <c r="G123" s="323">
        <f>G124</f>
        <v>30</v>
      </c>
      <c r="H123" s="323">
        <f t="shared" ref="H123:I123" si="85">H124</f>
        <v>0</v>
      </c>
      <c r="I123" s="323">
        <f t="shared" si="85"/>
        <v>30</v>
      </c>
    </row>
    <row r="124" spans="2:9" ht="25.5" x14ac:dyDescent="0.2">
      <c r="B124" s="100" t="s">
        <v>114</v>
      </c>
      <c r="C124" s="99" t="s">
        <v>44</v>
      </c>
      <c r="D124" s="99" t="s">
        <v>103</v>
      </c>
      <c r="E124" s="205" t="s">
        <v>433</v>
      </c>
      <c r="F124" s="99" t="s">
        <v>115</v>
      </c>
      <c r="G124" s="323">
        <v>30</v>
      </c>
      <c r="H124" s="325"/>
      <c r="I124" s="323">
        <f>G124+H124</f>
        <v>30</v>
      </c>
    </row>
    <row r="125" spans="2:9" ht="25.5" x14ac:dyDescent="0.2">
      <c r="B125" s="141" t="s">
        <v>33</v>
      </c>
      <c r="C125" s="99" t="s">
        <v>44</v>
      </c>
      <c r="D125" s="99" t="s">
        <v>156</v>
      </c>
      <c r="E125" s="99"/>
      <c r="F125" s="99"/>
      <c r="G125" s="325">
        <f>G126</f>
        <v>270.3</v>
      </c>
      <c r="H125" s="325">
        <f t="shared" ref="H125:I126" si="86">H126</f>
        <v>-10.3</v>
      </c>
      <c r="I125" s="325">
        <f t="shared" si="86"/>
        <v>260</v>
      </c>
    </row>
    <row r="126" spans="2:9" ht="38.25" x14ac:dyDescent="0.2">
      <c r="B126" s="121" t="s">
        <v>183</v>
      </c>
      <c r="C126" s="99" t="s">
        <v>44</v>
      </c>
      <c r="D126" s="99" t="s">
        <v>156</v>
      </c>
      <c r="E126" s="122" t="s">
        <v>184</v>
      </c>
      <c r="F126" s="99"/>
      <c r="G126" s="325">
        <f>G127</f>
        <v>270.3</v>
      </c>
      <c r="H126" s="325">
        <f t="shared" si="86"/>
        <v>-10.3</v>
      </c>
      <c r="I126" s="325">
        <f t="shared" si="86"/>
        <v>260</v>
      </c>
    </row>
    <row r="127" spans="2:9" ht="38.25" x14ac:dyDescent="0.2">
      <c r="B127" s="121" t="s">
        <v>185</v>
      </c>
      <c r="C127" s="99" t="s">
        <v>44</v>
      </c>
      <c r="D127" s="99" t="s">
        <v>156</v>
      </c>
      <c r="E127" s="122" t="s">
        <v>350</v>
      </c>
      <c r="F127" s="99"/>
      <c r="G127" s="325">
        <f>G130+G135+G132+G128</f>
        <v>270.3</v>
      </c>
      <c r="H127" s="325">
        <f>H130+H135+H132+H128</f>
        <v>-10.3</v>
      </c>
      <c r="I127" s="325">
        <f>I130+I135+I132+I128</f>
        <v>260</v>
      </c>
    </row>
    <row r="128" spans="2:9" ht="38.25" x14ac:dyDescent="0.2">
      <c r="B128" s="4" t="s">
        <v>435</v>
      </c>
      <c r="C128" s="99" t="s">
        <v>44</v>
      </c>
      <c r="D128" s="99" t="s">
        <v>156</v>
      </c>
      <c r="E128" s="99" t="s">
        <v>434</v>
      </c>
      <c r="F128" s="99"/>
      <c r="G128" s="325">
        <f>G129</f>
        <v>19.3</v>
      </c>
      <c r="H128" s="325">
        <f t="shared" ref="H128:I128" si="87">H129</f>
        <v>-10.3</v>
      </c>
      <c r="I128" s="325">
        <f t="shared" si="87"/>
        <v>9</v>
      </c>
    </row>
    <row r="129" spans="2:9" ht="25.5" x14ac:dyDescent="0.2">
      <c r="B129" s="100" t="s">
        <v>114</v>
      </c>
      <c r="C129" s="99" t="s">
        <v>44</v>
      </c>
      <c r="D129" s="99" t="s">
        <v>156</v>
      </c>
      <c r="E129" s="99" t="s">
        <v>434</v>
      </c>
      <c r="F129" s="99" t="s">
        <v>115</v>
      </c>
      <c r="G129" s="325">
        <v>19.3</v>
      </c>
      <c r="H129" s="325">
        <v>-10.3</v>
      </c>
      <c r="I129" s="325">
        <f>G129+H129</f>
        <v>9</v>
      </c>
    </row>
    <row r="130" spans="2:9" ht="63.75" x14ac:dyDescent="0.2">
      <c r="B130" s="121" t="s">
        <v>187</v>
      </c>
      <c r="C130" s="99" t="s">
        <v>44</v>
      </c>
      <c r="D130" s="99" t="s">
        <v>156</v>
      </c>
      <c r="E130" s="123" t="s">
        <v>349</v>
      </c>
      <c r="F130" s="99"/>
      <c r="G130" s="325">
        <f t="shared" ref="G130:I130" si="88">G131</f>
        <v>20</v>
      </c>
      <c r="H130" s="325">
        <f t="shared" si="88"/>
        <v>0</v>
      </c>
      <c r="I130" s="325">
        <f t="shared" si="88"/>
        <v>20</v>
      </c>
    </row>
    <row r="131" spans="2:9" ht="25.5" x14ac:dyDescent="0.2">
      <c r="B131" s="100" t="s">
        <v>114</v>
      </c>
      <c r="C131" s="99" t="s">
        <v>44</v>
      </c>
      <c r="D131" s="99" t="s">
        <v>156</v>
      </c>
      <c r="E131" s="123" t="s">
        <v>349</v>
      </c>
      <c r="F131" s="99" t="s">
        <v>115</v>
      </c>
      <c r="G131" s="323">
        <v>20</v>
      </c>
      <c r="H131" s="323"/>
      <c r="I131" s="323">
        <f t="shared" ref="I131" si="89">G131+H131</f>
        <v>20</v>
      </c>
    </row>
    <row r="132" spans="2:9" ht="38.25" x14ac:dyDescent="0.2">
      <c r="B132" s="124" t="s">
        <v>188</v>
      </c>
      <c r="C132" s="99" t="s">
        <v>44</v>
      </c>
      <c r="D132" s="99" t="s">
        <v>156</v>
      </c>
      <c r="E132" s="123" t="s">
        <v>348</v>
      </c>
      <c r="F132" s="99"/>
      <c r="G132" s="325">
        <f>G134+G133</f>
        <v>216</v>
      </c>
      <c r="H132" s="325">
        <f t="shared" ref="H132:I132" si="90">H134+H133</f>
        <v>0</v>
      </c>
      <c r="I132" s="325">
        <f t="shared" si="90"/>
        <v>216</v>
      </c>
    </row>
    <row r="133" spans="2:9" ht="25.5" x14ac:dyDescent="0.2">
      <c r="B133" s="102" t="s">
        <v>112</v>
      </c>
      <c r="C133" s="99" t="s">
        <v>44</v>
      </c>
      <c r="D133" s="99" t="s">
        <v>156</v>
      </c>
      <c r="E133" s="123" t="s">
        <v>348</v>
      </c>
      <c r="F133" s="99" t="s">
        <v>113</v>
      </c>
      <c r="G133" s="325">
        <v>139.55000000000001</v>
      </c>
      <c r="H133" s="325">
        <v>1</v>
      </c>
      <c r="I133" s="325">
        <f>G133+H133</f>
        <v>140.55000000000001</v>
      </c>
    </row>
    <row r="134" spans="2:9" ht="25.5" x14ac:dyDescent="0.2">
      <c r="B134" s="100" t="s">
        <v>114</v>
      </c>
      <c r="C134" s="99" t="s">
        <v>44</v>
      </c>
      <c r="D134" s="99" t="s">
        <v>156</v>
      </c>
      <c r="E134" s="123" t="s">
        <v>348</v>
      </c>
      <c r="F134" s="99" t="s">
        <v>115</v>
      </c>
      <c r="G134" s="323">
        <v>76.45</v>
      </c>
      <c r="H134" s="325">
        <v>-1</v>
      </c>
      <c r="I134" s="323">
        <f t="shared" ref="I134" si="91">G134+H134</f>
        <v>75.45</v>
      </c>
    </row>
    <row r="135" spans="2:9" ht="51" x14ac:dyDescent="0.2">
      <c r="B135" s="121" t="s">
        <v>189</v>
      </c>
      <c r="C135" s="99" t="s">
        <v>44</v>
      </c>
      <c r="D135" s="99" t="s">
        <v>156</v>
      </c>
      <c r="E135" s="123" t="s">
        <v>347</v>
      </c>
      <c r="F135" s="99"/>
      <c r="G135" s="325">
        <f t="shared" ref="G135:I135" si="92">G136</f>
        <v>15</v>
      </c>
      <c r="H135" s="325">
        <f t="shared" si="92"/>
        <v>0</v>
      </c>
      <c r="I135" s="325">
        <f t="shared" si="92"/>
        <v>15</v>
      </c>
    </row>
    <row r="136" spans="2:9" ht="25.5" x14ac:dyDescent="0.2">
      <c r="B136" s="100" t="s">
        <v>114</v>
      </c>
      <c r="C136" s="99" t="s">
        <v>44</v>
      </c>
      <c r="D136" s="99" t="s">
        <v>156</v>
      </c>
      <c r="E136" s="99" t="s">
        <v>190</v>
      </c>
      <c r="F136" s="99" t="s">
        <v>115</v>
      </c>
      <c r="G136" s="323">
        <v>15</v>
      </c>
      <c r="H136" s="323"/>
      <c r="I136" s="323">
        <f t="shared" ref="I136" si="93">G136+H136</f>
        <v>15</v>
      </c>
    </row>
    <row r="137" spans="2:9" x14ac:dyDescent="0.2">
      <c r="B137" s="104" t="s">
        <v>191</v>
      </c>
      <c r="C137" s="99" t="s">
        <v>45</v>
      </c>
      <c r="D137" s="99"/>
      <c r="E137" s="99"/>
      <c r="F137" s="99"/>
      <c r="G137" s="325">
        <f>G138+G163+G153</f>
        <v>10136.887859999999</v>
      </c>
      <c r="H137" s="325">
        <f>H138+H163+H153</f>
        <v>1458.7237999999998</v>
      </c>
      <c r="I137" s="325">
        <f>I138+I163+I153</f>
        <v>11595.611659999999</v>
      </c>
    </row>
    <row r="138" spans="2:9" x14ac:dyDescent="0.2">
      <c r="B138" s="104" t="s">
        <v>20</v>
      </c>
      <c r="C138" s="99" t="s">
        <v>45</v>
      </c>
      <c r="D138" s="99" t="s">
        <v>46</v>
      </c>
      <c r="E138" s="99"/>
      <c r="F138" s="99"/>
      <c r="G138" s="325">
        <f>G139+G148</f>
        <v>885.8</v>
      </c>
      <c r="H138" s="325">
        <f>H139+H148</f>
        <v>-69.900000000000006</v>
      </c>
      <c r="I138" s="325">
        <f>I139+I148</f>
        <v>815.90000000000009</v>
      </c>
    </row>
    <row r="139" spans="2:9" ht="25.5" x14ac:dyDescent="0.2">
      <c r="B139" s="121" t="s">
        <v>170</v>
      </c>
      <c r="C139" s="99" t="s">
        <v>45</v>
      </c>
      <c r="D139" s="99" t="s">
        <v>46</v>
      </c>
      <c r="E139" s="99" t="s">
        <v>171</v>
      </c>
      <c r="F139" s="99"/>
      <c r="G139" s="325">
        <f>G140</f>
        <v>885.8</v>
      </c>
      <c r="H139" s="325">
        <f>H140</f>
        <v>-69.900000000000006</v>
      </c>
      <c r="I139" s="325">
        <f>I140</f>
        <v>815.90000000000009</v>
      </c>
    </row>
    <row r="140" spans="2:9" ht="38.25" x14ac:dyDescent="0.2">
      <c r="B140" s="121" t="s">
        <v>192</v>
      </c>
      <c r="C140" s="99" t="s">
        <v>45</v>
      </c>
      <c r="D140" s="99" t="s">
        <v>46</v>
      </c>
      <c r="E140" s="99" t="s">
        <v>193</v>
      </c>
      <c r="F140" s="99"/>
      <c r="G140" s="325">
        <f>G141+G143+G145</f>
        <v>885.8</v>
      </c>
      <c r="H140" s="325">
        <f t="shared" ref="H140:I140" si="94">H141+H143+H145</f>
        <v>-69.900000000000006</v>
      </c>
      <c r="I140" s="325">
        <f t="shared" si="94"/>
        <v>815.90000000000009</v>
      </c>
    </row>
    <row r="141" spans="2:9" ht="114.75" x14ac:dyDescent="0.2">
      <c r="B141" s="143" t="s">
        <v>436</v>
      </c>
      <c r="C141" s="99" t="s">
        <v>45</v>
      </c>
      <c r="D141" s="99" t="s">
        <v>46</v>
      </c>
      <c r="E141" s="99" t="s">
        <v>438</v>
      </c>
      <c r="F141" s="99"/>
      <c r="G141" s="325">
        <f>G142</f>
        <v>215.2</v>
      </c>
      <c r="H141" s="325">
        <f t="shared" ref="H141:I141" si="95">H142</f>
        <v>0</v>
      </c>
      <c r="I141" s="325">
        <f t="shared" si="95"/>
        <v>215.2</v>
      </c>
    </row>
    <row r="142" spans="2:9" ht="25.5" x14ac:dyDescent="0.2">
      <c r="B142" s="100" t="s">
        <v>114</v>
      </c>
      <c r="C142" s="99" t="s">
        <v>45</v>
      </c>
      <c r="D142" s="99" t="s">
        <v>46</v>
      </c>
      <c r="E142" s="99" t="s">
        <v>438</v>
      </c>
      <c r="F142" s="99" t="s">
        <v>115</v>
      </c>
      <c r="G142" s="325">
        <v>215.2</v>
      </c>
      <c r="H142" s="325"/>
      <c r="I142" s="323">
        <f t="shared" ref="I142" si="96">G142+H142</f>
        <v>215.2</v>
      </c>
    </row>
    <row r="143" spans="2:9" ht="153" x14ac:dyDescent="0.2">
      <c r="B143" s="4" t="s">
        <v>437</v>
      </c>
      <c r="C143" s="99" t="s">
        <v>45</v>
      </c>
      <c r="D143" s="99" t="s">
        <v>46</v>
      </c>
      <c r="E143" s="99" t="s">
        <v>439</v>
      </c>
      <c r="F143" s="99"/>
      <c r="G143" s="325">
        <f>G144</f>
        <v>500.6</v>
      </c>
      <c r="H143" s="325">
        <f t="shared" ref="H143:I143" si="97">H144</f>
        <v>50.1</v>
      </c>
      <c r="I143" s="325">
        <f t="shared" si="97"/>
        <v>550.70000000000005</v>
      </c>
    </row>
    <row r="144" spans="2:9" ht="25.5" x14ac:dyDescent="0.2">
      <c r="B144" s="100" t="s">
        <v>114</v>
      </c>
      <c r="C144" s="99" t="s">
        <v>45</v>
      </c>
      <c r="D144" s="99" t="s">
        <v>46</v>
      </c>
      <c r="E144" s="99" t="s">
        <v>439</v>
      </c>
      <c r="F144" s="99" t="s">
        <v>115</v>
      </c>
      <c r="G144" s="325">
        <v>500.6</v>
      </c>
      <c r="H144" s="325">
        <v>50.1</v>
      </c>
      <c r="I144" s="323">
        <f t="shared" ref="I144" si="98">G144+H144</f>
        <v>550.70000000000005</v>
      </c>
    </row>
    <row r="145" spans="2:9" ht="38.25" x14ac:dyDescent="0.2">
      <c r="B145" s="231" t="s">
        <v>440</v>
      </c>
      <c r="C145" s="99" t="s">
        <v>45</v>
      </c>
      <c r="D145" s="99" t="s">
        <v>46</v>
      </c>
      <c r="E145" s="99" t="s">
        <v>441</v>
      </c>
      <c r="F145" s="99"/>
      <c r="G145" s="325">
        <f>G147+G146</f>
        <v>170</v>
      </c>
      <c r="H145" s="325">
        <f t="shared" ref="H145:I145" si="99">H147+H146</f>
        <v>-120</v>
      </c>
      <c r="I145" s="325">
        <f t="shared" si="99"/>
        <v>49.999999999999993</v>
      </c>
    </row>
    <row r="146" spans="2:9" ht="25.5" x14ac:dyDescent="0.2">
      <c r="B146" s="102" t="s">
        <v>112</v>
      </c>
      <c r="C146" s="99" t="s">
        <v>45</v>
      </c>
      <c r="D146" s="99" t="s">
        <v>46</v>
      </c>
      <c r="E146" s="99" t="s">
        <v>441</v>
      </c>
      <c r="F146" s="99" t="s">
        <v>113</v>
      </c>
      <c r="G146" s="325"/>
      <c r="H146" s="325">
        <v>10.4</v>
      </c>
      <c r="I146" s="325">
        <f>G146+H146</f>
        <v>10.4</v>
      </c>
    </row>
    <row r="147" spans="2:9" ht="25.5" x14ac:dyDescent="0.2">
      <c r="B147" s="100" t="s">
        <v>114</v>
      </c>
      <c r="C147" s="99" t="s">
        <v>45</v>
      </c>
      <c r="D147" s="99" t="s">
        <v>46</v>
      </c>
      <c r="E147" s="99" t="s">
        <v>441</v>
      </c>
      <c r="F147" s="99" t="s">
        <v>115</v>
      </c>
      <c r="G147" s="325">
        <v>170</v>
      </c>
      <c r="H147" s="325">
        <f>-130.4</f>
        <v>-130.4</v>
      </c>
      <c r="I147" s="323">
        <f t="shared" ref="I147" si="100">G147+H147</f>
        <v>39.599999999999994</v>
      </c>
    </row>
    <row r="148" spans="2:9" hidden="1" x14ac:dyDescent="0.2">
      <c r="B148" s="142" t="s">
        <v>134</v>
      </c>
      <c r="C148" s="99" t="s">
        <v>45</v>
      </c>
      <c r="D148" s="99" t="s">
        <v>46</v>
      </c>
      <c r="E148" s="99" t="s">
        <v>135</v>
      </c>
      <c r="F148" s="99"/>
      <c r="G148" s="325">
        <f>G149+G151</f>
        <v>0</v>
      </c>
      <c r="H148" s="325">
        <f t="shared" ref="H148:I148" si="101">H149+H151</f>
        <v>0</v>
      </c>
      <c r="I148" s="325">
        <f t="shared" si="101"/>
        <v>0</v>
      </c>
    </row>
    <row r="149" spans="2:9" ht="153" hidden="1" x14ac:dyDescent="0.2">
      <c r="B149" s="143" t="s">
        <v>309</v>
      </c>
      <c r="C149" s="99" t="s">
        <v>45</v>
      </c>
      <c r="D149" s="99" t="s">
        <v>46</v>
      </c>
      <c r="E149" s="99" t="s">
        <v>310</v>
      </c>
      <c r="F149" s="99"/>
      <c r="G149" s="325">
        <f>G150</f>
        <v>0</v>
      </c>
      <c r="H149" s="325">
        <f t="shared" ref="H149:I149" si="102">H150</f>
        <v>0</v>
      </c>
      <c r="I149" s="325">
        <f t="shared" si="102"/>
        <v>0</v>
      </c>
    </row>
    <row r="150" spans="2:9" ht="25.5" hidden="1" x14ac:dyDescent="0.2">
      <c r="B150" s="100" t="s">
        <v>114</v>
      </c>
      <c r="C150" s="99" t="s">
        <v>45</v>
      </c>
      <c r="D150" s="99" t="s">
        <v>46</v>
      </c>
      <c r="E150" s="99" t="s">
        <v>310</v>
      </c>
      <c r="F150" s="99" t="s">
        <v>115</v>
      </c>
      <c r="G150" s="325"/>
      <c r="H150" s="323"/>
      <c r="I150" s="323">
        <f t="shared" ref="I150" si="103">G150+H150</f>
        <v>0</v>
      </c>
    </row>
    <row r="151" spans="2:9" ht="114.75" hidden="1" x14ac:dyDescent="0.2">
      <c r="B151" s="143" t="s">
        <v>311</v>
      </c>
      <c r="C151" s="99" t="s">
        <v>45</v>
      </c>
      <c r="D151" s="99" t="s">
        <v>46</v>
      </c>
      <c r="E151" s="99" t="s">
        <v>312</v>
      </c>
      <c r="F151" s="99"/>
      <c r="G151" s="325">
        <f>G152</f>
        <v>0</v>
      </c>
      <c r="H151" s="325">
        <f t="shared" ref="H151:I151" si="104">H152</f>
        <v>0</v>
      </c>
      <c r="I151" s="325">
        <f t="shared" si="104"/>
        <v>0</v>
      </c>
    </row>
    <row r="152" spans="2:9" ht="25.5" hidden="1" x14ac:dyDescent="0.2">
      <c r="B152" s="100" t="s">
        <v>114</v>
      </c>
      <c r="C152" s="99" t="s">
        <v>45</v>
      </c>
      <c r="D152" s="99" t="s">
        <v>46</v>
      </c>
      <c r="E152" s="99" t="s">
        <v>312</v>
      </c>
      <c r="F152" s="99" t="s">
        <v>115</v>
      </c>
      <c r="G152" s="325"/>
      <c r="H152" s="323"/>
      <c r="I152" s="323">
        <f t="shared" ref="I152" si="105">G152+H152</f>
        <v>0</v>
      </c>
    </row>
    <row r="153" spans="2:9" x14ac:dyDescent="0.2">
      <c r="B153" s="100" t="s">
        <v>194</v>
      </c>
      <c r="C153" s="99" t="s">
        <v>45</v>
      </c>
      <c r="D153" s="99" t="s">
        <v>103</v>
      </c>
      <c r="E153" s="99"/>
      <c r="F153" s="99"/>
      <c r="G153" s="323">
        <f>G154+G160</f>
        <v>3230.0571099999997</v>
      </c>
      <c r="H153" s="323">
        <f t="shared" ref="H153:I153" si="106">H154+H160</f>
        <v>460</v>
      </c>
      <c r="I153" s="323">
        <f t="shared" si="106"/>
        <v>3690.0571099999997</v>
      </c>
    </row>
    <row r="154" spans="2:9" ht="38.25" x14ac:dyDescent="0.2">
      <c r="B154" s="124" t="s">
        <v>183</v>
      </c>
      <c r="C154" s="99" t="s">
        <v>45</v>
      </c>
      <c r="D154" s="99" t="s">
        <v>103</v>
      </c>
      <c r="E154" s="99" t="s">
        <v>195</v>
      </c>
      <c r="F154" s="99"/>
      <c r="G154" s="323">
        <f t="shared" ref="G154:I156" si="107">G155</f>
        <v>2843.7</v>
      </c>
      <c r="H154" s="323">
        <f t="shared" si="107"/>
        <v>460</v>
      </c>
      <c r="I154" s="323">
        <f t="shared" si="107"/>
        <v>3303.7</v>
      </c>
    </row>
    <row r="155" spans="2:9" x14ac:dyDescent="0.2">
      <c r="B155" s="124" t="s">
        <v>196</v>
      </c>
      <c r="C155" s="99" t="s">
        <v>45</v>
      </c>
      <c r="D155" s="99" t="s">
        <v>103</v>
      </c>
      <c r="E155" s="99" t="s">
        <v>197</v>
      </c>
      <c r="F155" s="99"/>
      <c r="G155" s="323">
        <f>G156</f>
        <v>2843.7</v>
      </c>
      <c r="H155" s="323">
        <f t="shared" si="107"/>
        <v>460</v>
      </c>
      <c r="I155" s="323">
        <f t="shared" si="107"/>
        <v>3303.7</v>
      </c>
    </row>
    <row r="156" spans="2:9" ht="38.25" x14ac:dyDescent="0.2">
      <c r="B156" s="124" t="s">
        <v>198</v>
      </c>
      <c r="C156" s="99" t="s">
        <v>45</v>
      </c>
      <c r="D156" s="99" t="s">
        <v>103</v>
      </c>
      <c r="E156" s="99" t="s">
        <v>199</v>
      </c>
      <c r="F156" s="99"/>
      <c r="G156" s="323">
        <f>G157</f>
        <v>2843.7</v>
      </c>
      <c r="H156" s="323">
        <f t="shared" si="107"/>
        <v>460</v>
      </c>
      <c r="I156" s="323">
        <f t="shared" si="107"/>
        <v>3303.7</v>
      </c>
    </row>
    <row r="157" spans="2:9" ht="25.5" x14ac:dyDescent="0.25">
      <c r="B157" s="129" t="s">
        <v>313</v>
      </c>
      <c r="C157" s="144" t="s">
        <v>45</v>
      </c>
      <c r="D157" s="144" t="s">
        <v>103</v>
      </c>
      <c r="E157" s="144" t="s">
        <v>314</v>
      </c>
      <c r="F157" s="144"/>
      <c r="G157" s="323">
        <f>G158+G159</f>
        <v>2843.7</v>
      </c>
      <c r="H157" s="323">
        <f t="shared" ref="H157:I157" si="108">H158+H159</f>
        <v>460</v>
      </c>
      <c r="I157" s="323">
        <f t="shared" si="108"/>
        <v>3303.7</v>
      </c>
    </row>
    <row r="158" spans="2:9" ht="26.25" x14ac:dyDescent="0.25">
      <c r="B158" s="100" t="s">
        <v>114</v>
      </c>
      <c r="C158" s="99" t="s">
        <v>45</v>
      </c>
      <c r="D158" s="99" t="s">
        <v>103</v>
      </c>
      <c r="E158" s="144" t="s">
        <v>314</v>
      </c>
      <c r="F158" s="99" t="s">
        <v>115</v>
      </c>
      <c r="G158" s="323">
        <v>2843.7</v>
      </c>
      <c r="H158" s="325">
        <f>460-285-15</f>
        <v>160</v>
      </c>
      <c r="I158" s="323">
        <f t="shared" ref="I158" si="109">G158+H158</f>
        <v>3003.7</v>
      </c>
    </row>
    <row r="159" spans="2:9" ht="15" x14ac:dyDescent="0.25">
      <c r="B159" s="210" t="s">
        <v>403</v>
      </c>
      <c r="C159" s="99" t="s">
        <v>45</v>
      </c>
      <c r="D159" s="99" t="s">
        <v>103</v>
      </c>
      <c r="E159" s="144" t="s">
        <v>314</v>
      </c>
      <c r="F159" s="99" t="s">
        <v>402</v>
      </c>
      <c r="G159" s="323"/>
      <c r="H159" s="323">
        <v>300</v>
      </c>
      <c r="I159" s="323">
        <f>G159+H159</f>
        <v>300</v>
      </c>
    </row>
    <row r="160" spans="2:9" x14ac:dyDescent="0.2">
      <c r="B160" s="197" t="s">
        <v>134</v>
      </c>
      <c r="C160" s="99" t="s">
        <v>45</v>
      </c>
      <c r="D160" s="99" t="s">
        <v>103</v>
      </c>
      <c r="E160" s="99" t="s">
        <v>135</v>
      </c>
      <c r="F160" s="99"/>
      <c r="G160" s="323">
        <f>G161</f>
        <v>386.35710999999998</v>
      </c>
      <c r="H160" s="323">
        <f t="shared" ref="H160:I161" si="110">H161</f>
        <v>0</v>
      </c>
      <c r="I160" s="323">
        <f t="shared" si="110"/>
        <v>386.35710999999998</v>
      </c>
    </row>
    <row r="161" spans="2:9" ht="63.75" x14ac:dyDescent="0.2">
      <c r="B161" s="235" t="s">
        <v>464</v>
      </c>
      <c r="C161" s="99" t="s">
        <v>45</v>
      </c>
      <c r="D161" s="99" t="s">
        <v>103</v>
      </c>
      <c r="E161" s="99" t="s">
        <v>465</v>
      </c>
      <c r="F161" s="99"/>
      <c r="G161" s="323">
        <f>G162</f>
        <v>386.35710999999998</v>
      </c>
      <c r="H161" s="323">
        <f t="shared" si="110"/>
        <v>0</v>
      </c>
      <c r="I161" s="323">
        <f t="shared" si="110"/>
        <v>386.35710999999998</v>
      </c>
    </row>
    <row r="162" spans="2:9" x14ac:dyDescent="0.2">
      <c r="B162" s="210" t="s">
        <v>403</v>
      </c>
      <c r="C162" s="99" t="s">
        <v>45</v>
      </c>
      <c r="D162" s="99" t="s">
        <v>103</v>
      </c>
      <c r="E162" s="99" t="s">
        <v>465</v>
      </c>
      <c r="F162" s="99" t="s">
        <v>402</v>
      </c>
      <c r="G162" s="323">
        <v>386.35710999999998</v>
      </c>
      <c r="H162" s="323"/>
      <c r="I162" s="323">
        <f>G162+H162</f>
        <v>386.35710999999998</v>
      </c>
    </row>
    <row r="163" spans="2:9" x14ac:dyDescent="0.2">
      <c r="B163" s="104" t="s">
        <v>200</v>
      </c>
      <c r="C163" s="99" t="s">
        <v>45</v>
      </c>
      <c r="D163" s="99" t="s">
        <v>201</v>
      </c>
      <c r="E163" s="99"/>
      <c r="F163" s="99"/>
      <c r="G163" s="325">
        <f>G164+G172+G180+G185</f>
        <v>6021.0307499999999</v>
      </c>
      <c r="H163" s="325">
        <f t="shared" ref="H163:I163" si="111">H164+H172+H180+H185</f>
        <v>1068.6237999999998</v>
      </c>
      <c r="I163" s="325">
        <f t="shared" si="111"/>
        <v>7089.6545499999993</v>
      </c>
    </row>
    <row r="164" spans="2:9" ht="25.5" x14ac:dyDescent="0.2">
      <c r="B164" s="121" t="s">
        <v>170</v>
      </c>
      <c r="C164" s="99" t="s">
        <v>45</v>
      </c>
      <c r="D164" s="99" t="s">
        <v>201</v>
      </c>
      <c r="E164" s="99" t="s">
        <v>171</v>
      </c>
      <c r="F164" s="99"/>
      <c r="G164" s="325">
        <f>G165</f>
        <v>1410.056</v>
      </c>
      <c r="H164" s="325">
        <f t="shared" ref="H164:I164" si="112">H165</f>
        <v>1102.8311799999999</v>
      </c>
      <c r="I164" s="325">
        <f t="shared" si="112"/>
        <v>2512.8871799999997</v>
      </c>
    </row>
    <row r="165" spans="2:9" ht="38.25" x14ac:dyDescent="0.2">
      <c r="B165" s="128" t="s">
        <v>315</v>
      </c>
      <c r="C165" s="99" t="s">
        <v>45</v>
      </c>
      <c r="D165" s="99" t="s">
        <v>201</v>
      </c>
      <c r="E165" s="99" t="s">
        <v>316</v>
      </c>
      <c r="F165" s="99"/>
      <c r="G165" s="325">
        <f>G166+G170</f>
        <v>1410.056</v>
      </c>
      <c r="H165" s="325">
        <f t="shared" ref="H165:I165" si="113">H166+H170</f>
        <v>1102.8311799999999</v>
      </c>
      <c r="I165" s="325">
        <f t="shared" si="113"/>
        <v>2512.8871799999997</v>
      </c>
    </row>
    <row r="166" spans="2:9" ht="25.5" x14ac:dyDescent="0.2">
      <c r="B166" s="121" t="s">
        <v>202</v>
      </c>
      <c r="C166" s="99" t="s">
        <v>45</v>
      </c>
      <c r="D166" s="99" t="s">
        <v>201</v>
      </c>
      <c r="E166" s="99" t="s">
        <v>203</v>
      </c>
      <c r="F166" s="99"/>
      <c r="G166" s="325">
        <f>SUM(G167:G169)</f>
        <v>1410.056</v>
      </c>
      <c r="H166" s="325">
        <f t="shared" ref="H166:I166" si="114">SUM(H167:H169)</f>
        <v>-197.16882000000001</v>
      </c>
      <c r="I166" s="325">
        <f t="shared" si="114"/>
        <v>1212.8871799999999</v>
      </c>
    </row>
    <row r="167" spans="2:9" ht="25.5" x14ac:dyDescent="0.2">
      <c r="B167" s="100" t="s">
        <v>114</v>
      </c>
      <c r="C167" s="99" t="s">
        <v>45</v>
      </c>
      <c r="D167" s="99" t="s">
        <v>201</v>
      </c>
      <c r="E167" s="99" t="s">
        <v>203</v>
      </c>
      <c r="F167" s="99" t="s">
        <v>115</v>
      </c>
      <c r="G167" s="325">
        <v>276.00099999999998</v>
      </c>
      <c r="H167" s="325">
        <f>-197.16882-1.301</f>
        <v>-198.46982</v>
      </c>
      <c r="I167" s="323">
        <f t="shared" ref="I167" si="115">G167+H167</f>
        <v>77.531179999999978</v>
      </c>
    </row>
    <row r="168" spans="2:9" ht="38.25" hidden="1" x14ac:dyDescent="0.2">
      <c r="B168" s="100" t="s">
        <v>204</v>
      </c>
      <c r="C168" s="99" t="s">
        <v>45</v>
      </c>
      <c r="D168" s="99" t="s">
        <v>201</v>
      </c>
      <c r="E168" s="99" t="s">
        <v>203</v>
      </c>
      <c r="F168" s="99" t="s">
        <v>205</v>
      </c>
      <c r="G168" s="325">
        <v>0</v>
      </c>
      <c r="H168" s="323"/>
      <c r="I168" s="323">
        <f t="shared" ref="I168" si="116">G168+H168</f>
        <v>0</v>
      </c>
    </row>
    <row r="169" spans="2:9" ht="38.25" x14ac:dyDescent="0.2">
      <c r="B169" s="104" t="s">
        <v>206</v>
      </c>
      <c r="C169" s="99" t="s">
        <v>45</v>
      </c>
      <c r="D169" s="99" t="s">
        <v>201</v>
      </c>
      <c r="E169" s="99" t="s">
        <v>203</v>
      </c>
      <c r="F169" s="99" t="s">
        <v>207</v>
      </c>
      <c r="G169" s="325">
        <v>1134.0550000000001</v>
      </c>
      <c r="H169" s="323">
        <f>1.301</f>
        <v>1.3009999999999999</v>
      </c>
      <c r="I169" s="323">
        <f t="shared" ref="I169" si="117">G169+H169</f>
        <v>1135.356</v>
      </c>
    </row>
    <row r="170" spans="2:9" ht="25.5" x14ac:dyDescent="0.2">
      <c r="B170" s="102" t="s">
        <v>548</v>
      </c>
      <c r="C170" s="99" t="s">
        <v>45</v>
      </c>
      <c r="D170" s="99" t="s">
        <v>201</v>
      </c>
      <c r="E170" s="99" t="s">
        <v>549</v>
      </c>
      <c r="F170" s="99"/>
      <c r="G170" s="323">
        <f>G171</f>
        <v>0</v>
      </c>
      <c r="H170" s="323">
        <f>H171</f>
        <v>1300</v>
      </c>
      <c r="I170" s="323">
        <f>I171</f>
        <v>1300</v>
      </c>
    </row>
    <row r="171" spans="2:9" ht="38.25" x14ac:dyDescent="0.2">
      <c r="B171" s="104" t="s">
        <v>206</v>
      </c>
      <c r="C171" s="99" t="s">
        <v>45</v>
      </c>
      <c r="D171" s="99" t="s">
        <v>201</v>
      </c>
      <c r="E171" s="99" t="s">
        <v>549</v>
      </c>
      <c r="F171" s="99" t="s">
        <v>207</v>
      </c>
      <c r="G171" s="325"/>
      <c r="H171" s="325">
        <v>1300</v>
      </c>
      <c r="I171" s="325">
        <f>G171+H171</f>
        <v>1300</v>
      </c>
    </row>
    <row r="172" spans="2:9" ht="38.25" x14ac:dyDescent="0.2">
      <c r="B172" s="121" t="s">
        <v>128</v>
      </c>
      <c r="C172" s="99" t="s">
        <v>45</v>
      </c>
      <c r="D172" s="99" t="s">
        <v>201</v>
      </c>
      <c r="E172" s="99" t="s">
        <v>129</v>
      </c>
      <c r="F172" s="99"/>
      <c r="G172" s="325">
        <f t="shared" ref="G172:I172" si="118">G173</f>
        <v>3196.4847500000001</v>
      </c>
      <c r="H172" s="325">
        <f t="shared" si="118"/>
        <v>-34.207379999999993</v>
      </c>
      <c r="I172" s="325">
        <f t="shared" si="118"/>
        <v>3162.2773700000002</v>
      </c>
    </row>
    <row r="173" spans="2:9" ht="51" x14ac:dyDescent="0.2">
      <c r="B173" s="121" t="s">
        <v>208</v>
      </c>
      <c r="C173" s="99" t="s">
        <v>45</v>
      </c>
      <c r="D173" s="99" t="s">
        <v>201</v>
      </c>
      <c r="E173" s="99" t="s">
        <v>209</v>
      </c>
      <c r="F173" s="99"/>
      <c r="G173" s="325">
        <f t="shared" ref="G173" si="119">G174+G178</f>
        <v>3196.4847500000001</v>
      </c>
      <c r="H173" s="325">
        <f t="shared" ref="H173:I173" si="120">H174+H178</f>
        <v>-34.207379999999993</v>
      </c>
      <c r="I173" s="325">
        <f t="shared" si="120"/>
        <v>3162.2773700000002</v>
      </c>
    </row>
    <row r="174" spans="2:9" ht="51" x14ac:dyDescent="0.2">
      <c r="B174" s="121" t="s">
        <v>210</v>
      </c>
      <c r="C174" s="99" t="s">
        <v>45</v>
      </c>
      <c r="D174" s="99" t="s">
        <v>201</v>
      </c>
      <c r="E174" s="99" t="s">
        <v>211</v>
      </c>
      <c r="F174" s="99"/>
      <c r="G174" s="325">
        <f>G175+G176+G177</f>
        <v>3099.4847500000001</v>
      </c>
      <c r="H174" s="325">
        <f t="shared" ref="H174:I174" si="121">H175+H176+H177</f>
        <v>62.768820000000012</v>
      </c>
      <c r="I174" s="325">
        <f t="shared" si="121"/>
        <v>3162.2535700000003</v>
      </c>
    </row>
    <row r="175" spans="2:9" ht="25.5" x14ac:dyDescent="0.2">
      <c r="B175" s="100" t="s">
        <v>114</v>
      </c>
      <c r="C175" s="99" t="s">
        <v>45</v>
      </c>
      <c r="D175" s="99" t="s">
        <v>201</v>
      </c>
      <c r="E175" s="99" t="s">
        <v>211</v>
      </c>
      <c r="F175" s="99" t="s">
        <v>115</v>
      </c>
      <c r="G175" s="325">
        <v>2559.7047499999999</v>
      </c>
      <c r="H175" s="325">
        <f>-100+197.16882-34.4</f>
        <v>62.768820000000012</v>
      </c>
      <c r="I175" s="323">
        <f t="shared" ref="I175" si="122">G175+H175</f>
        <v>2622.4735700000001</v>
      </c>
    </row>
    <row r="176" spans="2:9" ht="38.25" x14ac:dyDescent="0.2">
      <c r="B176" s="216" t="s">
        <v>116</v>
      </c>
      <c r="C176" s="99" t="s">
        <v>45</v>
      </c>
      <c r="D176" s="99" t="s">
        <v>201</v>
      </c>
      <c r="E176" s="99" t="s">
        <v>211</v>
      </c>
      <c r="F176" s="99" t="s">
        <v>117</v>
      </c>
      <c r="G176" s="325">
        <v>520.88</v>
      </c>
      <c r="H176" s="323"/>
      <c r="I176" s="323">
        <f>G176+H176</f>
        <v>520.88</v>
      </c>
    </row>
    <row r="177" spans="2:9" x14ac:dyDescent="0.2">
      <c r="B177" s="216" t="s">
        <v>118</v>
      </c>
      <c r="C177" s="99" t="s">
        <v>45</v>
      </c>
      <c r="D177" s="99" t="s">
        <v>201</v>
      </c>
      <c r="E177" s="99" t="s">
        <v>211</v>
      </c>
      <c r="F177" s="99" t="s">
        <v>119</v>
      </c>
      <c r="G177" s="325">
        <v>18.899999999999999</v>
      </c>
      <c r="H177" s="323"/>
      <c r="I177" s="323">
        <f>G177+H177</f>
        <v>18.899999999999999</v>
      </c>
    </row>
    <row r="178" spans="2:9" ht="38.25" x14ac:dyDescent="0.2">
      <c r="B178" s="121" t="s">
        <v>212</v>
      </c>
      <c r="C178" s="99" t="s">
        <v>45</v>
      </c>
      <c r="D178" s="99" t="s">
        <v>201</v>
      </c>
      <c r="E178" s="99" t="s">
        <v>213</v>
      </c>
      <c r="F178" s="99"/>
      <c r="G178" s="325">
        <f t="shared" ref="G178:I178" si="123">G179</f>
        <v>97</v>
      </c>
      <c r="H178" s="325">
        <f t="shared" si="123"/>
        <v>-96.976200000000006</v>
      </c>
      <c r="I178" s="325">
        <f t="shared" si="123"/>
        <v>2.379999999999427E-2</v>
      </c>
    </row>
    <row r="179" spans="2:9" ht="25.5" x14ac:dyDescent="0.2">
      <c r="B179" s="100" t="s">
        <v>114</v>
      </c>
      <c r="C179" s="99" t="s">
        <v>45</v>
      </c>
      <c r="D179" s="99" t="s">
        <v>201</v>
      </c>
      <c r="E179" s="99" t="s">
        <v>213</v>
      </c>
      <c r="F179" s="99" t="s">
        <v>115</v>
      </c>
      <c r="G179" s="325">
        <v>97</v>
      </c>
      <c r="H179" s="325">
        <f>-87.2-9.7762</f>
        <v>-96.976200000000006</v>
      </c>
      <c r="I179" s="323">
        <f t="shared" ref="I179" si="124">G179+H179</f>
        <v>2.379999999999427E-2</v>
      </c>
    </row>
    <row r="180" spans="2:9" ht="38.25" x14ac:dyDescent="0.2">
      <c r="B180" s="121" t="s">
        <v>183</v>
      </c>
      <c r="C180" s="99" t="s">
        <v>45</v>
      </c>
      <c r="D180" s="99" t="s">
        <v>201</v>
      </c>
      <c r="E180" s="99" t="s">
        <v>195</v>
      </c>
      <c r="F180" s="99"/>
      <c r="G180" s="325">
        <f t="shared" ref="G180:I181" si="125">G181</f>
        <v>1316.49</v>
      </c>
      <c r="H180" s="325">
        <f t="shared" si="125"/>
        <v>0</v>
      </c>
      <c r="I180" s="325">
        <f t="shared" si="125"/>
        <v>1316.49</v>
      </c>
    </row>
    <row r="181" spans="2:9" x14ac:dyDescent="0.2">
      <c r="B181" s="121" t="s">
        <v>196</v>
      </c>
      <c r="C181" s="99" t="s">
        <v>45</v>
      </c>
      <c r="D181" s="99" t="s">
        <v>201</v>
      </c>
      <c r="E181" s="99" t="s">
        <v>197</v>
      </c>
      <c r="F181" s="99"/>
      <c r="G181" s="325">
        <f t="shared" si="125"/>
        <v>1316.49</v>
      </c>
      <c r="H181" s="325">
        <f t="shared" si="125"/>
        <v>0</v>
      </c>
      <c r="I181" s="325">
        <f t="shared" si="125"/>
        <v>1316.49</v>
      </c>
    </row>
    <row r="182" spans="2:9" ht="25.5" x14ac:dyDescent="0.2">
      <c r="B182" s="198" t="s">
        <v>387</v>
      </c>
      <c r="C182" s="99" t="s">
        <v>45</v>
      </c>
      <c r="D182" s="99" t="s">
        <v>201</v>
      </c>
      <c r="E182" s="99" t="s">
        <v>298</v>
      </c>
      <c r="F182" s="99"/>
      <c r="G182" s="325">
        <f>G183+G184</f>
        <v>1316.49</v>
      </c>
      <c r="H182" s="325">
        <f t="shared" ref="H182:I182" si="126">H183+H184</f>
        <v>0</v>
      </c>
      <c r="I182" s="325">
        <f t="shared" si="126"/>
        <v>1316.49</v>
      </c>
    </row>
    <row r="183" spans="2:9" ht="38.25" x14ac:dyDescent="0.2">
      <c r="B183" s="100" t="s">
        <v>386</v>
      </c>
      <c r="C183" s="99" t="s">
        <v>45</v>
      </c>
      <c r="D183" s="99" t="s">
        <v>201</v>
      </c>
      <c r="E183" s="99" t="s">
        <v>298</v>
      </c>
      <c r="F183" s="99" t="s">
        <v>83</v>
      </c>
      <c r="G183" s="325">
        <v>1316.49</v>
      </c>
      <c r="H183" s="323"/>
      <c r="I183" s="323">
        <f t="shared" ref="I183" si="127">G183+H183</f>
        <v>1316.49</v>
      </c>
    </row>
    <row r="184" spans="2:9" ht="38.25" hidden="1" x14ac:dyDescent="0.2">
      <c r="B184" s="104" t="s">
        <v>214</v>
      </c>
      <c r="C184" s="99" t="s">
        <v>45</v>
      </c>
      <c r="D184" s="99" t="s">
        <v>201</v>
      </c>
      <c r="E184" s="99" t="s">
        <v>298</v>
      </c>
      <c r="F184" s="99" t="s">
        <v>215</v>
      </c>
      <c r="G184" s="325">
        <v>0</v>
      </c>
      <c r="H184" s="323"/>
      <c r="I184" s="323">
        <f>G184+H184</f>
        <v>0</v>
      </c>
    </row>
    <row r="185" spans="2:9" x14ac:dyDescent="0.2">
      <c r="B185" s="197" t="s">
        <v>134</v>
      </c>
      <c r="C185" s="99" t="s">
        <v>45</v>
      </c>
      <c r="D185" s="99" t="s">
        <v>201</v>
      </c>
      <c r="E185" s="99" t="s">
        <v>135</v>
      </c>
      <c r="F185" s="99"/>
      <c r="G185" s="325">
        <f>G186+G188</f>
        <v>98</v>
      </c>
      <c r="H185" s="325">
        <f t="shared" ref="H185:I185" si="128">H186+H188</f>
        <v>0</v>
      </c>
      <c r="I185" s="325">
        <f t="shared" si="128"/>
        <v>98</v>
      </c>
    </row>
    <row r="186" spans="2:9" ht="25.5" x14ac:dyDescent="0.2">
      <c r="B186" s="210" t="s">
        <v>417</v>
      </c>
      <c r="C186" s="99" t="s">
        <v>45</v>
      </c>
      <c r="D186" s="99" t="s">
        <v>201</v>
      </c>
      <c r="E186" s="99" t="s">
        <v>415</v>
      </c>
      <c r="F186" s="99"/>
      <c r="G186" s="325">
        <f>G187</f>
        <v>68</v>
      </c>
      <c r="H186" s="325">
        <f t="shared" ref="H186:I188" si="129">H187</f>
        <v>0</v>
      </c>
      <c r="I186" s="325">
        <f t="shared" si="129"/>
        <v>68</v>
      </c>
    </row>
    <row r="187" spans="2:9" x14ac:dyDescent="0.2">
      <c r="B187" s="210" t="s">
        <v>403</v>
      </c>
      <c r="C187" s="99" t="s">
        <v>45</v>
      </c>
      <c r="D187" s="99" t="s">
        <v>201</v>
      </c>
      <c r="E187" s="99" t="s">
        <v>415</v>
      </c>
      <c r="F187" s="99" t="s">
        <v>402</v>
      </c>
      <c r="G187" s="325">
        <v>68</v>
      </c>
      <c r="H187" s="323"/>
      <c r="I187" s="323">
        <f>G187+H187</f>
        <v>68</v>
      </c>
    </row>
    <row r="188" spans="2:9" ht="25.5" x14ac:dyDescent="0.2">
      <c r="B188" s="237" t="s">
        <v>442</v>
      </c>
      <c r="C188" s="99" t="s">
        <v>45</v>
      </c>
      <c r="D188" s="99" t="s">
        <v>201</v>
      </c>
      <c r="E188" s="99" t="s">
        <v>443</v>
      </c>
      <c r="F188" s="99"/>
      <c r="G188" s="325">
        <f>G189</f>
        <v>30</v>
      </c>
      <c r="H188" s="325">
        <f t="shared" si="129"/>
        <v>0</v>
      </c>
      <c r="I188" s="325">
        <f t="shared" si="129"/>
        <v>30</v>
      </c>
    </row>
    <row r="189" spans="2:9" ht="51" x14ac:dyDescent="0.2">
      <c r="B189" s="100" t="s">
        <v>431</v>
      </c>
      <c r="C189" s="99" t="s">
        <v>45</v>
      </c>
      <c r="D189" s="99" t="s">
        <v>201</v>
      </c>
      <c r="E189" s="99" t="s">
        <v>443</v>
      </c>
      <c r="F189" s="99" t="s">
        <v>430</v>
      </c>
      <c r="G189" s="325">
        <v>30</v>
      </c>
      <c r="H189" s="323"/>
      <c r="I189" s="323">
        <f>G189+H189</f>
        <v>30</v>
      </c>
    </row>
    <row r="190" spans="2:9" x14ac:dyDescent="0.2">
      <c r="B190" s="104" t="s">
        <v>216</v>
      </c>
      <c r="C190" s="99" t="s">
        <v>46</v>
      </c>
      <c r="D190" s="99"/>
      <c r="E190" s="99"/>
      <c r="F190" s="99"/>
      <c r="G190" s="323">
        <f>G192+G220+G191</f>
        <v>11703.48043</v>
      </c>
      <c r="H190" s="323">
        <f>H192+H220+H191</f>
        <v>34.776200000000017</v>
      </c>
      <c r="I190" s="323">
        <f>I192+I220+I191</f>
        <v>11738.25663</v>
      </c>
    </row>
    <row r="191" spans="2:9" x14ac:dyDescent="0.2">
      <c r="B191" s="104" t="s">
        <v>19</v>
      </c>
      <c r="C191" s="99" t="s">
        <v>46</v>
      </c>
      <c r="D191" s="99" t="s">
        <v>42</v>
      </c>
      <c r="E191" s="99"/>
      <c r="F191" s="99"/>
      <c r="G191" s="323"/>
      <c r="H191" s="323"/>
      <c r="I191" s="323"/>
    </row>
    <row r="192" spans="2:9" x14ac:dyDescent="0.2">
      <c r="B192" s="104" t="s">
        <v>18</v>
      </c>
      <c r="C192" s="99" t="s">
        <v>46</v>
      </c>
      <c r="D192" s="99" t="s">
        <v>43</v>
      </c>
      <c r="E192" s="99"/>
      <c r="F192" s="99"/>
      <c r="G192" s="325">
        <f>G193+G198</f>
        <v>8767.4345400000002</v>
      </c>
      <c r="H192" s="325">
        <f>H193+H198</f>
        <v>129.77620000000002</v>
      </c>
      <c r="I192" s="325">
        <f>I193+I198</f>
        <v>8897.2107400000004</v>
      </c>
    </row>
    <row r="193" spans="1:10" ht="25.5" hidden="1" x14ac:dyDescent="0.2">
      <c r="B193" s="121" t="s">
        <v>170</v>
      </c>
      <c r="C193" s="99" t="s">
        <v>46</v>
      </c>
      <c r="D193" s="99" t="s">
        <v>43</v>
      </c>
      <c r="E193" s="99" t="s">
        <v>171</v>
      </c>
      <c r="F193" s="99"/>
      <c r="G193" s="325">
        <f t="shared" ref="G193:I193" si="130">G194</f>
        <v>0</v>
      </c>
      <c r="H193" s="325">
        <f t="shared" si="130"/>
        <v>0</v>
      </c>
      <c r="I193" s="325">
        <f t="shared" si="130"/>
        <v>0</v>
      </c>
    </row>
    <row r="194" spans="1:10" ht="38.25" hidden="1" x14ac:dyDescent="0.2">
      <c r="B194" s="121" t="s">
        <v>192</v>
      </c>
      <c r="C194" s="99" t="s">
        <v>46</v>
      </c>
      <c r="D194" s="99" t="s">
        <v>43</v>
      </c>
      <c r="E194" s="122" t="s">
        <v>193</v>
      </c>
      <c r="F194" s="99"/>
      <c r="G194" s="325">
        <f>G195</f>
        <v>0</v>
      </c>
      <c r="H194" s="325">
        <f>H195</f>
        <v>0</v>
      </c>
      <c r="I194" s="325">
        <f>I195</f>
        <v>0</v>
      </c>
    </row>
    <row r="195" spans="1:10" ht="38.25" hidden="1" x14ac:dyDescent="0.2">
      <c r="B195" s="121" t="s">
        <v>217</v>
      </c>
      <c r="C195" s="99" t="s">
        <v>46</v>
      </c>
      <c r="D195" s="99" t="s">
        <v>43</v>
      </c>
      <c r="E195" s="122" t="s">
        <v>218</v>
      </c>
      <c r="F195" s="99"/>
      <c r="G195" s="325">
        <f t="shared" ref="G195" si="131">SUM(G196:G197)</f>
        <v>0</v>
      </c>
      <c r="H195" s="325">
        <f t="shared" ref="H195:I195" si="132">SUM(H196:H197)</f>
        <v>0</v>
      </c>
      <c r="I195" s="325">
        <f t="shared" si="132"/>
        <v>0</v>
      </c>
    </row>
    <row r="196" spans="1:10" ht="25.5" hidden="1" x14ac:dyDescent="0.2">
      <c r="B196" s="100" t="s">
        <v>114</v>
      </c>
      <c r="C196" s="99" t="s">
        <v>46</v>
      </c>
      <c r="D196" s="99" t="s">
        <v>43</v>
      </c>
      <c r="E196" s="99" t="s">
        <v>218</v>
      </c>
      <c r="F196" s="99" t="s">
        <v>115</v>
      </c>
      <c r="G196" s="325">
        <v>0</v>
      </c>
      <c r="H196" s="323"/>
      <c r="I196" s="323">
        <f t="shared" ref="I196" si="133">G196+H196</f>
        <v>0</v>
      </c>
    </row>
    <row r="197" spans="1:10" ht="38.25" hidden="1" x14ac:dyDescent="0.2">
      <c r="B197" s="100" t="s">
        <v>204</v>
      </c>
      <c r="C197" s="99" t="s">
        <v>46</v>
      </c>
      <c r="D197" s="99" t="s">
        <v>43</v>
      </c>
      <c r="E197" s="99" t="s">
        <v>218</v>
      </c>
      <c r="F197" s="99" t="s">
        <v>205</v>
      </c>
      <c r="G197" s="325">
        <v>0</v>
      </c>
      <c r="H197" s="323"/>
      <c r="I197" s="323">
        <f t="shared" ref="I197" si="134">G197+H197</f>
        <v>0</v>
      </c>
    </row>
    <row r="198" spans="1:10" ht="38.25" x14ac:dyDescent="0.2">
      <c r="B198" s="121" t="s">
        <v>183</v>
      </c>
      <c r="C198" s="99" t="s">
        <v>46</v>
      </c>
      <c r="D198" s="99" t="s">
        <v>43</v>
      </c>
      <c r="E198" s="99" t="s">
        <v>195</v>
      </c>
      <c r="F198" s="99"/>
      <c r="G198" s="325">
        <f>G199</f>
        <v>8767.4345400000002</v>
      </c>
      <c r="H198" s="325">
        <f t="shared" ref="H198:I198" si="135">H199</f>
        <v>129.77620000000002</v>
      </c>
      <c r="I198" s="325">
        <f t="shared" si="135"/>
        <v>8897.2107400000004</v>
      </c>
    </row>
    <row r="199" spans="1:10" x14ac:dyDescent="0.2">
      <c r="B199" s="121" t="s">
        <v>196</v>
      </c>
      <c r="C199" s="99" t="s">
        <v>46</v>
      </c>
      <c r="D199" s="99" t="s">
        <v>43</v>
      </c>
      <c r="E199" s="99" t="s">
        <v>197</v>
      </c>
      <c r="F199" s="99"/>
      <c r="G199" s="325">
        <f>G202+G204+G206+G210+G214+G218+G200</f>
        <v>8767.4345400000002</v>
      </c>
      <c r="H199" s="325">
        <f t="shared" ref="H199:I199" si="136">H202+H204+H206+H210+H214+H218+H200</f>
        <v>129.77620000000002</v>
      </c>
      <c r="I199" s="325">
        <f t="shared" si="136"/>
        <v>8897.2107400000004</v>
      </c>
    </row>
    <row r="200" spans="1:10" ht="38.25" x14ac:dyDescent="0.2">
      <c r="B200" s="256" t="s">
        <v>499</v>
      </c>
      <c r="C200" s="99" t="s">
        <v>46</v>
      </c>
      <c r="D200" s="99" t="s">
        <v>43</v>
      </c>
      <c r="E200" s="99" t="s">
        <v>500</v>
      </c>
      <c r="F200" s="99"/>
      <c r="G200" s="325">
        <f>G201</f>
        <v>2964</v>
      </c>
      <c r="H200" s="325">
        <f t="shared" ref="H200:I200" si="137">H201</f>
        <v>0</v>
      </c>
      <c r="I200" s="325">
        <f t="shared" si="137"/>
        <v>2964</v>
      </c>
    </row>
    <row r="201" spans="1:10" ht="38.25" x14ac:dyDescent="0.2">
      <c r="B201" s="100" t="s">
        <v>204</v>
      </c>
      <c r="C201" s="99" t="s">
        <v>46</v>
      </c>
      <c r="D201" s="99" t="s">
        <v>43</v>
      </c>
      <c r="E201" s="99" t="s">
        <v>500</v>
      </c>
      <c r="F201" s="99" t="s">
        <v>205</v>
      </c>
      <c r="G201" s="325">
        <v>2964</v>
      </c>
      <c r="H201" s="325"/>
      <c r="I201" s="325">
        <f>G201+H201</f>
        <v>2964</v>
      </c>
    </row>
    <row r="202" spans="1:10" ht="51" x14ac:dyDescent="0.2">
      <c r="B202" s="232" t="s">
        <v>444</v>
      </c>
      <c r="C202" s="99" t="s">
        <v>46</v>
      </c>
      <c r="D202" s="99" t="s">
        <v>43</v>
      </c>
      <c r="E202" s="99" t="s">
        <v>445</v>
      </c>
      <c r="F202" s="99"/>
      <c r="G202" s="325">
        <f t="shared" ref="G202:I202" si="138">G203</f>
        <v>1800</v>
      </c>
      <c r="H202" s="325">
        <f t="shared" si="138"/>
        <v>0</v>
      </c>
      <c r="I202" s="325">
        <f t="shared" si="138"/>
        <v>1800</v>
      </c>
    </row>
    <row r="203" spans="1:10" ht="25.5" x14ac:dyDescent="0.2">
      <c r="B203" s="100" t="s">
        <v>221</v>
      </c>
      <c r="C203" s="99" t="s">
        <v>46</v>
      </c>
      <c r="D203" s="99" t="s">
        <v>43</v>
      </c>
      <c r="E203" s="99" t="s">
        <v>445</v>
      </c>
      <c r="F203" s="99" t="s">
        <v>222</v>
      </c>
      <c r="G203" s="325">
        <v>1800</v>
      </c>
      <c r="H203" s="323"/>
      <c r="I203" s="323">
        <f t="shared" ref="I203" si="139">G203+H203</f>
        <v>1800</v>
      </c>
    </row>
    <row r="204" spans="1:10" s="69" customFormat="1" ht="39.75" hidden="1" x14ac:dyDescent="0.3">
      <c r="A204" s="125"/>
      <c r="B204" s="120" t="s">
        <v>224</v>
      </c>
      <c r="C204" s="99" t="s">
        <v>46</v>
      </c>
      <c r="D204" s="99" t="s">
        <v>43</v>
      </c>
      <c r="E204" s="99" t="s">
        <v>225</v>
      </c>
      <c r="F204" s="99"/>
      <c r="G204" s="325">
        <f t="shared" ref="G204:I204" si="140">G205</f>
        <v>0</v>
      </c>
      <c r="H204" s="325">
        <f t="shared" si="140"/>
        <v>0</v>
      </c>
      <c r="I204" s="325">
        <f t="shared" si="140"/>
        <v>0</v>
      </c>
      <c r="J204" s="213"/>
    </row>
    <row r="205" spans="1:10" ht="25.5" hidden="1" x14ac:dyDescent="0.2">
      <c r="B205" s="100" t="s">
        <v>114</v>
      </c>
      <c r="C205" s="99" t="s">
        <v>46</v>
      </c>
      <c r="D205" s="99" t="s">
        <v>43</v>
      </c>
      <c r="E205" s="99" t="s">
        <v>225</v>
      </c>
      <c r="F205" s="99" t="s">
        <v>115</v>
      </c>
      <c r="G205" s="325">
        <v>0</v>
      </c>
      <c r="H205" s="323"/>
      <c r="I205" s="323">
        <f t="shared" ref="I205" si="141">G205+H205</f>
        <v>0</v>
      </c>
    </row>
    <row r="206" spans="1:10" ht="38.25" x14ac:dyDescent="0.2">
      <c r="B206" s="120" t="s">
        <v>224</v>
      </c>
      <c r="C206" s="99" t="s">
        <v>46</v>
      </c>
      <c r="D206" s="99" t="s">
        <v>43</v>
      </c>
      <c r="E206" s="99" t="s">
        <v>388</v>
      </c>
      <c r="F206" s="99"/>
      <c r="G206" s="325">
        <f>G207+G209+G208</f>
        <v>151</v>
      </c>
      <c r="H206" s="325">
        <f>H207+H209+H208</f>
        <v>0</v>
      </c>
      <c r="I206" s="325">
        <f>I207+I209+I208</f>
        <v>151</v>
      </c>
    </row>
    <row r="207" spans="1:10" ht="25.5" hidden="1" x14ac:dyDescent="0.2">
      <c r="B207" s="100" t="s">
        <v>114</v>
      </c>
      <c r="C207" s="99" t="s">
        <v>46</v>
      </c>
      <c r="D207" s="99" t="s">
        <v>43</v>
      </c>
      <c r="E207" s="99" t="s">
        <v>388</v>
      </c>
      <c r="F207" s="99" t="s">
        <v>115</v>
      </c>
      <c r="G207" s="325"/>
      <c r="H207" s="323"/>
      <c r="I207" s="323">
        <f>G207+H207</f>
        <v>0</v>
      </c>
    </row>
    <row r="208" spans="1:10" x14ac:dyDescent="0.2">
      <c r="B208" s="210" t="s">
        <v>403</v>
      </c>
      <c r="C208" s="99" t="s">
        <v>46</v>
      </c>
      <c r="D208" s="99" t="s">
        <v>43</v>
      </c>
      <c r="E208" s="99" t="s">
        <v>388</v>
      </c>
      <c r="F208" s="99" t="s">
        <v>402</v>
      </c>
      <c r="G208" s="325">
        <v>67</v>
      </c>
      <c r="H208" s="323"/>
      <c r="I208" s="323">
        <f>G208+H208</f>
        <v>67</v>
      </c>
    </row>
    <row r="209" spans="1:10" ht="25.5" x14ac:dyDescent="0.2">
      <c r="B209" s="100" t="s">
        <v>467</v>
      </c>
      <c r="C209" s="99" t="s">
        <v>46</v>
      </c>
      <c r="D209" s="99" t="s">
        <v>43</v>
      </c>
      <c r="E209" s="99" t="s">
        <v>388</v>
      </c>
      <c r="F209" s="99" t="s">
        <v>207</v>
      </c>
      <c r="G209" s="325">
        <v>84</v>
      </c>
      <c r="H209" s="323"/>
      <c r="I209" s="323">
        <f>G209+H209</f>
        <v>84</v>
      </c>
    </row>
    <row r="210" spans="1:10" ht="51" x14ac:dyDescent="0.2">
      <c r="B210" s="121" t="s">
        <v>219</v>
      </c>
      <c r="C210" s="99" t="s">
        <v>46</v>
      </c>
      <c r="D210" s="99" t="s">
        <v>43</v>
      </c>
      <c r="E210" s="99" t="s">
        <v>220</v>
      </c>
      <c r="F210" s="99"/>
      <c r="G210" s="325">
        <f>SUM(G211:G213)</f>
        <v>650</v>
      </c>
      <c r="H210" s="325">
        <f>SUM(H211:H213)</f>
        <v>90.789000000000001</v>
      </c>
      <c r="I210" s="325">
        <f t="shared" ref="I210" si="142">SUM(I211:I213)</f>
        <v>740.78899999999999</v>
      </c>
    </row>
    <row r="211" spans="1:10" ht="25.5" x14ac:dyDescent="0.2">
      <c r="B211" s="100" t="s">
        <v>221</v>
      </c>
      <c r="C211" s="99" t="s">
        <v>46</v>
      </c>
      <c r="D211" s="99" t="s">
        <v>43</v>
      </c>
      <c r="E211" s="99" t="s">
        <v>220</v>
      </c>
      <c r="F211" s="99" t="s">
        <v>222</v>
      </c>
      <c r="G211" s="325">
        <v>98.99</v>
      </c>
      <c r="H211" s="325">
        <v>21.798999999999999</v>
      </c>
      <c r="I211" s="323">
        <f t="shared" ref="I211" si="143">G211+H211</f>
        <v>120.78899999999999</v>
      </c>
    </row>
    <row r="212" spans="1:10" ht="25.5" x14ac:dyDescent="0.2">
      <c r="B212" s="100" t="s">
        <v>114</v>
      </c>
      <c r="C212" s="99" t="s">
        <v>46</v>
      </c>
      <c r="D212" s="99" t="s">
        <v>43</v>
      </c>
      <c r="E212" s="99" t="s">
        <v>220</v>
      </c>
      <c r="F212" s="99" t="s">
        <v>115</v>
      </c>
      <c r="G212" s="325">
        <v>51.01</v>
      </c>
      <c r="H212" s="325">
        <f>-29.211-21.799</f>
        <v>-51.01</v>
      </c>
      <c r="I212" s="323">
        <f>G212+H212</f>
        <v>0</v>
      </c>
    </row>
    <row r="213" spans="1:10" ht="25.5" x14ac:dyDescent="0.2">
      <c r="B213" s="100" t="s">
        <v>467</v>
      </c>
      <c r="C213" s="99" t="s">
        <v>46</v>
      </c>
      <c r="D213" s="99" t="s">
        <v>43</v>
      </c>
      <c r="E213" s="99" t="s">
        <v>220</v>
      </c>
      <c r="F213" s="99" t="s">
        <v>207</v>
      </c>
      <c r="G213" s="325">
        <v>500</v>
      </c>
      <c r="H213" s="325">
        <v>120</v>
      </c>
      <c r="I213" s="323">
        <f>G213+H213</f>
        <v>620</v>
      </c>
    </row>
    <row r="214" spans="1:10" s="68" customFormat="1" ht="39" x14ac:dyDescent="0.25">
      <c r="A214" s="125"/>
      <c r="B214" s="121" t="s">
        <v>223</v>
      </c>
      <c r="C214" s="99" t="s">
        <v>46</v>
      </c>
      <c r="D214" s="99" t="s">
        <v>43</v>
      </c>
      <c r="E214" s="99" t="s">
        <v>199</v>
      </c>
      <c r="F214" s="99"/>
      <c r="G214" s="325">
        <f>SUM(G215:G218)</f>
        <v>3202.4345400000002</v>
      </c>
      <c r="H214" s="325">
        <f t="shared" ref="H214:I214" si="144">SUM(H215:H218)</f>
        <v>38.987200000000001</v>
      </c>
      <c r="I214" s="325">
        <f t="shared" si="144"/>
        <v>3241.4217400000002</v>
      </c>
    </row>
    <row r="215" spans="1:10" s="70" customFormat="1" ht="27" hidden="1" x14ac:dyDescent="0.3">
      <c r="A215" s="125"/>
      <c r="B215" s="100" t="s">
        <v>221</v>
      </c>
      <c r="C215" s="99" t="s">
        <v>46</v>
      </c>
      <c r="D215" s="99" t="s">
        <v>43</v>
      </c>
      <c r="E215" s="99" t="s">
        <v>199</v>
      </c>
      <c r="F215" s="99" t="s">
        <v>222</v>
      </c>
      <c r="G215" s="325"/>
      <c r="H215" s="325"/>
      <c r="I215" s="325">
        <f t="shared" ref="I215" si="145">G215+H215</f>
        <v>0</v>
      </c>
    </row>
    <row r="216" spans="1:10" s="71" customFormat="1" ht="26.25" x14ac:dyDescent="0.25">
      <c r="A216" s="125"/>
      <c r="B216" s="100" t="s">
        <v>114</v>
      </c>
      <c r="C216" s="99" t="s">
        <v>46</v>
      </c>
      <c r="D216" s="99" t="s">
        <v>43</v>
      </c>
      <c r="E216" s="99" t="s">
        <v>199</v>
      </c>
      <c r="F216" s="99" t="s">
        <v>115</v>
      </c>
      <c r="G216" s="325">
        <v>307.67</v>
      </c>
      <c r="H216" s="325">
        <v>38.987200000000001</v>
      </c>
      <c r="I216" s="323">
        <f>G216+H216</f>
        <v>346.65719999999999</v>
      </c>
    </row>
    <row r="217" spans="1:10" s="68" customFormat="1" ht="39" x14ac:dyDescent="0.25">
      <c r="A217" s="125"/>
      <c r="B217" s="100" t="s">
        <v>204</v>
      </c>
      <c r="C217" s="99" t="s">
        <v>46</v>
      </c>
      <c r="D217" s="99" t="s">
        <v>43</v>
      </c>
      <c r="E217" s="99" t="s">
        <v>199</v>
      </c>
      <c r="F217" s="99" t="s">
        <v>205</v>
      </c>
      <c r="G217" s="325">
        <v>2894.7645400000001</v>
      </c>
      <c r="H217" s="325">
        <f>700-700</f>
        <v>0</v>
      </c>
      <c r="I217" s="323">
        <f>G217+H217</f>
        <v>2894.7645400000001</v>
      </c>
      <c r="J217" s="212"/>
    </row>
    <row r="218" spans="1:10" s="68" customFormat="1" ht="26.25" hidden="1" x14ac:dyDescent="0.25">
      <c r="A218"/>
      <c r="B218" s="4" t="s">
        <v>405</v>
      </c>
      <c r="C218" s="99" t="s">
        <v>46</v>
      </c>
      <c r="D218" s="99" t="s">
        <v>43</v>
      </c>
      <c r="E218" s="211" t="s">
        <v>406</v>
      </c>
      <c r="F218" s="99"/>
      <c r="G218" s="323">
        <f>G219</f>
        <v>0</v>
      </c>
      <c r="H218" s="323">
        <f t="shared" ref="H218:I218" si="146">H219</f>
        <v>0</v>
      </c>
      <c r="I218" s="323">
        <f t="shared" si="146"/>
        <v>0</v>
      </c>
      <c r="J218" s="201"/>
    </row>
    <row r="219" spans="1:10" s="68" customFormat="1" ht="18" hidden="1" x14ac:dyDescent="0.25">
      <c r="B219" s="210" t="s">
        <v>403</v>
      </c>
      <c r="C219" s="99" t="s">
        <v>46</v>
      </c>
      <c r="D219" s="99" t="s">
        <v>43</v>
      </c>
      <c r="E219" s="99" t="s">
        <v>406</v>
      </c>
      <c r="F219" s="99" t="s">
        <v>402</v>
      </c>
      <c r="G219" s="323"/>
      <c r="H219" s="323"/>
      <c r="I219" s="323">
        <f>G219+H219</f>
        <v>0</v>
      </c>
      <c r="J219" s="201"/>
    </row>
    <row r="220" spans="1:10" x14ac:dyDescent="0.2">
      <c r="B220" s="104" t="s">
        <v>226</v>
      </c>
      <c r="C220" s="145" t="s">
        <v>46</v>
      </c>
      <c r="D220" s="145" t="s">
        <v>44</v>
      </c>
      <c r="E220" s="145"/>
      <c r="F220" s="145"/>
      <c r="G220" s="325">
        <f>G226+G221</f>
        <v>2936.0458900000003</v>
      </c>
      <c r="H220" s="325">
        <f t="shared" ref="H220:I220" si="147">H226+H221</f>
        <v>-95</v>
      </c>
      <c r="I220" s="325">
        <f t="shared" si="147"/>
        <v>2841.0458900000003</v>
      </c>
    </row>
    <row r="221" spans="1:10" ht="38.25" x14ac:dyDescent="0.2">
      <c r="B221" s="259" t="s">
        <v>128</v>
      </c>
      <c r="C221" s="230" t="s">
        <v>46</v>
      </c>
      <c r="D221" s="230" t="s">
        <v>44</v>
      </c>
      <c r="E221" s="230" t="s">
        <v>129</v>
      </c>
      <c r="F221" s="230"/>
      <c r="G221" s="323">
        <f>G222</f>
        <v>286</v>
      </c>
      <c r="H221" s="323">
        <f t="shared" ref="H221:I224" si="148">H222</f>
        <v>0</v>
      </c>
      <c r="I221" s="323">
        <f t="shared" si="148"/>
        <v>286</v>
      </c>
    </row>
    <row r="222" spans="1:10" ht="38.25" x14ac:dyDescent="0.2">
      <c r="B222" s="259" t="s">
        <v>143</v>
      </c>
      <c r="C222" s="230" t="s">
        <v>46</v>
      </c>
      <c r="D222" s="230" t="s">
        <v>44</v>
      </c>
      <c r="E222" s="230" t="s">
        <v>144</v>
      </c>
      <c r="F222" s="230"/>
      <c r="G222" s="323">
        <f>G223</f>
        <v>286</v>
      </c>
      <c r="H222" s="323">
        <f t="shared" si="148"/>
        <v>0</v>
      </c>
      <c r="I222" s="323">
        <f t="shared" si="148"/>
        <v>286</v>
      </c>
    </row>
    <row r="223" spans="1:10" ht="38.25" x14ac:dyDescent="0.2">
      <c r="B223" s="259" t="s">
        <v>332</v>
      </c>
      <c r="C223" s="230" t="s">
        <v>46</v>
      </c>
      <c r="D223" s="230" t="s">
        <v>44</v>
      </c>
      <c r="E223" s="230" t="s">
        <v>146</v>
      </c>
      <c r="F223" s="230"/>
      <c r="G223" s="323">
        <f>G224</f>
        <v>286</v>
      </c>
      <c r="H223" s="323">
        <f t="shared" si="148"/>
        <v>0</v>
      </c>
      <c r="I223" s="323">
        <f t="shared" si="148"/>
        <v>286</v>
      </c>
    </row>
    <row r="224" spans="1:10" ht="25.5" x14ac:dyDescent="0.2">
      <c r="B224" s="150" t="s">
        <v>490</v>
      </c>
      <c r="C224" s="230" t="s">
        <v>46</v>
      </c>
      <c r="D224" s="230" t="s">
        <v>44</v>
      </c>
      <c r="E224" s="230" t="s">
        <v>491</v>
      </c>
      <c r="F224" s="230"/>
      <c r="G224" s="323">
        <f>G225</f>
        <v>286</v>
      </c>
      <c r="H224" s="323">
        <f t="shared" si="148"/>
        <v>0</v>
      </c>
      <c r="I224" s="323">
        <f t="shared" si="148"/>
        <v>286</v>
      </c>
    </row>
    <row r="225" spans="2:9" x14ac:dyDescent="0.2">
      <c r="B225" s="210" t="s">
        <v>403</v>
      </c>
      <c r="C225" s="230" t="s">
        <v>46</v>
      </c>
      <c r="D225" s="230" t="s">
        <v>44</v>
      </c>
      <c r="E225" s="230" t="s">
        <v>491</v>
      </c>
      <c r="F225" s="230" t="s">
        <v>402</v>
      </c>
      <c r="G225" s="323">
        <v>286</v>
      </c>
      <c r="H225" s="323"/>
      <c r="I225" s="323">
        <f>G225+H225</f>
        <v>286</v>
      </c>
    </row>
    <row r="226" spans="2:9" ht="38.25" x14ac:dyDescent="0.2">
      <c r="B226" s="121" t="s">
        <v>183</v>
      </c>
      <c r="C226" s="145" t="s">
        <v>46</v>
      </c>
      <c r="D226" s="145" t="s">
        <v>44</v>
      </c>
      <c r="E226" s="145" t="s">
        <v>195</v>
      </c>
      <c r="F226" s="145"/>
      <c r="G226" s="325">
        <f t="shared" ref="G226:I226" si="149">G227</f>
        <v>2650.0458900000003</v>
      </c>
      <c r="H226" s="325">
        <f t="shared" si="149"/>
        <v>-95</v>
      </c>
      <c r="I226" s="325">
        <f t="shared" si="149"/>
        <v>2555.0458900000003</v>
      </c>
    </row>
    <row r="227" spans="2:9" x14ac:dyDescent="0.2">
      <c r="B227" s="121" t="s">
        <v>196</v>
      </c>
      <c r="C227" s="145" t="s">
        <v>46</v>
      </c>
      <c r="D227" s="145" t="s">
        <v>44</v>
      </c>
      <c r="E227" s="145" t="s">
        <v>197</v>
      </c>
      <c r="F227" s="145"/>
      <c r="G227" s="325">
        <f t="shared" ref="G227" si="150">G228+G231</f>
        <v>2650.0458900000003</v>
      </c>
      <c r="H227" s="325">
        <f t="shared" ref="H227:I227" si="151">H228+H231</f>
        <v>-95</v>
      </c>
      <c r="I227" s="325">
        <f t="shared" si="151"/>
        <v>2555.0458900000003</v>
      </c>
    </row>
    <row r="228" spans="2:9" ht="25.5" x14ac:dyDescent="0.2">
      <c r="B228" s="124" t="s">
        <v>227</v>
      </c>
      <c r="C228" s="145" t="s">
        <v>46</v>
      </c>
      <c r="D228" s="145" t="s">
        <v>44</v>
      </c>
      <c r="E228" s="145" t="s">
        <v>228</v>
      </c>
      <c r="F228" s="145"/>
      <c r="G228" s="325">
        <f>G229+G230</f>
        <v>84.785889999999995</v>
      </c>
      <c r="H228" s="325">
        <f t="shared" ref="H228:I228" si="152">H229+H230</f>
        <v>-20</v>
      </c>
      <c r="I228" s="325">
        <f t="shared" si="152"/>
        <v>64.785889999999995</v>
      </c>
    </row>
    <row r="229" spans="2:9" ht="25.5" x14ac:dyDescent="0.2">
      <c r="B229" s="100" t="s">
        <v>114</v>
      </c>
      <c r="C229" s="145" t="s">
        <v>46</v>
      </c>
      <c r="D229" s="145" t="s">
        <v>44</v>
      </c>
      <c r="E229" s="145" t="s">
        <v>228</v>
      </c>
      <c r="F229" s="145" t="s">
        <v>115</v>
      </c>
      <c r="G229" s="325">
        <v>84.785889999999995</v>
      </c>
      <c r="H229" s="325">
        <v>-20</v>
      </c>
      <c r="I229" s="323">
        <f t="shared" ref="I229" si="153">G229+H229</f>
        <v>64.785889999999995</v>
      </c>
    </row>
    <row r="230" spans="2:9" hidden="1" x14ac:dyDescent="0.2">
      <c r="B230" s="210" t="s">
        <v>403</v>
      </c>
      <c r="C230" s="99" t="s">
        <v>46</v>
      </c>
      <c r="D230" s="99" t="s">
        <v>44</v>
      </c>
      <c r="E230" s="99" t="s">
        <v>228</v>
      </c>
      <c r="F230" s="99" t="s">
        <v>402</v>
      </c>
      <c r="G230" s="325"/>
      <c r="H230" s="323"/>
      <c r="I230" s="323">
        <f>G230+H230</f>
        <v>0</v>
      </c>
    </row>
    <row r="231" spans="2:9" ht="25.5" x14ac:dyDescent="0.2">
      <c r="B231" s="124" t="s">
        <v>229</v>
      </c>
      <c r="C231" s="145" t="s">
        <v>46</v>
      </c>
      <c r="D231" s="145" t="s">
        <v>44</v>
      </c>
      <c r="E231" s="145" t="s">
        <v>230</v>
      </c>
      <c r="F231" s="145"/>
      <c r="G231" s="325">
        <f>G232+G233</f>
        <v>2565.2600000000002</v>
      </c>
      <c r="H231" s="325">
        <f t="shared" ref="H231:I231" si="154">H232+H233</f>
        <v>-75</v>
      </c>
      <c r="I231" s="325">
        <f t="shared" si="154"/>
        <v>2490.2600000000002</v>
      </c>
    </row>
    <row r="232" spans="2:9" ht="25.5" x14ac:dyDescent="0.2">
      <c r="B232" s="100" t="s">
        <v>114</v>
      </c>
      <c r="C232" s="145" t="s">
        <v>46</v>
      </c>
      <c r="D232" s="145" t="s">
        <v>44</v>
      </c>
      <c r="E232" s="145" t="s">
        <v>230</v>
      </c>
      <c r="F232" s="145" t="s">
        <v>115</v>
      </c>
      <c r="G232" s="325">
        <v>2565.2600000000002</v>
      </c>
      <c r="H232" s="325">
        <v>-75</v>
      </c>
      <c r="I232" s="323">
        <f t="shared" ref="I232" si="155">G232+H232</f>
        <v>2490.2600000000002</v>
      </c>
    </row>
    <row r="233" spans="2:9" hidden="1" x14ac:dyDescent="0.2">
      <c r="B233" s="210" t="s">
        <v>403</v>
      </c>
      <c r="C233" s="145" t="s">
        <v>46</v>
      </c>
      <c r="D233" s="145" t="s">
        <v>44</v>
      </c>
      <c r="E233" s="145" t="s">
        <v>230</v>
      </c>
      <c r="F233" s="145" t="s">
        <v>402</v>
      </c>
      <c r="G233" s="325"/>
      <c r="H233" s="323"/>
      <c r="I233" s="323">
        <f>G233+H233</f>
        <v>0</v>
      </c>
    </row>
    <row r="234" spans="2:9" hidden="1" x14ac:dyDescent="0.2">
      <c r="B234" s="100" t="s">
        <v>358</v>
      </c>
      <c r="C234" s="145" t="s">
        <v>47</v>
      </c>
      <c r="D234" s="145"/>
      <c r="E234" s="145"/>
      <c r="F234" s="145"/>
      <c r="G234" s="325">
        <f>G235</f>
        <v>0</v>
      </c>
      <c r="H234" s="325">
        <f t="shared" ref="H234:I236" si="156">H235</f>
        <v>0</v>
      </c>
      <c r="I234" s="325">
        <f t="shared" si="156"/>
        <v>0</v>
      </c>
    </row>
    <row r="235" spans="2:9" hidden="1" x14ac:dyDescent="0.2">
      <c r="B235" s="100" t="s">
        <v>360</v>
      </c>
      <c r="C235" s="145" t="s">
        <v>47</v>
      </c>
      <c r="D235" s="145" t="s">
        <v>46</v>
      </c>
      <c r="E235" s="145"/>
      <c r="F235" s="145"/>
      <c r="G235" s="325">
        <f>G236</f>
        <v>0</v>
      </c>
      <c r="H235" s="325">
        <f t="shared" si="156"/>
        <v>0</v>
      </c>
      <c r="I235" s="325">
        <f t="shared" si="156"/>
        <v>0</v>
      </c>
    </row>
    <row r="236" spans="2:9" hidden="1" x14ac:dyDescent="0.2">
      <c r="B236" s="142" t="s">
        <v>134</v>
      </c>
      <c r="C236" s="145" t="s">
        <v>47</v>
      </c>
      <c r="D236" s="145" t="s">
        <v>46</v>
      </c>
      <c r="E236" s="145" t="s">
        <v>135</v>
      </c>
      <c r="F236" s="145"/>
      <c r="G236" s="325">
        <f>G237</f>
        <v>0</v>
      </c>
      <c r="H236" s="325">
        <f t="shared" si="156"/>
        <v>0</v>
      </c>
      <c r="I236" s="325">
        <f t="shared" si="156"/>
        <v>0</v>
      </c>
    </row>
    <row r="237" spans="2:9" ht="25.5" hidden="1" x14ac:dyDescent="0.2">
      <c r="B237" s="100" t="s">
        <v>362</v>
      </c>
      <c r="C237" s="145" t="s">
        <v>47</v>
      </c>
      <c r="D237" s="145" t="s">
        <v>46</v>
      </c>
      <c r="E237" s="145" t="s">
        <v>363</v>
      </c>
      <c r="F237" s="145"/>
      <c r="G237" s="325">
        <f>G238+G239</f>
        <v>0</v>
      </c>
      <c r="H237" s="325">
        <f t="shared" ref="H237:I237" si="157">H238+H239</f>
        <v>0</v>
      </c>
      <c r="I237" s="325">
        <f t="shared" si="157"/>
        <v>0</v>
      </c>
    </row>
    <row r="238" spans="2:9" hidden="1" x14ac:dyDescent="0.2">
      <c r="B238" s="100" t="s">
        <v>361</v>
      </c>
      <c r="C238" s="145" t="s">
        <v>47</v>
      </c>
      <c r="D238" s="145" t="s">
        <v>46</v>
      </c>
      <c r="E238" s="145" t="s">
        <v>363</v>
      </c>
      <c r="F238" s="145" t="s">
        <v>359</v>
      </c>
      <c r="G238" s="325">
        <v>0</v>
      </c>
      <c r="H238" s="323"/>
      <c r="I238" s="323">
        <f t="shared" ref="I238" si="158">G238+H238</f>
        <v>0</v>
      </c>
    </row>
    <row r="239" spans="2:9" ht="25.5" hidden="1" x14ac:dyDescent="0.2">
      <c r="B239" s="100" t="s">
        <v>467</v>
      </c>
      <c r="C239" s="145" t="s">
        <v>47</v>
      </c>
      <c r="D239" s="145" t="s">
        <v>46</v>
      </c>
      <c r="E239" s="145" t="s">
        <v>363</v>
      </c>
      <c r="F239" s="145" t="s">
        <v>207</v>
      </c>
      <c r="G239" s="325"/>
      <c r="H239" s="323"/>
      <c r="I239" s="323">
        <f>G239+H239</f>
        <v>0</v>
      </c>
    </row>
    <row r="240" spans="2:9" x14ac:dyDescent="0.2">
      <c r="B240" s="100" t="s">
        <v>77</v>
      </c>
      <c r="C240" s="99" t="s">
        <v>48</v>
      </c>
      <c r="D240" s="99"/>
      <c r="E240" s="99"/>
      <c r="F240" s="99"/>
      <c r="G240" s="323">
        <f>G241+G262+G309+G314+G327</f>
        <v>295212.05605999997</v>
      </c>
      <c r="H240" s="323">
        <f>H241+H262+H309+H314+H327</f>
        <v>14503.386</v>
      </c>
      <c r="I240" s="323">
        <f>I241+I262+I309+I314+I327</f>
        <v>309715.44206000003</v>
      </c>
    </row>
    <row r="241" spans="1:9" x14ac:dyDescent="0.2">
      <c r="B241" s="100" t="s">
        <v>17</v>
      </c>
      <c r="C241" s="99" t="s">
        <v>48</v>
      </c>
      <c r="D241" s="99" t="s">
        <v>42</v>
      </c>
      <c r="E241" s="99"/>
      <c r="F241" s="99"/>
      <c r="G241" s="323">
        <f>G246+G242</f>
        <v>14768.09676</v>
      </c>
      <c r="H241" s="323">
        <f t="shared" ref="H241:I241" si="159">H246+H242</f>
        <v>1202.52108</v>
      </c>
      <c r="I241" s="323">
        <f t="shared" si="159"/>
        <v>15970.617840000003</v>
      </c>
    </row>
    <row r="242" spans="1:9" ht="25.5" x14ac:dyDescent="0.2">
      <c r="B242" s="320" t="s">
        <v>170</v>
      </c>
      <c r="C242" s="99" t="s">
        <v>48</v>
      </c>
      <c r="D242" s="99" t="s">
        <v>42</v>
      </c>
      <c r="E242" s="99" t="s">
        <v>171</v>
      </c>
      <c r="F242" s="99"/>
      <c r="G242" s="325">
        <f>G243</f>
        <v>0</v>
      </c>
      <c r="H242" s="325">
        <f t="shared" ref="H242:I244" si="160">H243</f>
        <v>293.27999999999997</v>
      </c>
      <c r="I242" s="325">
        <f t="shared" si="160"/>
        <v>293.27999999999997</v>
      </c>
    </row>
    <row r="243" spans="1:9" ht="38.25" x14ac:dyDescent="0.2">
      <c r="B243" s="321" t="s">
        <v>192</v>
      </c>
      <c r="C243" s="99" t="s">
        <v>48</v>
      </c>
      <c r="D243" s="99" t="s">
        <v>42</v>
      </c>
      <c r="E243" s="99" t="s">
        <v>193</v>
      </c>
      <c r="F243" s="99"/>
      <c r="G243" s="325">
        <f>G244</f>
        <v>0</v>
      </c>
      <c r="H243" s="325">
        <f t="shared" si="160"/>
        <v>293.27999999999997</v>
      </c>
      <c r="I243" s="325">
        <f t="shared" si="160"/>
        <v>293.27999999999997</v>
      </c>
    </row>
    <row r="244" spans="1:9" ht="38.25" x14ac:dyDescent="0.2">
      <c r="B244" s="321" t="s">
        <v>217</v>
      </c>
      <c r="C244" s="99" t="s">
        <v>48</v>
      </c>
      <c r="D244" s="99" t="s">
        <v>42</v>
      </c>
      <c r="E244" s="99" t="s">
        <v>218</v>
      </c>
      <c r="F244" s="99"/>
      <c r="G244" s="325">
        <f>G245</f>
        <v>0</v>
      </c>
      <c r="H244" s="325">
        <f t="shared" si="160"/>
        <v>293.27999999999997</v>
      </c>
      <c r="I244" s="325">
        <f t="shared" si="160"/>
        <v>293.27999999999997</v>
      </c>
    </row>
    <row r="245" spans="1:9" ht="38.25" x14ac:dyDescent="0.2">
      <c r="B245" s="100" t="s">
        <v>204</v>
      </c>
      <c r="C245" s="99" t="s">
        <v>48</v>
      </c>
      <c r="D245" s="99" t="s">
        <v>42</v>
      </c>
      <c r="E245" s="99" t="s">
        <v>218</v>
      </c>
      <c r="F245" s="99" t="s">
        <v>205</v>
      </c>
      <c r="G245" s="325"/>
      <c r="H245" s="325">
        <f>223.28+70</f>
        <v>293.27999999999997</v>
      </c>
      <c r="I245" s="325">
        <f>G245+H245</f>
        <v>293.27999999999997</v>
      </c>
    </row>
    <row r="246" spans="1:9" ht="25.5" x14ac:dyDescent="0.2">
      <c r="B246" s="121" t="s">
        <v>78</v>
      </c>
      <c r="C246" s="99" t="s">
        <v>48</v>
      </c>
      <c r="D246" s="99" t="s">
        <v>42</v>
      </c>
      <c r="E246" s="122" t="s">
        <v>98</v>
      </c>
      <c r="F246" s="99"/>
      <c r="G246" s="323">
        <f t="shared" ref="G246:I246" si="161">G247</f>
        <v>14768.09676</v>
      </c>
      <c r="H246" s="323">
        <f t="shared" si="161"/>
        <v>909.24108000000012</v>
      </c>
      <c r="I246" s="323">
        <f t="shared" si="161"/>
        <v>15677.337840000002</v>
      </c>
    </row>
    <row r="247" spans="1:9" s="71" customFormat="1" ht="26.25" x14ac:dyDescent="0.25">
      <c r="A247" s="125"/>
      <c r="B247" s="121" t="s">
        <v>79</v>
      </c>
      <c r="C247" s="99" t="s">
        <v>48</v>
      </c>
      <c r="D247" s="99" t="s">
        <v>42</v>
      </c>
      <c r="E247" s="99" t="s">
        <v>99</v>
      </c>
      <c r="F247" s="99"/>
      <c r="G247" s="323">
        <f>G250+G248+G259+G257</f>
        <v>14768.09676</v>
      </c>
      <c r="H247" s="323">
        <f t="shared" ref="H247:I247" si="162">H250+H248+H259+H257</f>
        <v>909.24108000000012</v>
      </c>
      <c r="I247" s="323">
        <f t="shared" si="162"/>
        <v>15677.337840000002</v>
      </c>
    </row>
    <row r="248" spans="1:9" s="71" customFormat="1" ht="52.5" customHeight="1" x14ac:dyDescent="0.25">
      <c r="A248" s="125"/>
      <c r="B248" s="264" t="s">
        <v>94</v>
      </c>
      <c r="C248" s="99" t="s">
        <v>48</v>
      </c>
      <c r="D248" s="99" t="s">
        <v>42</v>
      </c>
      <c r="E248" s="215" t="s">
        <v>424</v>
      </c>
      <c r="F248" s="99"/>
      <c r="G248" s="323">
        <f>G249</f>
        <v>4191.1639999999998</v>
      </c>
      <c r="H248" s="323">
        <f t="shared" ref="H248:I248" si="163">H249</f>
        <v>-231.32024999999999</v>
      </c>
      <c r="I248" s="323">
        <f t="shared" si="163"/>
        <v>3959.84375</v>
      </c>
    </row>
    <row r="249" spans="1:9" s="71" customFormat="1" ht="39" x14ac:dyDescent="0.25">
      <c r="A249" s="125"/>
      <c r="B249" s="104" t="s">
        <v>214</v>
      </c>
      <c r="C249" s="99" t="s">
        <v>48</v>
      </c>
      <c r="D249" s="99" t="s">
        <v>42</v>
      </c>
      <c r="E249" s="215" t="s">
        <v>424</v>
      </c>
      <c r="F249" s="99" t="s">
        <v>215</v>
      </c>
      <c r="G249" s="323">
        <v>4191.1639999999998</v>
      </c>
      <c r="H249" s="323">
        <f>-1343.89625+1112.576</f>
        <v>-231.32024999999999</v>
      </c>
      <c r="I249" s="323">
        <f>G249+H249</f>
        <v>3959.84375</v>
      </c>
    </row>
    <row r="250" spans="1:9" s="69" customFormat="1" ht="39.75" x14ac:dyDescent="0.3">
      <c r="A250" s="125"/>
      <c r="B250" s="121" t="s">
        <v>80</v>
      </c>
      <c r="C250" s="99" t="s">
        <v>48</v>
      </c>
      <c r="D250" s="99" t="s">
        <v>42</v>
      </c>
      <c r="E250" s="99" t="s">
        <v>82</v>
      </c>
      <c r="F250" s="99"/>
      <c r="G250" s="323">
        <f>G251+G254+G252+G253</f>
        <v>10031.482760000001</v>
      </c>
      <c r="H250" s="323">
        <f t="shared" ref="H250:I250" si="164">H251+H254+H252+H253</f>
        <v>1097.5142700000001</v>
      </c>
      <c r="I250" s="323">
        <f t="shared" si="164"/>
        <v>11128.99703</v>
      </c>
    </row>
    <row r="251" spans="1:9" s="71" customFormat="1" ht="39" x14ac:dyDescent="0.25">
      <c r="A251" s="125"/>
      <c r="B251" s="100" t="s">
        <v>386</v>
      </c>
      <c r="C251" s="99" t="s">
        <v>48</v>
      </c>
      <c r="D251" s="99" t="s">
        <v>42</v>
      </c>
      <c r="E251" s="99" t="s">
        <v>82</v>
      </c>
      <c r="F251" s="99" t="s">
        <v>83</v>
      </c>
      <c r="G251" s="323">
        <v>112.08</v>
      </c>
      <c r="H251" s="323"/>
      <c r="I251" s="323">
        <f t="shared" ref="I251" si="165">G251+H251</f>
        <v>112.08</v>
      </c>
    </row>
    <row r="252" spans="1:9" s="71" customFormat="1" ht="39" x14ac:dyDescent="0.25">
      <c r="A252" s="199"/>
      <c r="B252" s="104" t="s">
        <v>214</v>
      </c>
      <c r="C252" s="99" t="s">
        <v>48</v>
      </c>
      <c r="D252" s="99" t="s">
        <v>42</v>
      </c>
      <c r="E252" s="99" t="s">
        <v>82</v>
      </c>
      <c r="F252" s="99" t="s">
        <v>215</v>
      </c>
      <c r="G252" s="323">
        <v>910.48676</v>
      </c>
      <c r="H252" s="323">
        <v>628</v>
      </c>
      <c r="I252" s="323">
        <f>G252+H252</f>
        <v>1538.48676</v>
      </c>
    </row>
    <row r="253" spans="1:9" s="71" customFormat="1" ht="18.75" x14ac:dyDescent="0.25">
      <c r="A253" s="199"/>
      <c r="B253" s="104" t="s">
        <v>461</v>
      </c>
      <c r="C253" s="99" t="s">
        <v>48</v>
      </c>
      <c r="D253" s="99" t="s">
        <v>42</v>
      </c>
      <c r="E253" s="99" t="s">
        <v>82</v>
      </c>
      <c r="F253" s="99" t="s">
        <v>458</v>
      </c>
      <c r="G253" s="323">
        <v>282.73599999999999</v>
      </c>
      <c r="H253" s="323">
        <f>31.114</f>
        <v>31.114000000000001</v>
      </c>
      <c r="I253" s="323">
        <f>G253+H253</f>
        <v>313.84999999999997</v>
      </c>
    </row>
    <row r="254" spans="1:9" ht="63.75" x14ac:dyDescent="0.2">
      <c r="B254" s="142" t="s">
        <v>317</v>
      </c>
      <c r="C254" s="99" t="s">
        <v>48</v>
      </c>
      <c r="D254" s="99" t="s">
        <v>42</v>
      </c>
      <c r="E254" s="99" t="s">
        <v>318</v>
      </c>
      <c r="F254" s="99"/>
      <c r="G254" s="323">
        <f>G255+G256</f>
        <v>8726.18</v>
      </c>
      <c r="H254" s="323">
        <f t="shared" ref="H254:I254" si="166">H255+H256</f>
        <v>438.40026999999998</v>
      </c>
      <c r="I254" s="323">
        <f t="shared" si="166"/>
        <v>9164.5802700000004</v>
      </c>
    </row>
    <row r="255" spans="1:9" ht="38.25" x14ac:dyDescent="0.2">
      <c r="B255" s="100" t="s">
        <v>386</v>
      </c>
      <c r="C255" s="99" t="s">
        <v>48</v>
      </c>
      <c r="D255" s="99" t="s">
        <v>42</v>
      </c>
      <c r="E255" s="99" t="s">
        <v>318</v>
      </c>
      <c r="F255" s="99" t="s">
        <v>83</v>
      </c>
      <c r="G255" s="323">
        <v>7744.7633999999998</v>
      </c>
      <c r="H255" s="323">
        <f>438.40027</f>
        <v>438.40026999999998</v>
      </c>
      <c r="I255" s="323">
        <f t="shared" ref="I255" si="167">G255+H255</f>
        <v>8183.1636699999999</v>
      </c>
    </row>
    <row r="256" spans="1:9" ht="38.25" x14ac:dyDescent="0.2">
      <c r="B256" s="104" t="s">
        <v>214</v>
      </c>
      <c r="C256" s="99" t="s">
        <v>48</v>
      </c>
      <c r="D256" s="99" t="s">
        <v>42</v>
      </c>
      <c r="E256" s="99" t="s">
        <v>318</v>
      </c>
      <c r="F256" s="99" t="s">
        <v>215</v>
      </c>
      <c r="G256" s="323">
        <v>981.41660000000002</v>
      </c>
      <c r="H256" s="323"/>
      <c r="I256" s="323">
        <f>G256+H256</f>
        <v>981.41660000000002</v>
      </c>
    </row>
    <row r="257" spans="1:9" ht="63.75" x14ac:dyDescent="0.2">
      <c r="B257" s="218" t="s">
        <v>90</v>
      </c>
      <c r="C257" s="99" t="s">
        <v>48</v>
      </c>
      <c r="D257" s="99" t="s">
        <v>42</v>
      </c>
      <c r="E257" s="99" t="s">
        <v>91</v>
      </c>
      <c r="F257" s="99"/>
      <c r="G257" s="323">
        <f>G258</f>
        <v>0</v>
      </c>
      <c r="H257" s="323">
        <f t="shared" ref="H257:I257" si="168">H258</f>
        <v>43.047060000000002</v>
      </c>
      <c r="I257" s="323">
        <f t="shared" si="168"/>
        <v>43.047060000000002</v>
      </c>
    </row>
    <row r="258" spans="1:9" ht="38.25" x14ac:dyDescent="0.2">
      <c r="B258" s="104" t="s">
        <v>214</v>
      </c>
      <c r="C258" s="99" t="s">
        <v>48</v>
      </c>
      <c r="D258" s="99" t="s">
        <v>42</v>
      </c>
      <c r="E258" s="99" t="s">
        <v>91</v>
      </c>
      <c r="F258" s="99" t="s">
        <v>215</v>
      </c>
      <c r="G258" s="323"/>
      <c r="H258" s="323">
        <v>43.047060000000002</v>
      </c>
      <c r="I258" s="323">
        <f>G258+H258</f>
        <v>43.047060000000002</v>
      </c>
    </row>
    <row r="259" spans="1:9" ht="25.5" x14ac:dyDescent="0.2">
      <c r="B259" s="256" t="s">
        <v>487</v>
      </c>
      <c r="C259" s="99" t="s">
        <v>48</v>
      </c>
      <c r="D259" s="99" t="s">
        <v>42</v>
      </c>
      <c r="E259" s="99" t="s">
        <v>488</v>
      </c>
      <c r="F259" s="99"/>
      <c r="G259" s="323">
        <f>SUM(G260:G261)</f>
        <v>545.45000000000005</v>
      </c>
      <c r="H259" s="323">
        <f t="shared" ref="H259:I259" si="169">SUM(H260:H261)</f>
        <v>0</v>
      </c>
      <c r="I259" s="323">
        <f t="shared" si="169"/>
        <v>545.45000000000005</v>
      </c>
    </row>
    <row r="260" spans="1:9" ht="38.25" x14ac:dyDescent="0.2">
      <c r="B260" s="100" t="s">
        <v>386</v>
      </c>
      <c r="C260" s="99" t="s">
        <v>48</v>
      </c>
      <c r="D260" s="99" t="s">
        <v>42</v>
      </c>
      <c r="E260" s="99" t="s">
        <v>488</v>
      </c>
      <c r="F260" s="99" t="s">
        <v>87</v>
      </c>
      <c r="G260" s="323">
        <v>545.45000000000005</v>
      </c>
      <c r="H260" s="323">
        <v>-545.45000000000005</v>
      </c>
      <c r="I260" s="323">
        <f>G260+H260</f>
        <v>0</v>
      </c>
    </row>
    <row r="261" spans="1:9" x14ac:dyDescent="0.2">
      <c r="B261" s="104" t="s">
        <v>461</v>
      </c>
      <c r="C261" s="99" t="s">
        <v>48</v>
      </c>
      <c r="D261" s="99" t="s">
        <v>42</v>
      </c>
      <c r="E261" s="99" t="s">
        <v>488</v>
      </c>
      <c r="F261" s="99" t="s">
        <v>458</v>
      </c>
      <c r="G261" s="323"/>
      <c r="H261" s="323">
        <v>545.45000000000005</v>
      </c>
      <c r="I261" s="323">
        <f>G261+H261</f>
        <v>545.45000000000005</v>
      </c>
    </row>
    <row r="262" spans="1:9" ht="18.75" x14ac:dyDescent="0.2">
      <c r="A262" s="98"/>
      <c r="B262" s="100" t="s">
        <v>16</v>
      </c>
      <c r="C262" s="99" t="s">
        <v>48</v>
      </c>
      <c r="D262" s="99" t="s">
        <v>43</v>
      </c>
      <c r="E262" s="99"/>
      <c r="F262" s="99"/>
      <c r="G262" s="325">
        <f t="shared" ref="G262:I262" si="170">G263+G267</f>
        <v>269091.26750000002</v>
      </c>
      <c r="H262" s="325">
        <f t="shared" si="170"/>
        <v>12324.79768</v>
      </c>
      <c r="I262" s="325">
        <f t="shared" si="170"/>
        <v>281416.06518000003</v>
      </c>
    </row>
    <row r="263" spans="1:9" ht="25.5" x14ac:dyDescent="0.2">
      <c r="B263" s="121" t="s">
        <v>170</v>
      </c>
      <c r="C263" s="99" t="s">
        <v>48</v>
      </c>
      <c r="D263" s="99" t="s">
        <v>43</v>
      </c>
      <c r="E263" s="99" t="s">
        <v>171</v>
      </c>
      <c r="F263" s="99"/>
      <c r="G263" s="325">
        <f t="shared" ref="G263:I265" si="171">G264</f>
        <v>686.74800000000005</v>
      </c>
      <c r="H263" s="325">
        <f t="shared" si="171"/>
        <v>8298.2745599999998</v>
      </c>
      <c r="I263" s="325">
        <f t="shared" si="171"/>
        <v>8985.0225599999994</v>
      </c>
    </row>
    <row r="264" spans="1:9" ht="38.25" x14ac:dyDescent="0.2">
      <c r="B264" s="121" t="s">
        <v>192</v>
      </c>
      <c r="C264" s="99" t="s">
        <v>48</v>
      </c>
      <c r="D264" s="99" t="s">
        <v>43</v>
      </c>
      <c r="E264" s="99" t="s">
        <v>193</v>
      </c>
      <c r="F264" s="99"/>
      <c r="G264" s="325">
        <f t="shared" si="171"/>
        <v>686.74800000000005</v>
      </c>
      <c r="H264" s="325">
        <f t="shared" si="171"/>
        <v>8298.2745599999998</v>
      </c>
      <c r="I264" s="325">
        <f t="shared" si="171"/>
        <v>8985.0225599999994</v>
      </c>
    </row>
    <row r="265" spans="1:9" ht="38.25" x14ac:dyDescent="0.2">
      <c r="B265" s="121" t="s">
        <v>217</v>
      </c>
      <c r="C265" s="99" t="s">
        <v>48</v>
      </c>
      <c r="D265" s="99" t="s">
        <v>43</v>
      </c>
      <c r="E265" s="99" t="s">
        <v>218</v>
      </c>
      <c r="F265" s="99"/>
      <c r="G265" s="325">
        <f t="shared" si="171"/>
        <v>686.74800000000005</v>
      </c>
      <c r="H265" s="325">
        <f t="shared" si="171"/>
        <v>8298.2745599999998</v>
      </c>
      <c r="I265" s="325">
        <f t="shared" si="171"/>
        <v>8985.0225599999994</v>
      </c>
    </row>
    <row r="266" spans="1:9" ht="38.25" x14ac:dyDescent="0.2">
      <c r="B266" s="100" t="s">
        <v>204</v>
      </c>
      <c r="C266" s="99" t="s">
        <v>48</v>
      </c>
      <c r="D266" s="99" t="s">
        <v>43</v>
      </c>
      <c r="E266" s="99" t="s">
        <v>218</v>
      </c>
      <c r="F266" s="99" t="s">
        <v>205</v>
      </c>
      <c r="G266" s="325">
        <v>686.74800000000005</v>
      </c>
      <c r="H266" s="325">
        <f>-223.28+8521.55456</f>
        <v>8298.2745599999998</v>
      </c>
      <c r="I266" s="323">
        <f t="shared" ref="I266" si="172">G266+H266</f>
        <v>8985.0225599999994</v>
      </c>
    </row>
    <row r="267" spans="1:9" ht="25.5" x14ac:dyDescent="0.2">
      <c r="B267" s="121" t="s">
        <v>78</v>
      </c>
      <c r="C267" s="99" t="s">
        <v>48</v>
      </c>
      <c r="D267" s="99" t="s">
        <v>43</v>
      </c>
      <c r="E267" s="99" t="s">
        <v>98</v>
      </c>
      <c r="F267" s="99"/>
      <c r="G267" s="325">
        <f t="shared" ref="G267:I267" si="173">G268</f>
        <v>268404.51949999999</v>
      </c>
      <c r="H267" s="325">
        <f t="shared" si="173"/>
        <v>4026.5231200000007</v>
      </c>
      <c r="I267" s="325">
        <f t="shared" si="173"/>
        <v>272431.04262000002</v>
      </c>
    </row>
    <row r="268" spans="1:9" ht="25.5" x14ac:dyDescent="0.2">
      <c r="B268" s="121" t="s">
        <v>79</v>
      </c>
      <c r="C268" s="99" t="s">
        <v>48</v>
      </c>
      <c r="D268" s="99" t="s">
        <v>43</v>
      </c>
      <c r="E268" s="99" t="s">
        <v>99</v>
      </c>
      <c r="F268" s="99"/>
      <c r="G268" s="325">
        <f>G269+G272+G275+G281+G286+G288+G292+G294+G296+G300+G305+G307+G298+G303+G290</f>
        <v>268404.51949999999</v>
      </c>
      <c r="H268" s="325">
        <f t="shared" ref="H268:I268" si="174">H269+H272+H275+H281+H286+H288+H292+H294+H296+H300+H305+H307+H298+H303+H290</f>
        <v>4026.5231200000007</v>
      </c>
      <c r="I268" s="325">
        <f t="shared" si="174"/>
        <v>272431.04262000002</v>
      </c>
    </row>
    <row r="269" spans="1:9" ht="51" x14ac:dyDescent="0.2">
      <c r="B269" s="121" t="s">
        <v>232</v>
      </c>
      <c r="C269" s="99" t="s">
        <v>48</v>
      </c>
      <c r="D269" s="99" t="s">
        <v>43</v>
      </c>
      <c r="E269" s="123" t="s">
        <v>233</v>
      </c>
      <c r="F269" s="99"/>
      <c r="G269" s="325">
        <f>G270+G271</f>
        <v>4441.01</v>
      </c>
      <c r="H269" s="325">
        <f t="shared" ref="H269:I269" si="175">H270+H271</f>
        <v>355.98599999999999</v>
      </c>
      <c r="I269" s="325">
        <f t="shared" si="175"/>
        <v>4796.9960000000001</v>
      </c>
    </row>
    <row r="270" spans="1:9" ht="38.25" x14ac:dyDescent="0.2">
      <c r="B270" s="104" t="s">
        <v>214</v>
      </c>
      <c r="C270" s="99" t="s">
        <v>48</v>
      </c>
      <c r="D270" s="99" t="s">
        <v>43</v>
      </c>
      <c r="E270" s="99" t="s">
        <v>234</v>
      </c>
      <c r="F270" s="99" t="s">
        <v>215</v>
      </c>
      <c r="G270" s="325">
        <v>4441.01</v>
      </c>
      <c r="H270" s="325">
        <f>68.355</f>
        <v>68.355000000000004</v>
      </c>
      <c r="I270" s="323">
        <f t="shared" ref="I270" si="176">G270+H270</f>
        <v>4509.3649999999998</v>
      </c>
    </row>
    <row r="271" spans="1:9" x14ac:dyDescent="0.2">
      <c r="B271" s="104" t="s">
        <v>461</v>
      </c>
      <c r="C271" s="99" t="s">
        <v>48</v>
      </c>
      <c r="D271" s="99" t="s">
        <v>43</v>
      </c>
      <c r="E271" s="99" t="s">
        <v>234</v>
      </c>
      <c r="F271" s="99" t="s">
        <v>458</v>
      </c>
      <c r="G271" s="325"/>
      <c r="H271" s="325">
        <f>150+137.631</f>
        <v>287.63099999999997</v>
      </c>
      <c r="I271" s="325">
        <f>G271+H271</f>
        <v>287.63099999999997</v>
      </c>
    </row>
    <row r="272" spans="1:9" ht="51.75" customHeight="1" x14ac:dyDescent="0.2">
      <c r="B272" s="218" t="s">
        <v>235</v>
      </c>
      <c r="C272" s="146" t="s">
        <v>48</v>
      </c>
      <c r="D272" s="146" t="s">
        <v>43</v>
      </c>
      <c r="E272" s="147" t="s">
        <v>236</v>
      </c>
      <c r="F272" s="146"/>
      <c r="G272" s="327">
        <f t="shared" ref="G272:I272" si="177">G273+G274</f>
        <v>10311.34</v>
      </c>
      <c r="H272" s="327">
        <f t="shared" si="177"/>
        <v>-218.60298999999986</v>
      </c>
      <c r="I272" s="327">
        <f t="shared" si="177"/>
        <v>10092.737010000001</v>
      </c>
    </row>
    <row r="273" spans="2:9" ht="38.25" x14ac:dyDescent="0.2">
      <c r="B273" s="104" t="s">
        <v>214</v>
      </c>
      <c r="C273" s="99" t="s">
        <v>48</v>
      </c>
      <c r="D273" s="99" t="s">
        <v>43</v>
      </c>
      <c r="E273" s="123" t="s">
        <v>489</v>
      </c>
      <c r="F273" s="99" t="s">
        <v>215</v>
      </c>
      <c r="G273" s="325">
        <v>10220.34</v>
      </c>
      <c r="H273" s="325">
        <f>-3427.97042-218.60299+3427.97042</f>
        <v>-218.60298999999986</v>
      </c>
      <c r="I273" s="323">
        <f t="shared" ref="I273" si="178">G273+H273</f>
        <v>10001.737010000001</v>
      </c>
    </row>
    <row r="274" spans="2:9" x14ac:dyDescent="0.2">
      <c r="B274" s="104" t="s">
        <v>461</v>
      </c>
      <c r="C274" s="99" t="s">
        <v>48</v>
      </c>
      <c r="D274" s="99" t="s">
        <v>43</v>
      </c>
      <c r="E274" s="123" t="s">
        <v>489</v>
      </c>
      <c r="F274" s="99" t="s">
        <v>458</v>
      </c>
      <c r="G274" s="325">
        <v>91</v>
      </c>
      <c r="H274" s="323"/>
      <c r="I274" s="323">
        <f>G274+H274</f>
        <v>91</v>
      </c>
    </row>
    <row r="275" spans="2:9" ht="38.25" x14ac:dyDescent="0.2">
      <c r="B275" s="121" t="s">
        <v>84</v>
      </c>
      <c r="C275" s="99" t="s">
        <v>48</v>
      </c>
      <c r="D275" s="99" t="s">
        <v>43</v>
      </c>
      <c r="E275" s="99" t="s">
        <v>85</v>
      </c>
      <c r="F275" s="99"/>
      <c r="G275" s="323">
        <f>SUM(G276:G279)</f>
        <v>67130.852350000001</v>
      </c>
      <c r="H275" s="323">
        <f>SUM(H276:H279)</f>
        <v>-5988.549759999999</v>
      </c>
      <c r="I275" s="323">
        <f t="shared" ref="I275" si="179">SUM(I276:I279)</f>
        <v>61142.302589999999</v>
      </c>
    </row>
    <row r="276" spans="2:9" ht="38.25" x14ac:dyDescent="0.2">
      <c r="B276" s="204" t="s">
        <v>393</v>
      </c>
      <c r="C276" s="99" t="s">
        <v>48</v>
      </c>
      <c r="D276" s="99" t="s">
        <v>43</v>
      </c>
      <c r="E276" s="99" t="s">
        <v>85</v>
      </c>
      <c r="F276" s="99" t="s">
        <v>392</v>
      </c>
      <c r="G276" s="323">
        <v>962.57710999999995</v>
      </c>
      <c r="H276" s="323">
        <v>-35.94171</v>
      </c>
      <c r="I276" s="323">
        <f>G276+H276</f>
        <v>926.63539999999989</v>
      </c>
    </row>
    <row r="277" spans="2:9" ht="51" x14ac:dyDescent="0.2">
      <c r="B277" s="100" t="s">
        <v>81</v>
      </c>
      <c r="C277" s="99" t="s">
        <v>48</v>
      </c>
      <c r="D277" s="99" t="s">
        <v>43</v>
      </c>
      <c r="E277" s="99" t="s">
        <v>85</v>
      </c>
      <c r="F277" s="99" t="s">
        <v>83</v>
      </c>
      <c r="G277" s="323">
        <v>30640.985240000002</v>
      </c>
      <c r="H277" s="323">
        <f>-91.25628+900+10.96002+27+492.65849-386.5+28.37-42-623-900-27-3.472</f>
        <v>-614.23977000000002</v>
      </c>
      <c r="I277" s="428">
        <f>G277+H277</f>
        <v>30026.745470000002</v>
      </c>
    </row>
    <row r="278" spans="2:9" x14ac:dyDescent="0.2">
      <c r="B278" s="100" t="s">
        <v>86</v>
      </c>
      <c r="C278" s="99" t="s">
        <v>48</v>
      </c>
      <c r="D278" s="99" t="s">
        <v>43</v>
      </c>
      <c r="E278" s="99" t="s">
        <v>85</v>
      </c>
      <c r="F278" s="99" t="s">
        <v>87</v>
      </c>
      <c r="G278" s="323">
        <v>4803.1899999999996</v>
      </c>
      <c r="H278" s="323">
        <f>500+91.25628+375+38-28.37+27</f>
        <v>1002.8862800000001</v>
      </c>
      <c r="I278" s="428">
        <f>G278+H278</f>
        <v>5806.0762799999993</v>
      </c>
    </row>
    <row r="279" spans="2:9" ht="63.75" x14ac:dyDescent="0.2">
      <c r="B279" s="142" t="s">
        <v>319</v>
      </c>
      <c r="C279" s="99" t="s">
        <v>48</v>
      </c>
      <c r="D279" s="99" t="s">
        <v>43</v>
      </c>
      <c r="E279" s="99" t="s">
        <v>320</v>
      </c>
      <c r="F279" s="99"/>
      <c r="G279" s="323">
        <f>G280</f>
        <v>30724.1</v>
      </c>
      <c r="H279" s="323">
        <f t="shared" ref="H279:I279" si="180">H280</f>
        <v>-6341.2545599999994</v>
      </c>
      <c r="I279" s="323">
        <f t="shared" si="180"/>
        <v>24382.845439999997</v>
      </c>
    </row>
    <row r="280" spans="2:9" ht="51" x14ac:dyDescent="0.2">
      <c r="B280" s="100" t="s">
        <v>81</v>
      </c>
      <c r="C280" s="99" t="s">
        <v>48</v>
      </c>
      <c r="D280" s="99" t="s">
        <v>43</v>
      </c>
      <c r="E280" s="99" t="s">
        <v>85</v>
      </c>
      <c r="F280" s="99" t="s">
        <v>83</v>
      </c>
      <c r="G280" s="323">
        <v>30724.1</v>
      </c>
      <c r="H280" s="323">
        <f>-1377.92751-628-586.77249-700-3048.55456</f>
        <v>-6341.2545599999994</v>
      </c>
      <c r="I280" s="323">
        <f t="shared" ref="I280" si="181">G280+H280</f>
        <v>24382.845439999997</v>
      </c>
    </row>
    <row r="281" spans="2:9" ht="38.25" x14ac:dyDescent="0.2">
      <c r="B281" s="121" t="s">
        <v>88</v>
      </c>
      <c r="C281" s="99" t="s">
        <v>48</v>
      </c>
      <c r="D281" s="99" t="s">
        <v>43</v>
      </c>
      <c r="E281" s="99" t="s">
        <v>89</v>
      </c>
      <c r="F281" s="99"/>
      <c r="G281" s="323">
        <f t="shared" ref="G281:I281" si="182">SUM(G282:G284)</f>
        <v>5163.15967</v>
      </c>
      <c r="H281" s="323">
        <f t="shared" si="182"/>
        <v>-161.20529999999999</v>
      </c>
      <c r="I281" s="323">
        <f t="shared" si="182"/>
        <v>5001.9543700000004</v>
      </c>
    </row>
    <row r="282" spans="2:9" ht="51" x14ac:dyDescent="0.2">
      <c r="B282" s="100" t="s">
        <v>81</v>
      </c>
      <c r="C282" s="99" t="s">
        <v>48</v>
      </c>
      <c r="D282" s="99" t="s">
        <v>43</v>
      </c>
      <c r="E282" s="99" t="s">
        <v>89</v>
      </c>
      <c r="F282" s="99" t="s">
        <v>83</v>
      </c>
      <c r="G282" s="323">
        <v>4613.61967</v>
      </c>
      <c r="H282" s="323">
        <f>-145.4553+11.25</f>
        <v>-134.20529999999999</v>
      </c>
      <c r="I282" s="428">
        <f>G282+H282</f>
        <v>4479.4143700000004</v>
      </c>
    </row>
    <row r="283" spans="2:9" x14ac:dyDescent="0.2">
      <c r="B283" s="100" t="s">
        <v>86</v>
      </c>
      <c r="C283" s="99" t="s">
        <v>48</v>
      </c>
      <c r="D283" s="99" t="s">
        <v>43</v>
      </c>
      <c r="E283" s="99" t="s">
        <v>89</v>
      </c>
      <c r="F283" s="99" t="s">
        <v>87</v>
      </c>
      <c r="G283" s="323">
        <v>133</v>
      </c>
      <c r="H283" s="323">
        <f>-27+11.25-11.25</f>
        <v>-27</v>
      </c>
      <c r="I283" s="428">
        <f>G283+H283</f>
        <v>106</v>
      </c>
    </row>
    <row r="284" spans="2:9" ht="25.5" x14ac:dyDescent="0.2">
      <c r="B284" s="148" t="s">
        <v>321</v>
      </c>
      <c r="C284" s="99" t="s">
        <v>48</v>
      </c>
      <c r="D284" s="99" t="s">
        <v>43</v>
      </c>
      <c r="E284" s="99" t="s">
        <v>322</v>
      </c>
      <c r="F284" s="99"/>
      <c r="G284" s="323">
        <f>G285</f>
        <v>416.54</v>
      </c>
      <c r="H284" s="323">
        <f t="shared" ref="H284:I284" si="183">H285</f>
        <v>0</v>
      </c>
      <c r="I284" s="323">
        <f t="shared" si="183"/>
        <v>416.54</v>
      </c>
    </row>
    <row r="285" spans="2:9" ht="51" x14ac:dyDescent="0.2">
      <c r="B285" s="100" t="s">
        <v>81</v>
      </c>
      <c r="C285" s="99" t="s">
        <v>48</v>
      </c>
      <c r="D285" s="99" t="s">
        <v>43</v>
      </c>
      <c r="E285" s="99" t="s">
        <v>322</v>
      </c>
      <c r="F285" s="99" t="s">
        <v>83</v>
      </c>
      <c r="G285" s="323">
        <v>416.54</v>
      </c>
      <c r="H285" s="323"/>
      <c r="I285" s="323">
        <f t="shared" ref="I285" si="184">G285+H285</f>
        <v>416.54</v>
      </c>
    </row>
    <row r="286" spans="2:9" ht="42" customHeight="1" x14ac:dyDescent="0.2">
      <c r="B286" s="218" t="s">
        <v>90</v>
      </c>
      <c r="C286" s="99" t="s">
        <v>48</v>
      </c>
      <c r="D286" s="99" t="s">
        <v>43</v>
      </c>
      <c r="E286" s="99" t="s">
        <v>91</v>
      </c>
      <c r="F286" s="99"/>
      <c r="G286" s="323">
        <f t="shared" ref="G286:I286" si="185">G287</f>
        <v>5081</v>
      </c>
      <c r="H286" s="323">
        <f t="shared" si="185"/>
        <v>-43.047060000000002</v>
      </c>
      <c r="I286" s="323">
        <f t="shared" si="185"/>
        <v>5037.9529400000001</v>
      </c>
    </row>
    <row r="287" spans="2:9" ht="51" x14ac:dyDescent="0.2">
      <c r="B287" s="100" t="s">
        <v>81</v>
      </c>
      <c r="C287" s="99" t="s">
        <v>48</v>
      </c>
      <c r="D287" s="99" t="s">
        <v>43</v>
      </c>
      <c r="E287" s="99" t="s">
        <v>91</v>
      </c>
      <c r="F287" s="99" t="s">
        <v>83</v>
      </c>
      <c r="G287" s="323">
        <v>5081</v>
      </c>
      <c r="H287" s="323">
        <v>-43.047060000000002</v>
      </c>
      <c r="I287" s="323">
        <f t="shared" ref="I287" si="186">G287+H287</f>
        <v>5037.9529400000001</v>
      </c>
    </row>
    <row r="288" spans="2:9" ht="38.25" x14ac:dyDescent="0.2">
      <c r="B288" s="121" t="s">
        <v>92</v>
      </c>
      <c r="C288" s="99" t="s">
        <v>48</v>
      </c>
      <c r="D288" s="99" t="s">
        <v>43</v>
      </c>
      <c r="E288" s="99" t="s">
        <v>93</v>
      </c>
      <c r="F288" s="99"/>
      <c r="G288" s="323">
        <f t="shared" ref="G288:I288" si="187">G289</f>
        <v>820</v>
      </c>
      <c r="H288" s="323">
        <f t="shared" si="187"/>
        <v>11.72198</v>
      </c>
      <c r="I288" s="323">
        <f t="shared" si="187"/>
        <v>831.72198000000003</v>
      </c>
    </row>
    <row r="289" spans="1:9" ht="51" x14ac:dyDescent="0.2">
      <c r="B289" s="100" t="s">
        <v>81</v>
      </c>
      <c r="C289" s="99" t="s">
        <v>48</v>
      </c>
      <c r="D289" s="99" t="s">
        <v>43</v>
      </c>
      <c r="E289" s="99" t="s">
        <v>93</v>
      </c>
      <c r="F289" s="99" t="s">
        <v>83</v>
      </c>
      <c r="G289" s="323">
        <v>820</v>
      </c>
      <c r="H289" s="323">
        <f>8.24998+3.472</f>
        <v>11.72198</v>
      </c>
      <c r="I289" s="428">
        <f>G289+H289</f>
        <v>831.72198000000003</v>
      </c>
    </row>
    <row r="290" spans="1:9" x14ac:dyDescent="0.2">
      <c r="B290" s="324" t="s">
        <v>546</v>
      </c>
      <c r="C290" s="99" t="s">
        <v>48</v>
      </c>
      <c r="D290" s="99" t="s">
        <v>43</v>
      </c>
      <c r="E290" s="99" t="s">
        <v>547</v>
      </c>
      <c r="F290" s="99"/>
      <c r="G290" s="323">
        <f>G291</f>
        <v>0</v>
      </c>
      <c r="H290" s="323">
        <f>H291</f>
        <v>30</v>
      </c>
      <c r="I290" s="323">
        <f>I291</f>
        <v>30</v>
      </c>
    </row>
    <row r="291" spans="1:9" x14ac:dyDescent="0.2">
      <c r="B291" s="100" t="s">
        <v>86</v>
      </c>
      <c r="C291" s="99" t="s">
        <v>48</v>
      </c>
      <c r="D291" s="99" t="s">
        <v>43</v>
      </c>
      <c r="E291" s="99" t="s">
        <v>547</v>
      </c>
      <c r="F291" s="99" t="s">
        <v>87</v>
      </c>
      <c r="G291" s="323"/>
      <c r="H291" s="323">
        <v>30</v>
      </c>
      <c r="I291" s="323">
        <f>G291+H291</f>
        <v>30</v>
      </c>
    </row>
    <row r="292" spans="1:9" s="265" customFormat="1" ht="75" customHeight="1" x14ac:dyDescent="0.2">
      <c r="A292" s="55"/>
      <c r="B292" s="218" t="s">
        <v>94</v>
      </c>
      <c r="C292" s="99" t="s">
        <v>48</v>
      </c>
      <c r="D292" s="99" t="s">
        <v>43</v>
      </c>
      <c r="E292" s="160" t="s">
        <v>344</v>
      </c>
      <c r="F292" s="99"/>
      <c r="G292" s="323">
        <f t="shared" ref="G292:I292" si="188">G293</f>
        <v>155620.141</v>
      </c>
      <c r="H292" s="323">
        <f t="shared" si="188"/>
        <v>8940.2202499999985</v>
      </c>
      <c r="I292" s="323">
        <f t="shared" si="188"/>
        <v>164560.36125000002</v>
      </c>
    </row>
    <row r="293" spans="1:9" ht="51" x14ac:dyDescent="0.2">
      <c r="B293" s="100" t="s">
        <v>81</v>
      </c>
      <c r="C293" s="99" t="s">
        <v>48</v>
      </c>
      <c r="D293" s="99" t="s">
        <v>43</v>
      </c>
      <c r="E293" s="160" t="s">
        <v>344</v>
      </c>
      <c r="F293" s="99" t="s">
        <v>83</v>
      </c>
      <c r="G293" s="323">
        <v>155620.141</v>
      </c>
      <c r="H293" s="323">
        <f>8708.9+1343.89625-1112.576</f>
        <v>8940.2202499999985</v>
      </c>
      <c r="I293" s="323">
        <f t="shared" ref="I293" si="189">G293+H293</f>
        <v>164560.36125000002</v>
      </c>
    </row>
    <row r="294" spans="1:9" ht="51" x14ac:dyDescent="0.2">
      <c r="B294" s="121" t="s">
        <v>95</v>
      </c>
      <c r="C294" s="99" t="s">
        <v>48</v>
      </c>
      <c r="D294" s="99" t="s">
        <v>43</v>
      </c>
      <c r="E294" s="160" t="s">
        <v>345</v>
      </c>
      <c r="F294" s="99"/>
      <c r="G294" s="323">
        <f t="shared" ref="G294:I294" si="190">G295</f>
        <v>2369</v>
      </c>
      <c r="H294" s="323">
        <f t="shared" si="190"/>
        <v>0</v>
      </c>
      <c r="I294" s="323">
        <f t="shared" si="190"/>
        <v>2369</v>
      </c>
    </row>
    <row r="295" spans="1:9" ht="51" x14ac:dyDescent="0.2">
      <c r="B295" s="100" t="s">
        <v>81</v>
      </c>
      <c r="C295" s="99" t="s">
        <v>48</v>
      </c>
      <c r="D295" s="99" t="s">
        <v>43</v>
      </c>
      <c r="E295" s="160" t="s">
        <v>345</v>
      </c>
      <c r="F295" s="99" t="s">
        <v>83</v>
      </c>
      <c r="G295" s="323">
        <v>2369</v>
      </c>
      <c r="H295" s="323"/>
      <c r="I295" s="323">
        <f t="shared" ref="I295" si="191">G295+H295</f>
        <v>2369</v>
      </c>
    </row>
    <row r="296" spans="1:9" ht="63.75" x14ac:dyDescent="0.2">
      <c r="B296" s="121" t="s">
        <v>96</v>
      </c>
      <c r="C296" s="99" t="s">
        <v>48</v>
      </c>
      <c r="D296" s="99" t="s">
        <v>43</v>
      </c>
      <c r="E296" s="160" t="s">
        <v>346</v>
      </c>
      <c r="F296" s="99"/>
      <c r="G296" s="323">
        <f t="shared" ref="G296:I307" si="192">G297</f>
        <v>1419.5</v>
      </c>
      <c r="H296" s="323">
        <f t="shared" si="192"/>
        <v>0</v>
      </c>
      <c r="I296" s="323">
        <f t="shared" si="192"/>
        <v>1419.5</v>
      </c>
    </row>
    <row r="297" spans="1:9" ht="51" x14ac:dyDescent="0.2">
      <c r="B297" s="100" t="s">
        <v>81</v>
      </c>
      <c r="C297" s="99" t="s">
        <v>48</v>
      </c>
      <c r="D297" s="99" t="s">
        <v>43</v>
      </c>
      <c r="E297" s="160" t="s">
        <v>346</v>
      </c>
      <c r="F297" s="99" t="s">
        <v>83</v>
      </c>
      <c r="G297" s="323">
        <v>1419.5</v>
      </c>
      <c r="H297" s="323"/>
      <c r="I297" s="323">
        <f t="shared" ref="I297:I299" si="193">G297+H297</f>
        <v>1419.5</v>
      </c>
    </row>
    <row r="298" spans="1:9" ht="51" x14ac:dyDescent="0.2">
      <c r="B298" s="232" t="s">
        <v>459</v>
      </c>
      <c r="C298" s="99" t="s">
        <v>48</v>
      </c>
      <c r="D298" s="99" t="s">
        <v>43</v>
      </c>
      <c r="E298" s="160" t="s">
        <v>460</v>
      </c>
      <c r="F298" s="99"/>
      <c r="G298" s="323">
        <f>G299</f>
        <v>1092</v>
      </c>
      <c r="H298" s="323">
        <f>H299</f>
        <v>0</v>
      </c>
      <c r="I298" s="323">
        <f>G298+H298</f>
        <v>1092</v>
      </c>
    </row>
    <row r="299" spans="1:9" x14ac:dyDescent="0.2">
      <c r="B299" s="100" t="s">
        <v>86</v>
      </c>
      <c r="C299" s="99" t="s">
        <v>48</v>
      </c>
      <c r="D299" s="99" t="s">
        <v>43</v>
      </c>
      <c r="E299" s="160" t="s">
        <v>460</v>
      </c>
      <c r="F299" s="99" t="s">
        <v>87</v>
      </c>
      <c r="G299" s="323">
        <v>1092</v>
      </c>
      <c r="H299" s="323"/>
      <c r="I299" s="323">
        <f t="shared" si="193"/>
        <v>1092</v>
      </c>
    </row>
    <row r="300" spans="1:9" ht="51" x14ac:dyDescent="0.2">
      <c r="B300" s="4" t="s">
        <v>426</v>
      </c>
      <c r="C300" s="99" t="s">
        <v>48</v>
      </c>
      <c r="D300" s="99" t="s">
        <v>43</v>
      </c>
      <c r="E300" s="229" t="s">
        <v>425</v>
      </c>
      <c r="F300" s="99"/>
      <c r="G300" s="323">
        <f>G301+G302</f>
        <v>1721.3000000000002</v>
      </c>
      <c r="H300" s="323">
        <f>H301+H302</f>
        <v>0</v>
      </c>
      <c r="I300" s="323">
        <f>I301+I302</f>
        <v>1721.3000000000002</v>
      </c>
    </row>
    <row r="301" spans="1:9" ht="38.25" x14ac:dyDescent="0.2">
      <c r="B301" s="100" t="s">
        <v>386</v>
      </c>
      <c r="C301" s="99" t="s">
        <v>48</v>
      </c>
      <c r="D301" s="99" t="s">
        <v>43</v>
      </c>
      <c r="E301" s="229" t="s">
        <v>425</v>
      </c>
      <c r="F301" s="99" t="s">
        <v>83</v>
      </c>
      <c r="G301" s="323">
        <v>259.42</v>
      </c>
      <c r="H301" s="323"/>
      <c r="I301" s="323">
        <f t="shared" ref="I301" si="194">G301+H301</f>
        <v>259.42</v>
      </c>
    </row>
    <row r="302" spans="1:9" ht="38.25" x14ac:dyDescent="0.2">
      <c r="B302" s="104" t="s">
        <v>214</v>
      </c>
      <c r="C302" s="99" t="s">
        <v>48</v>
      </c>
      <c r="D302" s="99" t="s">
        <v>43</v>
      </c>
      <c r="E302" s="229" t="s">
        <v>425</v>
      </c>
      <c r="F302" s="99" t="s">
        <v>215</v>
      </c>
      <c r="G302" s="323">
        <v>1461.88</v>
      </c>
      <c r="H302" s="323"/>
      <c r="I302" s="323">
        <f t="shared" ref="I302" si="195">G302+H302</f>
        <v>1461.88</v>
      </c>
    </row>
    <row r="303" spans="1:9" ht="25.5" x14ac:dyDescent="0.2">
      <c r="B303" s="104" t="s">
        <v>510</v>
      </c>
      <c r="C303" s="99" t="s">
        <v>48</v>
      </c>
      <c r="D303" s="99" t="s">
        <v>43</v>
      </c>
      <c r="E303" s="99" t="s">
        <v>511</v>
      </c>
      <c r="F303" s="99"/>
      <c r="G303" s="325">
        <f>G304</f>
        <v>500</v>
      </c>
      <c r="H303" s="325">
        <f t="shared" ref="H303:I303" si="196">H304</f>
        <v>0</v>
      </c>
      <c r="I303" s="325">
        <f t="shared" si="196"/>
        <v>500</v>
      </c>
    </row>
    <row r="304" spans="1:9" x14ac:dyDescent="0.2">
      <c r="B304" s="104" t="s">
        <v>461</v>
      </c>
      <c r="C304" s="99" t="s">
        <v>48</v>
      </c>
      <c r="D304" s="99" t="s">
        <v>43</v>
      </c>
      <c r="E304" s="99" t="s">
        <v>511</v>
      </c>
      <c r="F304" s="99" t="s">
        <v>458</v>
      </c>
      <c r="G304" s="325">
        <v>500</v>
      </c>
      <c r="H304" s="325"/>
      <c r="I304" s="325">
        <f>G304+H304</f>
        <v>500</v>
      </c>
    </row>
    <row r="305" spans="2:9" ht="76.5" x14ac:dyDescent="0.2">
      <c r="B305" s="142" t="s">
        <v>446</v>
      </c>
      <c r="C305" s="99" t="s">
        <v>48</v>
      </c>
      <c r="D305" s="99" t="s">
        <v>43</v>
      </c>
      <c r="E305" s="205" t="s">
        <v>448</v>
      </c>
      <c r="F305" s="99"/>
      <c r="G305" s="323">
        <f t="shared" si="192"/>
        <v>12449.91901</v>
      </c>
      <c r="H305" s="323">
        <f t="shared" si="192"/>
        <v>0</v>
      </c>
      <c r="I305" s="323">
        <f t="shared" si="192"/>
        <v>12449.91901</v>
      </c>
    </row>
    <row r="306" spans="2:9" ht="38.25" x14ac:dyDescent="0.2">
      <c r="B306" s="100" t="s">
        <v>204</v>
      </c>
      <c r="C306" s="99" t="s">
        <v>48</v>
      </c>
      <c r="D306" s="99" t="s">
        <v>43</v>
      </c>
      <c r="E306" s="205" t="s">
        <v>448</v>
      </c>
      <c r="F306" s="99" t="s">
        <v>205</v>
      </c>
      <c r="G306" s="323">
        <v>12449.91901</v>
      </c>
      <c r="H306" s="323"/>
      <c r="I306" s="323">
        <f t="shared" ref="I306" si="197">G306+H306</f>
        <v>12449.91901</v>
      </c>
    </row>
    <row r="307" spans="2:9" ht="51" x14ac:dyDescent="0.2">
      <c r="B307" s="142" t="s">
        <v>447</v>
      </c>
      <c r="C307" s="99" t="s">
        <v>48</v>
      </c>
      <c r="D307" s="99" t="s">
        <v>43</v>
      </c>
      <c r="E307" s="205" t="s">
        <v>449</v>
      </c>
      <c r="F307" s="99"/>
      <c r="G307" s="323">
        <f t="shared" si="192"/>
        <v>285.29746999999998</v>
      </c>
      <c r="H307" s="323">
        <f t="shared" si="192"/>
        <v>1100</v>
      </c>
      <c r="I307" s="323">
        <f t="shared" si="192"/>
        <v>1385.29747</v>
      </c>
    </row>
    <row r="308" spans="2:9" ht="38.25" x14ac:dyDescent="0.2">
      <c r="B308" s="100" t="s">
        <v>204</v>
      </c>
      <c r="C308" s="99" t="s">
        <v>48</v>
      </c>
      <c r="D308" s="99" t="s">
        <v>43</v>
      </c>
      <c r="E308" s="205" t="s">
        <v>449</v>
      </c>
      <c r="F308" s="99" t="s">
        <v>205</v>
      </c>
      <c r="G308" s="323">
        <v>285.29746999999998</v>
      </c>
      <c r="H308" s="325">
        <v>1100</v>
      </c>
      <c r="I308" s="323">
        <f t="shared" ref="I308" si="198">G308+H308</f>
        <v>1385.29747</v>
      </c>
    </row>
    <row r="309" spans="2:9" x14ac:dyDescent="0.2">
      <c r="B309" s="100" t="s">
        <v>97</v>
      </c>
      <c r="C309" s="99" t="s">
        <v>48</v>
      </c>
      <c r="D309" s="99" t="s">
        <v>46</v>
      </c>
      <c r="E309" s="99"/>
      <c r="F309" s="99"/>
      <c r="G309" s="323">
        <f>G310</f>
        <v>635.49099999999999</v>
      </c>
      <c r="H309" s="323">
        <f t="shared" ref="H309:I309" si="199">H310</f>
        <v>-30.46</v>
      </c>
      <c r="I309" s="323">
        <f t="shared" si="199"/>
        <v>605.03099999999995</v>
      </c>
    </row>
    <row r="310" spans="2:9" ht="25.5" x14ac:dyDescent="0.2">
      <c r="B310" s="121" t="s">
        <v>78</v>
      </c>
      <c r="C310" s="99" t="s">
        <v>48</v>
      </c>
      <c r="D310" s="99" t="s">
        <v>46</v>
      </c>
      <c r="E310" s="99" t="s">
        <v>98</v>
      </c>
      <c r="F310" s="99"/>
      <c r="G310" s="323">
        <f t="shared" ref="G310:I312" si="200">G311</f>
        <v>635.49099999999999</v>
      </c>
      <c r="H310" s="323">
        <f t="shared" si="200"/>
        <v>-30.46</v>
      </c>
      <c r="I310" s="323">
        <f t="shared" si="200"/>
        <v>605.03099999999995</v>
      </c>
    </row>
    <row r="311" spans="2:9" ht="25.5" x14ac:dyDescent="0.2">
      <c r="B311" s="121" t="s">
        <v>79</v>
      </c>
      <c r="C311" s="99" t="s">
        <v>48</v>
      </c>
      <c r="D311" s="99" t="s">
        <v>46</v>
      </c>
      <c r="E311" s="99" t="s">
        <v>99</v>
      </c>
      <c r="F311" s="99"/>
      <c r="G311" s="323">
        <f t="shared" si="200"/>
        <v>635.49099999999999</v>
      </c>
      <c r="H311" s="323">
        <f t="shared" si="200"/>
        <v>-30.46</v>
      </c>
      <c r="I311" s="323">
        <f t="shared" si="200"/>
        <v>605.03099999999995</v>
      </c>
    </row>
    <row r="312" spans="2:9" ht="38.25" x14ac:dyDescent="0.2">
      <c r="B312" s="121" t="s">
        <v>84</v>
      </c>
      <c r="C312" s="99" t="s">
        <v>48</v>
      </c>
      <c r="D312" s="99" t="s">
        <v>46</v>
      </c>
      <c r="E312" s="99" t="s">
        <v>82</v>
      </c>
      <c r="F312" s="99"/>
      <c r="G312" s="323">
        <f>G313</f>
        <v>635.49099999999999</v>
      </c>
      <c r="H312" s="323">
        <f t="shared" si="200"/>
        <v>-30.46</v>
      </c>
      <c r="I312" s="323">
        <f t="shared" si="200"/>
        <v>605.03099999999995</v>
      </c>
    </row>
    <row r="313" spans="2:9" ht="51" x14ac:dyDescent="0.2">
      <c r="B313" s="100" t="s">
        <v>81</v>
      </c>
      <c r="C313" s="99" t="s">
        <v>48</v>
      </c>
      <c r="D313" s="99" t="s">
        <v>46</v>
      </c>
      <c r="E313" s="99" t="s">
        <v>82</v>
      </c>
      <c r="F313" s="99" t="s">
        <v>83</v>
      </c>
      <c r="G313" s="323">
        <v>635.49099999999999</v>
      </c>
      <c r="H313" s="323">
        <f>-19.21-11.25</f>
        <v>-30.46</v>
      </c>
      <c r="I313" s="323">
        <f t="shared" ref="I313" si="201">G313+H313</f>
        <v>605.03099999999995</v>
      </c>
    </row>
    <row r="314" spans="2:9" x14ac:dyDescent="0.2">
      <c r="B314" s="100" t="s">
        <v>15</v>
      </c>
      <c r="C314" s="99" t="s">
        <v>48</v>
      </c>
      <c r="D314" s="99" t="s">
        <v>48</v>
      </c>
      <c r="E314" s="99"/>
      <c r="F314" s="99"/>
      <c r="G314" s="323">
        <f>G315</f>
        <v>1912.0718000000002</v>
      </c>
      <c r="H314" s="323">
        <f t="shared" ref="H314:I314" si="202">H315</f>
        <v>0</v>
      </c>
      <c r="I314" s="323">
        <f t="shared" si="202"/>
        <v>1912.0718000000002</v>
      </c>
    </row>
    <row r="315" spans="2:9" ht="25.5" x14ac:dyDescent="0.2">
      <c r="B315" s="121" t="s">
        <v>78</v>
      </c>
      <c r="C315" s="99" t="s">
        <v>48</v>
      </c>
      <c r="D315" s="99" t="s">
        <v>48</v>
      </c>
      <c r="E315" s="99" t="s">
        <v>98</v>
      </c>
      <c r="F315" s="99"/>
      <c r="G315" s="323">
        <f>G316+G322</f>
        <v>1912.0718000000002</v>
      </c>
      <c r="H315" s="323">
        <f>H316+H322</f>
        <v>0</v>
      </c>
      <c r="I315" s="323">
        <f>I316+I322</f>
        <v>1912.0718000000002</v>
      </c>
    </row>
    <row r="316" spans="2:9" ht="25.5" x14ac:dyDescent="0.2">
      <c r="B316" s="121" t="s">
        <v>79</v>
      </c>
      <c r="C316" s="99" t="s">
        <v>48</v>
      </c>
      <c r="D316" s="99" t="s">
        <v>48</v>
      </c>
      <c r="E316" s="99" t="s">
        <v>99</v>
      </c>
      <c r="F316" s="99"/>
      <c r="G316" s="323">
        <f>G317+G319</f>
        <v>1782.0718000000002</v>
      </c>
      <c r="H316" s="323">
        <f>H317+H319</f>
        <v>0</v>
      </c>
      <c r="I316" s="323">
        <f>I317+I319</f>
        <v>1782.0718000000002</v>
      </c>
    </row>
    <row r="317" spans="2:9" ht="51" x14ac:dyDescent="0.2">
      <c r="B317" s="121" t="s">
        <v>100</v>
      </c>
      <c r="C317" s="99" t="s">
        <v>48</v>
      </c>
      <c r="D317" s="99" t="s">
        <v>48</v>
      </c>
      <c r="E317" s="99" t="s">
        <v>101</v>
      </c>
      <c r="F317" s="99"/>
      <c r="G317" s="323">
        <f t="shared" ref="G317:I317" si="203">G318</f>
        <v>150</v>
      </c>
      <c r="H317" s="323">
        <f t="shared" si="203"/>
        <v>0</v>
      </c>
      <c r="I317" s="323">
        <f t="shared" si="203"/>
        <v>150</v>
      </c>
    </row>
    <row r="318" spans="2:9" x14ac:dyDescent="0.2">
      <c r="B318" s="100" t="s">
        <v>86</v>
      </c>
      <c r="C318" s="99" t="s">
        <v>48</v>
      </c>
      <c r="D318" s="99" t="s">
        <v>48</v>
      </c>
      <c r="E318" s="99" t="s">
        <v>101</v>
      </c>
      <c r="F318" s="99" t="s">
        <v>87</v>
      </c>
      <c r="G318" s="323">
        <v>150</v>
      </c>
      <c r="H318" s="323"/>
      <c r="I318" s="323">
        <f t="shared" ref="I318" si="204">G318+H318</f>
        <v>150</v>
      </c>
    </row>
    <row r="319" spans="2:9" ht="63.75" x14ac:dyDescent="0.2">
      <c r="B319" s="120" t="s">
        <v>323</v>
      </c>
      <c r="C319" s="99" t="s">
        <v>48</v>
      </c>
      <c r="D319" s="99" t="s">
        <v>48</v>
      </c>
      <c r="E319" s="99" t="s">
        <v>102</v>
      </c>
      <c r="F319" s="99"/>
      <c r="G319" s="323">
        <f>G321+G320</f>
        <v>1632.0718000000002</v>
      </c>
      <c r="H319" s="323">
        <f>H321+H320</f>
        <v>0</v>
      </c>
      <c r="I319" s="323">
        <f>I321+I320</f>
        <v>1632.0718000000002</v>
      </c>
    </row>
    <row r="320" spans="2:9" ht="25.5" x14ac:dyDescent="0.2">
      <c r="B320" s="197" t="s">
        <v>125</v>
      </c>
      <c r="C320" s="99" t="s">
        <v>48</v>
      </c>
      <c r="D320" s="99" t="s">
        <v>48</v>
      </c>
      <c r="E320" s="99" t="s">
        <v>102</v>
      </c>
      <c r="F320" s="99" t="s">
        <v>126</v>
      </c>
      <c r="G320" s="323">
        <v>504.16180000000003</v>
      </c>
      <c r="H320" s="323"/>
      <c r="I320" s="323">
        <f>G320+H320</f>
        <v>504.16180000000003</v>
      </c>
    </row>
    <row r="321" spans="2:9" x14ac:dyDescent="0.2">
      <c r="B321" s="100" t="s">
        <v>86</v>
      </c>
      <c r="C321" s="99" t="s">
        <v>48</v>
      </c>
      <c r="D321" s="99" t="s">
        <v>48</v>
      </c>
      <c r="E321" s="99" t="s">
        <v>102</v>
      </c>
      <c r="F321" s="99" t="s">
        <v>87</v>
      </c>
      <c r="G321" s="323">
        <v>1127.9100000000001</v>
      </c>
      <c r="H321" s="323"/>
      <c r="I321" s="323">
        <f t="shared" ref="I321" si="205">G321+H321</f>
        <v>1127.9100000000001</v>
      </c>
    </row>
    <row r="322" spans="2:9" ht="38.25" x14ac:dyDescent="0.2">
      <c r="B322" s="121" t="s">
        <v>243</v>
      </c>
      <c r="C322" s="99" t="s">
        <v>48</v>
      </c>
      <c r="D322" s="99" t="s">
        <v>48</v>
      </c>
      <c r="E322" s="99" t="s">
        <v>244</v>
      </c>
      <c r="F322" s="99"/>
      <c r="G322" s="323">
        <f t="shared" ref="G322:I322" si="206">G323</f>
        <v>130</v>
      </c>
      <c r="H322" s="323">
        <f t="shared" si="206"/>
        <v>0</v>
      </c>
      <c r="I322" s="323">
        <f t="shared" si="206"/>
        <v>130</v>
      </c>
    </row>
    <row r="323" spans="2:9" ht="25.5" x14ac:dyDescent="0.2">
      <c r="B323" s="121" t="s">
        <v>245</v>
      </c>
      <c r="C323" s="99" t="s">
        <v>48</v>
      </c>
      <c r="D323" s="99" t="s">
        <v>48</v>
      </c>
      <c r="E323" s="99" t="s">
        <v>260</v>
      </c>
      <c r="F323" s="99"/>
      <c r="G323" s="323">
        <f>G324+G325+G326</f>
        <v>130</v>
      </c>
      <c r="H323" s="323">
        <f t="shared" ref="H323:I323" si="207">H324+H325+H326</f>
        <v>0</v>
      </c>
      <c r="I323" s="323">
        <f t="shared" si="207"/>
        <v>130</v>
      </c>
    </row>
    <row r="324" spans="2:9" hidden="1" x14ac:dyDescent="0.2">
      <c r="B324" s="101" t="s">
        <v>106</v>
      </c>
      <c r="C324" s="99" t="s">
        <v>48</v>
      </c>
      <c r="D324" s="99" t="s">
        <v>48</v>
      </c>
      <c r="E324" s="99" t="s">
        <v>260</v>
      </c>
      <c r="F324" s="99" t="s">
        <v>107</v>
      </c>
      <c r="G324" s="323"/>
      <c r="H324" s="323"/>
      <c r="I324" s="323"/>
    </row>
    <row r="325" spans="2:9" ht="38.25" x14ac:dyDescent="0.2">
      <c r="B325" s="100" t="s">
        <v>108</v>
      </c>
      <c r="C325" s="99" t="s">
        <v>48</v>
      </c>
      <c r="D325" s="99" t="s">
        <v>48</v>
      </c>
      <c r="E325" s="99" t="s">
        <v>260</v>
      </c>
      <c r="F325" s="99" t="s">
        <v>109</v>
      </c>
      <c r="G325" s="323">
        <v>5</v>
      </c>
      <c r="H325" s="323"/>
      <c r="I325" s="323">
        <f t="shared" ref="I325" si="208">G325+H325</f>
        <v>5</v>
      </c>
    </row>
    <row r="326" spans="2:9" ht="25.5" x14ac:dyDescent="0.2">
      <c r="B326" s="100" t="s">
        <v>114</v>
      </c>
      <c r="C326" s="99" t="s">
        <v>48</v>
      </c>
      <c r="D326" s="99" t="s">
        <v>48</v>
      </c>
      <c r="E326" s="99" t="s">
        <v>260</v>
      </c>
      <c r="F326" s="99" t="s">
        <v>115</v>
      </c>
      <c r="G326" s="323">
        <v>125</v>
      </c>
      <c r="H326" s="323"/>
      <c r="I326" s="323">
        <f t="shared" ref="I326" si="209">G326+H326</f>
        <v>125</v>
      </c>
    </row>
    <row r="327" spans="2:9" x14ac:dyDescent="0.2">
      <c r="B327" s="100" t="s">
        <v>14</v>
      </c>
      <c r="C327" s="99" t="s">
        <v>48</v>
      </c>
      <c r="D327" s="99" t="s">
        <v>103</v>
      </c>
      <c r="E327" s="99"/>
      <c r="F327" s="99"/>
      <c r="G327" s="323">
        <f>G328</f>
        <v>8805.1290000000008</v>
      </c>
      <c r="H327" s="323">
        <f t="shared" ref="H327:I327" si="210">H328</f>
        <v>1006.5272399999999</v>
      </c>
      <c r="I327" s="323">
        <f t="shared" si="210"/>
        <v>9811.6562399999984</v>
      </c>
    </row>
    <row r="328" spans="2:9" ht="25.5" x14ac:dyDescent="0.2">
      <c r="B328" s="121" t="s">
        <v>78</v>
      </c>
      <c r="C328" s="99" t="s">
        <v>48</v>
      </c>
      <c r="D328" s="99" t="s">
        <v>103</v>
      </c>
      <c r="E328" s="99" t="s">
        <v>98</v>
      </c>
      <c r="F328" s="99"/>
      <c r="G328" s="323">
        <f>G329+G338</f>
        <v>8805.1290000000008</v>
      </c>
      <c r="H328" s="323">
        <f t="shared" ref="H328:I328" si="211">H329+H338</f>
        <v>1006.5272399999999</v>
      </c>
      <c r="I328" s="323">
        <f t="shared" si="211"/>
        <v>9811.6562399999984</v>
      </c>
    </row>
    <row r="329" spans="2:9" ht="51" x14ac:dyDescent="0.2">
      <c r="B329" s="121" t="s">
        <v>104</v>
      </c>
      <c r="C329" s="99" t="s">
        <v>48</v>
      </c>
      <c r="D329" s="99" t="s">
        <v>103</v>
      </c>
      <c r="E329" s="99" t="s">
        <v>105</v>
      </c>
      <c r="F329" s="99"/>
      <c r="G329" s="323">
        <f>SUM(G330:G336)</f>
        <v>1080.6600000000001</v>
      </c>
      <c r="H329" s="323">
        <f t="shared" ref="H329:I329" si="212">SUM(H330:H336)</f>
        <v>-21</v>
      </c>
      <c r="I329" s="323">
        <f t="shared" si="212"/>
        <v>1059.6600000000001</v>
      </c>
    </row>
    <row r="330" spans="2:9" x14ac:dyDescent="0.2">
      <c r="B330" s="101" t="s">
        <v>106</v>
      </c>
      <c r="C330" s="99" t="s">
        <v>48</v>
      </c>
      <c r="D330" s="99" t="s">
        <v>103</v>
      </c>
      <c r="E330" s="99" t="s">
        <v>105</v>
      </c>
      <c r="F330" s="99" t="s">
        <v>107</v>
      </c>
      <c r="G330" s="323">
        <v>1080.6600000000001</v>
      </c>
      <c r="H330" s="323">
        <v>-21</v>
      </c>
      <c r="I330" s="323">
        <f t="shared" ref="I330" si="213">G330+H330</f>
        <v>1059.6600000000001</v>
      </c>
    </row>
    <row r="331" spans="2:9" ht="38.25" hidden="1" x14ac:dyDescent="0.2">
      <c r="B331" s="100" t="s">
        <v>108</v>
      </c>
      <c r="C331" s="99" t="s">
        <v>48</v>
      </c>
      <c r="D331" s="99" t="s">
        <v>103</v>
      </c>
      <c r="E331" s="99" t="s">
        <v>105</v>
      </c>
      <c r="F331" s="99" t="s">
        <v>109</v>
      </c>
      <c r="G331" s="323"/>
      <c r="H331" s="323"/>
      <c r="I331" s="323"/>
    </row>
    <row r="332" spans="2:9" ht="51" hidden="1" x14ac:dyDescent="0.2">
      <c r="B332" s="100" t="s">
        <v>110</v>
      </c>
      <c r="C332" s="99" t="s">
        <v>48</v>
      </c>
      <c r="D332" s="99" t="s">
        <v>103</v>
      </c>
      <c r="E332" s="99" t="s">
        <v>105</v>
      </c>
      <c r="F332" s="99" t="s">
        <v>111</v>
      </c>
      <c r="G332" s="323"/>
      <c r="H332" s="323"/>
      <c r="I332" s="323"/>
    </row>
    <row r="333" spans="2:9" ht="25.5" hidden="1" x14ac:dyDescent="0.2">
      <c r="B333" s="102" t="s">
        <v>112</v>
      </c>
      <c r="C333" s="99" t="s">
        <v>48</v>
      </c>
      <c r="D333" s="99" t="s">
        <v>103</v>
      </c>
      <c r="E333" s="99" t="s">
        <v>105</v>
      </c>
      <c r="F333" s="99" t="s">
        <v>113</v>
      </c>
      <c r="G333" s="323"/>
      <c r="H333" s="323"/>
      <c r="I333" s="323"/>
    </row>
    <row r="334" spans="2:9" ht="25.5" hidden="1" x14ac:dyDescent="0.2">
      <c r="B334" s="100" t="s">
        <v>114</v>
      </c>
      <c r="C334" s="99" t="s">
        <v>48</v>
      </c>
      <c r="D334" s="99" t="s">
        <v>103</v>
      </c>
      <c r="E334" s="99" t="s">
        <v>105</v>
      </c>
      <c r="F334" s="99" t="s">
        <v>115</v>
      </c>
      <c r="G334" s="323"/>
      <c r="H334" s="323"/>
      <c r="I334" s="323"/>
    </row>
    <row r="335" spans="2:9" ht="38.25" hidden="1" x14ac:dyDescent="0.2">
      <c r="B335" s="135" t="s">
        <v>116</v>
      </c>
      <c r="C335" s="99" t="s">
        <v>48</v>
      </c>
      <c r="D335" s="99" t="s">
        <v>103</v>
      </c>
      <c r="E335" s="99" t="s">
        <v>105</v>
      </c>
      <c r="F335" s="99" t="s">
        <v>117</v>
      </c>
      <c r="G335" s="323"/>
      <c r="H335" s="323"/>
      <c r="I335" s="323"/>
    </row>
    <row r="336" spans="2:9" hidden="1" x14ac:dyDescent="0.2">
      <c r="B336" s="135" t="s">
        <v>118</v>
      </c>
      <c r="C336" s="99" t="s">
        <v>48</v>
      </c>
      <c r="D336" s="99" t="s">
        <v>103</v>
      </c>
      <c r="E336" s="99" t="s">
        <v>105</v>
      </c>
      <c r="F336" s="99" t="s">
        <v>119</v>
      </c>
      <c r="G336" s="323"/>
      <c r="H336" s="323"/>
      <c r="I336" s="323"/>
    </row>
    <row r="337" spans="2:9" ht="25.5" x14ac:dyDescent="0.2">
      <c r="B337" s="121" t="s">
        <v>79</v>
      </c>
      <c r="C337" s="99" t="s">
        <v>48</v>
      </c>
      <c r="D337" s="99" t="s">
        <v>103</v>
      </c>
      <c r="E337" s="99" t="s">
        <v>99</v>
      </c>
      <c r="F337" s="99"/>
      <c r="G337" s="323">
        <f t="shared" ref="G337:I337" si="214">G338</f>
        <v>7724.4690000000001</v>
      </c>
      <c r="H337" s="323">
        <f t="shared" si="214"/>
        <v>1027.5272399999999</v>
      </c>
      <c r="I337" s="323">
        <f t="shared" si="214"/>
        <v>8751.9962399999986</v>
      </c>
    </row>
    <row r="338" spans="2:9" ht="51" x14ac:dyDescent="0.2">
      <c r="B338" s="100" t="s">
        <v>120</v>
      </c>
      <c r="C338" s="99" t="s">
        <v>48</v>
      </c>
      <c r="D338" s="99" t="s">
        <v>103</v>
      </c>
      <c r="E338" s="99" t="s">
        <v>419</v>
      </c>
      <c r="F338" s="99"/>
      <c r="G338" s="323">
        <f>SUM(G339:G344)</f>
        <v>7724.4690000000001</v>
      </c>
      <c r="H338" s="323">
        <f t="shared" ref="H338:I338" si="215">SUM(H339:H344)</f>
        <v>1027.5272399999999</v>
      </c>
      <c r="I338" s="323">
        <f t="shared" si="215"/>
        <v>8751.9962399999986</v>
      </c>
    </row>
    <row r="339" spans="2:9" x14ac:dyDescent="0.2">
      <c r="B339" s="101" t="s">
        <v>106</v>
      </c>
      <c r="C339" s="99" t="s">
        <v>48</v>
      </c>
      <c r="D339" s="99" t="s">
        <v>103</v>
      </c>
      <c r="E339" s="99" t="s">
        <v>419</v>
      </c>
      <c r="F339" s="99" t="s">
        <v>107</v>
      </c>
      <c r="G339" s="323">
        <v>5562.2839999999997</v>
      </c>
      <c r="H339" s="323">
        <f>59+21+939.52724</f>
        <v>1019.52724</v>
      </c>
      <c r="I339" s="323">
        <f t="shared" ref="I339:I343" si="216">G339+H339</f>
        <v>6581.81124</v>
      </c>
    </row>
    <row r="340" spans="2:9" ht="38.25" x14ac:dyDescent="0.2">
      <c r="B340" s="100" t="s">
        <v>108</v>
      </c>
      <c r="C340" s="99" t="s">
        <v>48</v>
      </c>
      <c r="D340" s="99" t="s">
        <v>103</v>
      </c>
      <c r="E340" s="99" t="s">
        <v>419</v>
      </c>
      <c r="F340" s="99" t="s">
        <v>109</v>
      </c>
      <c r="G340" s="323">
        <v>25</v>
      </c>
      <c r="H340" s="323"/>
      <c r="I340" s="323">
        <f t="shared" si="216"/>
        <v>25</v>
      </c>
    </row>
    <row r="341" spans="2:9" ht="25.5" x14ac:dyDescent="0.2">
      <c r="B341" s="102" t="s">
        <v>112</v>
      </c>
      <c r="C341" s="99" t="s">
        <v>48</v>
      </c>
      <c r="D341" s="99" t="s">
        <v>103</v>
      </c>
      <c r="E341" s="99" t="s">
        <v>419</v>
      </c>
      <c r="F341" s="99" t="s">
        <v>113</v>
      </c>
      <c r="G341" s="323">
        <v>164</v>
      </c>
      <c r="H341" s="323">
        <f>-31+5</f>
        <v>-26</v>
      </c>
      <c r="I341" s="323">
        <f t="shared" si="216"/>
        <v>138</v>
      </c>
    </row>
    <row r="342" spans="2:9" ht="25.5" x14ac:dyDescent="0.2">
      <c r="B342" s="100" t="s">
        <v>114</v>
      </c>
      <c r="C342" s="99" t="s">
        <v>48</v>
      </c>
      <c r="D342" s="99" t="s">
        <v>103</v>
      </c>
      <c r="E342" s="99" t="s">
        <v>419</v>
      </c>
      <c r="F342" s="99" t="s">
        <v>115</v>
      </c>
      <c r="G342" s="323">
        <v>1957.54</v>
      </c>
      <c r="H342" s="323">
        <f>-59-15.8-10+12+39.8+25+42</f>
        <v>34</v>
      </c>
      <c r="I342" s="323">
        <f t="shared" si="216"/>
        <v>1991.54</v>
      </c>
    </row>
    <row r="343" spans="2:9" ht="28.5" customHeight="1" x14ac:dyDescent="0.2">
      <c r="B343" s="216" t="s">
        <v>116</v>
      </c>
      <c r="C343" s="99" t="s">
        <v>48</v>
      </c>
      <c r="D343" s="99" t="s">
        <v>103</v>
      </c>
      <c r="E343" s="99" t="s">
        <v>419</v>
      </c>
      <c r="F343" s="99" t="s">
        <v>117</v>
      </c>
      <c r="G343" s="323">
        <v>1.55</v>
      </c>
      <c r="H343" s="323"/>
      <c r="I343" s="323">
        <f t="shared" si="216"/>
        <v>1.55</v>
      </c>
    </row>
    <row r="344" spans="2:9" x14ac:dyDescent="0.2">
      <c r="B344" s="135" t="s">
        <v>118</v>
      </c>
      <c r="C344" s="99" t="s">
        <v>48</v>
      </c>
      <c r="D344" s="99" t="s">
        <v>103</v>
      </c>
      <c r="E344" s="99" t="s">
        <v>419</v>
      </c>
      <c r="F344" s="99" t="s">
        <v>119</v>
      </c>
      <c r="G344" s="323">
        <v>14.095000000000001</v>
      </c>
      <c r="H344" s="323"/>
      <c r="I344" s="323">
        <f t="shared" ref="I344" si="217">G344+H344</f>
        <v>14.095000000000001</v>
      </c>
    </row>
    <row r="345" spans="2:9" x14ac:dyDescent="0.2">
      <c r="B345" s="217" t="s">
        <v>261</v>
      </c>
      <c r="C345" s="99" t="s">
        <v>49</v>
      </c>
      <c r="D345" s="99"/>
      <c r="E345" s="99"/>
      <c r="F345" s="99"/>
      <c r="G345" s="323">
        <f>G346+G381</f>
        <v>25597.12977</v>
      </c>
      <c r="H345" s="323">
        <f>H346+H381</f>
        <v>-339.87579000000005</v>
      </c>
      <c r="I345" s="323">
        <f>I346+I381</f>
        <v>25257.253979999998</v>
      </c>
    </row>
    <row r="346" spans="2:9" x14ac:dyDescent="0.2">
      <c r="B346" s="104" t="s">
        <v>13</v>
      </c>
      <c r="C346" s="99" t="s">
        <v>49</v>
      </c>
      <c r="D346" s="99" t="s">
        <v>42</v>
      </c>
      <c r="E346" s="99"/>
      <c r="F346" s="99"/>
      <c r="G346" s="323">
        <f>G353+G376+G347</f>
        <v>23609.179769999999</v>
      </c>
      <c r="H346" s="323">
        <f>H353+H376+H347</f>
        <v>-1464.3910000000001</v>
      </c>
      <c r="I346" s="323">
        <f>I353+I376+I347</f>
        <v>22144.788769999999</v>
      </c>
    </row>
    <row r="347" spans="2:9" ht="38.25" x14ac:dyDescent="0.2">
      <c r="B347" s="259" t="s">
        <v>492</v>
      </c>
      <c r="C347" s="99" t="s">
        <v>49</v>
      </c>
      <c r="D347" s="99" t="s">
        <v>42</v>
      </c>
      <c r="E347" s="230" t="s">
        <v>171</v>
      </c>
      <c r="F347" s="99"/>
      <c r="G347" s="323">
        <f>G348</f>
        <v>302.32</v>
      </c>
      <c r="H347" s="323">
        <f t="shared" ref="H347:I347" si="218">H348</f>
        <v>0</v>
      </c>
      <c r="I347" s="323">
        <f t="shared" si="218"/>
        <v>302.32</v>
      </c>
    </row>
    <row r="348" spans="2:9" x14ac:dyDescent="0.2">
      <c r="B348" s="259" t="s">
        <v>493</v>
      </c>
      <c r="C348" s="99" t="s">
        <v>49</v>
      </c>
      <c r="D348" s="99" t="s">
        <v>42</v>
      </c>
      <c r="E348" s="230" t="s">
        <v>193</v>
      </c>
      <c r="F348" s="99"/>
      <c r="G348" s="323">
        <f>G349+G351</f>
        <v>302.32</v>
      </c>
      <c r="H348" s="323">
        <f>H349+H351</f>
        <v>0</v>
      </c>
      <c r="I348" s="323">
        <f t="shared" ref="I348" si="219">I349+I351</f>
        <v>302.32</v>
      </c>
    </row>
    <row r="349" spans="2:9" ht="51" x14ac:dyDescent="0.2">
      <c r="B349" s="16" t="s">
        <v>494</v>
      </c>
      <c r="C349" s="99" t="s">
        <v>49</v>
      </c>
      <c r="D349" s="99" t="s">
        <v>42</v>
      </c>
      <c r="E349" s="230" t="s">
        <v>470</v>
      </c>
      <c r="F349" s="99"/>
      <c r="G349" s="323">
        <f>G350</f>
        <v>15.116</v>
      </c>
      <c r="H349" s="323">
        <f t="shared" ref="H349:I349" si="220">H350</f>
        <v>0</v>
      </c>
      <c r="I349" s="323">
        <f t="shared" si="220"/>
        <v>15.116</v>
      </c>
    </row>
    <row r="350" spans="2:9" x14ac:dyDescent="0.2">
      <c r="B350" s="210" t="s">
        <v>403</v>
      </c>
      <c r="C350" s="99" t="s">
        <v>49</v>
      </c>
      <c r="D350" s="99" t="s">
        <v>42</v>
      </c>
      <c r="E350" s="230" t="s">
        <v>470</v>
      </c>
      <c r="F350" s="99" t="s">
        <v>402</v>
      </c>
      <c r="G350" s="323">
        <v>15.116</v>
      </c>
      <c r="H350" s="323"/>
      <c r="I350" s="323">
        <f>G350+H350</f>
        <v>15.116</v>
      </c>
    </row>
    <row r="351" spans="2:9" ht="25.5" x14ac:dyDescent="0.2">
      <c r="B351" s="16" t="s">
        <v>495</v>
      </c>
      <c r="C351" s="99" t="s">
        <v>49</v>
      </c>
      <c r="D351" s="99" t="s">
        <v>42</v>
      </c>
      <c r="E351" s="230" t="s">
        <v>496</v>
      </c>
      <c r="F351" s="99"/>
      <c r="G351" s="323">
        <f>G352</f>
        <v>287.20400000000001</v>
      </c>
      <c r="H351" s="323">
        <f t="shared" ref="H351:I351" si="221">H352</f>
        <v>0</v>
      </c>
      <c r="I351" s="323">
        <f t="shared" si="221"/>
        <v>287.20400000000001</v>
      </c>
    </row>
    <row r="352" spans="2:9" x14ac:dyDescent="0.2">
      <c r="B352" s="210" t="s">
        <v>403</v>
      </c>
      <c r="C352" s="99" t="s">
        <v>49</v>
      </c>
      <c r="D352" s="99" t="s">
        <v>42</v>
      </c>
      <c r="E352" s="230" t="s">
        <v>496</v>
      </c>
      <c r="F352" s="99" t="s">
        <v>402</v>
      </c>
      <c r="G352" s="323">
        <v>287.20400000000001</v>
      </c>
      <c r="H352" s="323"/>
      <c r="I352" s="323">
        <f>G352+H352</f>
        <v>287.20400000000001</v>
      </c>
    </row>
    <row r="353" spans="2:9" ht="25.5" x14ac:dyDescent="0.2">
      <c r="B353" s="121" t="s">
        <v>78</v>
      </c>
      <c r="C353" s="99" t="s">
        <v>49</v>
      </c>
      <c r="D353" s="99" t="s">
        <v>42</v>
      </c>
      <c r="E353" s="99" t="s">
        <v>98</v>
      </c>
      <c r="F353" s="99"/>
      <c r="G353" s="323">
        <f>G356+G354</f>
        <v>21344.7</v>
      </c>
      <c r="H353" s="323">
        <f>H356+H354</f>
        <v>-1464.3910000000001</v>
      </c>
      <c r="I353" s="323">
        <f t="shared" ref="I353" si="222">I356+I354</f>
        <v>19880.309000000001</v>
      </c>
    </row>
    <row r="354" spans="2:9" ht="63.75" x14ac:dyDescent="0.2">
      <c r="B354" s="128" t="s">
        <v>302</v>
      </c>
      <c r="C354" s="99" t="s">
        <v>49</v>
      </c>
      <c r="D354" s="99" t="s">
        <v>42</v>
      </c>
      <c r="E354" s="99" t="s">
        <v>303</v>
      </c>
      <c r="F354" s="99"/>
      <c r="G354" s="323">
        <f>G355</f>
        <v>1145.76</v>
      </c>
      <c r="H354" s="323">
        <f t="shared" ref="H354:I354" si="223">H355</f>
        <v>-1145.76</v>
      </c>
      <c r="I354" s="323">
        <f t="shared" si="223"/>
        <v>0</v>
      </c>
    </row>
    <row r="355" spans="2:9" ht="38.25" x14ac:dyDescent="0.2">
      <c r="B355" s="100" t="s">
        <v>106</v>
      </c>
      <c r="C355" s="99" t="s">
        <v>49</v>
      </c>
      <c r="D355" s="99" t="s">
        <v>42</v>
      </c>
      <c r="E355" s="99" t="s">
        <v>303</v>
      </c>
      <c r="F355" s="99" t="s">
        <v>107</v>
      </c>
      <c r="G355" s="323">
        <v>1145.76</v>
      </c>
      <c r="H355" s="323">
        <f>-58.02829-1087.73171</f>
        <v>-1145.76</v>
      </c>
      <c r="I355" s="323">
        <f t="shared" ref="I355" si="224">G355+H355</f>
        <v>0</v>
      </c>
    </row>
    <row r="356" spans="2:9" ht="38.25" x14ac:dyDescent="0.2">
      <c r="B356" s="121" t="s">
        <v>243</v>
      </c>
      <c r="C356" s="99" t="s">
        <v>49</v>
      </c>
      <c r="D356" s="99" t="s">
        <v>42</v>
      </c>
      <c r="E356" s="99" t="s">
        <v>244</v>
      </c>
      <c r="F356" s="99"/>
      <c r="G356" s="323">
        <f>G368+G357+G360+G364+G366+G362+G371</f>
        <v>20198.940000000002</v>
      </c>
      <c r="H356" s="323">
        <f t="shared" ref="H356:I356" si="225">H368+H357+H360+H364+H366+H362+H371</f>
        <v>-318.63099999999997</v>
      </c>
      <c r="I356" s="323">
        <f t="shared" si="225"/>
        <v>19880.309000000001</v>
      </c>
    </row>
    <row r="357" spans="2:9" ht="25.5" x14ac:dyDescent="0.2">
      <c r="B357" s="4" t="s">
        <v>452</v>
      </c>
      <c r="C357" s="99" t="s">
        <v>49</v>
      </c>
      <c r="D357" s="99" t="s">
        <v>42</v>
      </c>
      <c r="E357" s="99" t="s">
        <v>453</v>
      </c>
      <c r="F357" s="99"/>
      <c r="G357" s="323">
        <f>G358+G359</f>
        <v>3491</v>
      </c>
      <c r="H357" s="323">
        <f t="shared" ref="H357:I357" si="226">H358+H359</f>
        <v>0</v>
      </c>
      <c r="I357" s="323">
        <f t="shared" si="226"/>
        <v>3491</v>
      </c>
    </row>
    <row r="358" spans="2:9" ht="38.25" x14ac:dyDescent="0.2">
      <c r="B358" s="100" t="s">
        <v>386</v>
      </c>
      <c r="C358" s="99" t="s">
        <v>49</v>
      </c>
      <c r="D358" s="99" t="s">
        <v>42</v>
      </c>
      <c r="E358" s="99" t="s">
        <v>453</v>
      </c>
      <c r="F358" s="99" t="s">
        <v>83</v>
      </c>
      <c r="G358" s="323">
        <v>3438.92</v>
      </c>
      <c r="H358" s="323"/>
      <c r="I358" s="323">
        <f t="shared" ref="I358" si="227">G358+H358</f>
        <v>3438.92</v>
      </c>
    </row>
    <row r="359" spans="2:9" x14ac:dyDescent="0.2">
      <c r="B359" s="210" t="s">
        <v>403</v>
      </c>
      <c r="C359" s="99" t="s">
        <v>49</v>
      </c>
      <c r="D359" s="99" t="s">
        <v>42</v>
      </c>
      <c r="E359" s="99" t="s">
        <v>453</v>
      </c>
      <c r="F359" s="99" t="s">
        <v>402</v>
      </c>
      <c r="G359" s="323">
        <v>52.08</v>
      </c>
      <c r="H359" s="323"/>
      <c r="I359" s="323">
        <f t="shared" ref="I359" si="228">G359+H359</f>
        <v>52.08</v>
      </c>
    </row>
    <row r="360" spans="2:9" ht="76.5" x14ac:dyDescent="0.2">
      <c r="B360" s="126" t="s">
        <v>267</v>
      </c>
      <c r="C360" s="99" t="s">
        <v>49</v>
      </c>
      <c r="D360" s="99" t="s">
        <v>42</v>
      </c>
      <c r="E360" s="127" t="s">
        <v>268</v>
      </c>
      <c r="F360" s="99"/>
      <c r="G360" s="323">
        <f t="shared" ref="G360:I360" si="229">G361</f>
        <v>4.5</v>
      </c>
      <c r="H360" s="323">
        <f t="shared" si="229"/>
        <v>0</v>
      </c>
      <c r="I360" s="323">
        <f t="shared" si="229"/>
        <v>4.5</v>
      </c>
    </row>
    <row r="361" spans="2:9" ht="51" x14ac:dyDescent="0.2">
      <c r="B361" s="100" t="s">
        <v>81</v>
      </c>
      <c r="C361" s="99" t="s">
        <v>49</v>
      </c>
      <c r="D361" s="99" t="s">
        <v>42</v>
      </c>
      <c r="E361" s="127" t="s">
        <v>268</v>
      </c>
      <c r="F361" s="99" t="s">
        <v>83</v>
      </c>
      <c r="G361" s="323">
        <v>4.5</v>
      </c>
      <c r="H361" s="323"/>
      <c r="I361" s="323">
        <f t="shared" ref="I361" si="230">G361+H361</f>
        <v>4.5</v>
      </c>
    </row>
    <row r="362" spans="2:9" x14ac:dyDescent="0.2">
      <c r="B362" s="148" t="s">
        <v>512</v>
      </c>
      <c r="C362" s="99" t="s">
        <v>49</v>
      </c>
      <c r="D362" s="99" t="s">
        <v>42</v>
      </c>
      <c r="E362" s="99" t="s">
        <v>513</v>
      </c>
      <c r="F362" s="99"/>
      <c r="G362" s="323">
        <f>G363</f>
        <v>88.02</v>
      </c>
      <c r="H362" s="323">
        <f>H363</f>
        <v>0</v>
      </c>
      <c r="I362" s="323">
        <f>I363</f>
        <v>88.02</v>
      </c>
    </row>
    <row r="363" spans="2:9" x14ac:dyDescent="0.2">
      <c r="B363" s="100" t="s">
        <v>264</v>
      </c>
      <c r="C363" s="99" t="s">
        <v>49</v>
      </c>
      <c r="D363" s="99" t="s">
        <v>42</v>
      </c>
      <c r="E363" s="99" t="s">
        <v>513</v>
      </c>
      <c r="F363" s="99" t="s">
        <v>87</v>
      </c>
      <c r="G363" s="323">
        <v>88.02</v>
      </c>
      <c r="H363" s="323"/>
      <c r="I363" s="323">
        <f>G363+H363</f>
        <v>88.02</v>
      </c>
    </row>
    <row r="364" spans="2:9" ht="38.25" x14ac:dyDescent="0.2">
      <c r="B364" s="4" t="s">
        <v>454</v>
      </c>
      <c r="C364" s="99" t="s">
        <v>49</v>
      </c>
      <c r="D364" s="99" t="s">
        <v>42</v>
      </c>
      <c r="E364" s="233" t="s">
        <v>456</v>
      </c>
      <c r="F364" s="99"/>
      <c r="G364" s="323">
        <f>G365</f>
        <v>100</v>
      </c>
      <c r="H364" s="323">
        <f t="shared" ref="H364:I366" si="231">H365</f>
        <v>0</v>
      </c>
      <c r="I364" s="323">
        <f t="shared" si="231"/>
        <v>100</v>
      </c>
    </row>
    <row r="365" spans="2:9" x14ac:dyDescent="0.2">
      <c r="B365" s="100" t="s">
        <v>86</v>
      </c>
      <c r="C365" s="99" t="s">
        <v>49</v>
      </c>
      <c r="D365" s="99" t="s">
        <v>42</v>
      </c>
      <c r="E365" s="233" t="s">
        <v>456</v>
      </c>
      <c r="F365" s="99" t="s">
        <v>87</v>
      </c>
      <c r="G365" s="323">
        <v>100</v>
      </c>
      <c r="H365" s="323"/>
      <c r="I365" s="323">
        <f>G365+H365</f>
        <v>100</v>
      </c>
    </row>
    <row r="366" spans="2:9" ht="38.25" x14ac:dyDescent="0.2">
      <c r="B366" s="4" t="s">
        <v>455</v>
      </c>
      <c r="C366" s="99" t="s">
        <v>49</v>
      </c>
      <c r="D366" s="99" t="s">
        <v>42</v>
      </c>
      <c r="E366" s="233" t="s">
        <v>457</v>
      </c>
      <c r="F366" s="99"/>
      <c r="G366" s="323">
        <f>G367</f>
        <v>50</v>
      </c>
      <c r="H366" s="323">
        <f t="shared" si="231"/>
        <v>0</v>
      </c>
      <c r="I366" s="323">
        <f t="shared" si="231"/>
        <v>50</v>
      </c>
    </row>
    <row r="367" spans="2:9" x14ac:dyDescent="0.2">
      <c r="B367" s="100" t="s">
        <v>86</v>
      </c>
      <c r="C367" s="99" t="s">
        <v>49</v>
      </c>
      <c r="D367" s="99" t="s">
        <v>42</v>
      </c>
      <c r="E367" s="233" t="s">
        <v>457</v>
      </c>
      <c r="F367" s="99" t="s">
        <v>87</v>
      </c>
      <c r="G367" s="323">
        <v>50</v>
      </c>
      <c r="H367" s="323"/>
      <c r="I367" s="323">
        <f>G367+H367</f>
        <v>50</v>
      </c>
    </row>
    <row r="368" spans="2:9" ht="25.5" x14ac:dyDescent="0.2">
      <c r="B368" s="121" t="s">
        <v>262</v>
      </c>
      <c r="C368" s="99" t="s">
        <v>49</v>
      </c>
      <c r="D368" s="99" t="s">
        <v>42</v>
      </c>
      <c r="E368" s="99" t="s">
        <v>263</v>
      </c>
      <c r="F368" s="99"/>
      <c r="G368" s="323">
        <f>G369</f>
        <v>8635.99</v>
      </c>
      <c r="H368" s="323">
        <f t="shared" ref="H368:I368" si="232">H369</f>
        <v>0</v>
      </c>
      <c r="I368" s="323">
        <f t="shared" si="232"/>
        <v>8635.99</v>
      </c>
    </row>
    <row r="369" spans="2:9" ht="51" x14ac:dyDescent="0.2">
      <c r="B369" s="100" t="s">
        <v>81</v>
      </c>
      <c r="C369" s="99" t="s">
        <v>49</v>
      </c>
      <c r="D369" s="99" t="s">
        <v>42</v>
      </c>
      <c r="E369" s="99" t="s">
        <v>263</v>
      </c>
      <c r="F369" s="99" t="s">
        <v>83</v>
      </c>
      <c r="G369" s="323">
        <v>8635.99</v>
      </c>
      <c r="H369" s="323"/>
      <c r="I369" s="323">
        <f t="shared" ref="I369" si="233">G369+H369</f>
        <v>8635.99</v>
      </c>
    </row>
    <row r="370" spans="2:9" x14ac:dyDescent="0.2">
      <c r="B370" s="100" t="s">
        <v>264</v>
      </c>
      <c r="C370" s="99" t="s">
        <v>49</v>
      </c>
      <c r="D370" s="99" t="s">
        <v>42</v>
      </c>
      <c r="E370" s="99" t="s">
        <v>263</v>
      </c>
      <c r="F370" s="99" t="s">
        <v>87</v>
      </c>
      <c r="G370" s="323"/>
      <c r="H370" s="323"/>
      <c r="I370" s="323"/>
    </row>
    <row r="371" spans="2:9" ht="38.25" x14ac:dyDescent="0.2">
      <c r="B371" s="121" t="s">
        <v>265</v>
      </c>
      <c r="C371" s="99" t="s">
        <v>49</v>
      </c>
      <c r="D371" s="99" t="s">
        <v>42</v>
      </c>
      <c r="E371" s="99" t="s">
        <v>266</v>
      </c>
      <c r="F371" s="99"/>
      <c r="G371" s="323">
        <f>G372+G373+G374</f>
        <v>7829.43</v>
      </c>
      <c r="H371" s="323">
        <f t="shared" ref="H371:I371" si="234">H372+H373+H374</f>
        <v>-318.63099999999997</v>
      </c>
      <c r="I371" s="323">
        <f t="shared" si="234"/>
        <v>7510.799</v>
      </c>
    </row>
    <row r="372" spans="2:9" ht="51" x14ac:dyDescent="0.2">
      <c r="B372" s="100" t="s">
        <v>81</v>
      </c>
      <c r="C372" s="99" t="s">
        <v>49</v>
      </c>
      <c r="D372" s="99" t="s">
        <v>42</v>
      </c>
      <c r="E372" s="99" t="s">
        <v>266</v>
      </c>
      <c r="F372" s="99" t="s">
        <v>83</v>
      </c>
      <c r="G372" s="323">
        <v>7479.43</v>
      </c>
      <c r="H372" s="323">
        <f>-31.75-30.541-31</f>
        <v>-93.290999999999997</v>
      </c>
      <c r="I372" s="323">
        <f t="shared" ref="I372" si="235">G372+H372</f>
        <v>7386.1390000000001</v>
      </c>
    </row>
    <row r="373" spans="2:9" x14ac:dyDescent="0.2">
      <c r="B373" s="100" t="s">
        <v>264</v>
      </c>
      <c r="C373" s="99" t="s">
        <v>49</v>
      </c>
      <c r="D373" s="99" t="s">
        <v>42</v>
      </c>
      <c r="E373" s="99" t="s">
        <v>266</v>
      </c>
      <c r="F373" s="99" t="s">
        <v>87</v>
      </c>
      <c r="G373" s="323">
        <v>0</v>
      </c>
      <c r="H373" s="323">
        <f>31.75+30.541</f>
        <v>62.290999999999997</v>
      </c>
      <c r="I373" s="323">
        <f t="shared" ref="I373" si="236">G373+H373</f>
        <v>62.290999999999997</v>
      </c>
    </row>
    <row r="374" spans="2:9" ht="25.5" x14ac:dyDescent="0.2">
      <c r="B374" s="148" t="s">
        <v>321</v>
      </c>
      <c r="C374" s="99" t="s">
        <v>49</v>
      </c>
      <c r="D374" s="99" t="s">
        <v>42</v>
      </c>
      <c r="E374" s="121" t="s">
        <v>324</v>
      </c>
      <c r="F374" s="99"/>
      <c r="G374" s="323">
        <f t="shared" ref="G374:I374" si="237">G375</f>
        <v>350</v>
      </c>
      <c r="H374" s="323">
        <f t="shared" si="237"/>
        <v>-287.63099999999997</v>
      </c>
      <c r="I374" s="323">
        <f t="shared" si="237"/>
        <v>62.369000000000028</v>
      </c>
    </row>
    <row r="375" spans="2:9" ht="51" x14ac:dyDescent="0.2">
      <c r="B375" s="100" t="s">
        <v>81</v>
      </c>
      <c r="C375" s="99" t="s">
        <v>49</v>
      </c>
      <c r="D375" s="99" t="s">
        <v>42</v>
      </c>
      <c r="E375" s="121" t="s">
        <v>324</v>
      </c>
      <c r="F375" s="99" t="s">
        <v>83</v>
      </c>
      <c r="G375" s="323">
        <v>350</v>
      </c>
      <c r="H375" s="323">
        <f>-150-137.631</f>
        <v>-287.63099999999997</v>
      </c>
      <c r="I375" s="323">
        <f t="shared" ref="I375" si="238">G375+H375</f>
        <v>62.369000000000028</v>
      </c>
    </row>
    <row r="376" spans="2:9" x14ac:dyDescent="0.2">
      <c r="B376" s="197" t="s">
        <v>134</v>
      </c>
      <c r="C376" s="99" t="s">
        <v>49</v>
      </c>
      <c r="D376" s="99" t="s">
        <v>42</v>
      </c>
      <c r="E376" s="230" t="s">
        <v>135</v>
      </c>
      <c r="F376" s="99"/>
      <c r="G376" s="323">
        <f>G377+G379</f>
        <v>1962.15977</v>
      </c>
      <c r="H376" s="323">
        <f t="shared" ref="H376:I376" si="239">H377+H379</f>
        <v>0</v>
      </c>
      <c r="I376" s="323">
        <f t="shared" si="239"/>
        <v>1962.15977</v>
      </c>
    </row>
    <row r="377" spans="2:9" ht="38.25" x14ac:dyDescent="0.2">
      <c r="B377" s="4" t="s">
        <v>427</v>
      </c>
      <c r="C377" s="99" t="s">
        <v>49</v>
      </c>
      <c r="D377" s="99" t="s">
        <v>42</v>
      </c>
      <c r="E377" s="230" t="s">
        <v>428</v>
      </c>
      <c r="F377" s="99"/>
      <c r="G377" s="323">
        <f t="shared" ref="G377:I377" si="240">G378</f>
        <v>1569.10402</v>
      </c>
      <c r="H377" s="323">
        <f t="shared" si="240"/>
        <v>0</v>
      </c>
      <c r="I377" s="323">
        <f t="shared" si="240"/>
        <v>1569.10402</v>
      </c>
    </row>
    <row r="378" spans="2:9" x14ac:dyDescent="0.2">
      <c r="B378" s="210" t="s">
        <v>403</v>
      </c>
      <c r="C378" s="99" t="s">
        <v>49</v>
      </c>
      <c r="D378" s="99" t="s">
        <v>42</v>
      </c>
      <c r="E378" s="230" t="s">
        <v>428</v>
      </c>
      <c r="F378" s="99" t="s">
        <v>402</v>
      </c>
      <c r="G378" s="323">
        <v>1569.10402</v>
      </c>
      <c r="H378" s="323"/>
      <c r="I378" s="323">
        <f t="shared" ref="I378" si="241">G378+H378</f>
        <v>1569.10402</v>
      </c>
    </row>
    <row r="379" spans="2:9" ht="38.25" x14ac:dyDescent="0.2">
      <c r="B379" s="4" t="s">
        <v>427</v>
      </c>
      <c r="C379" s="99" t="s">
        <v>49</v>
      </c>
      <c r="D379" s="99" t="s">
        <v>42</v>
      </c>
      <c r="E379" s="230" t="s">
        <v>429</v>
      </c>
      <c r="F379" s="99"/>
      <c r="G379" s="323">
        <f t="shared" ref="G379:I379" si="242">G380</f>
        <v>393.05574999999999</v>
      </c>
      <c r="H379" s="323">
        <f t="shared" si="242"/>
        <v>0</v>
      </c>
      <c r="I379" s="323">
        <f t="shared" si="242"/>
        <v>393.05574999999999</v>
      </c>
    </row>
    <row r="380" spans="2:9" x14ac:dyDescent="0.2">
      <c r="B380" s="210" t="s">
        <v>403</v>
      </c>
      <c r="C380" s="99" t="s">
        <v>49</v>
      </c>
      <c r="D380" s="99" t="s">
        <v>42</v>
      </c>
      <c r="E380" s="230" t="s">
        <v>429</v>
      </c>
      <c r="F380" s="99" t="s">
        <v>402</v>
      </c>
      <c r="G380" s="323">
        <v>393.05574999999999</v>
      </c>
      <c r="H380" s="323"/>
      <c r="I380" s="323">
        <f t="shared" ref="I380" si="243">G380+H380</f>
        <v>393.05574999999999</v>
      </c>
    </row>
    <row r="381" spans="2:9" x14ac:dyDescent="0.2">
      <c r="B381" s="104" t="s">
        <v>34</v>
      </c>
      <c r="C381" s="99" t="s">
        <v>49</v>
      </c>
      <c r="D381" s="99" t="s">
        <v>45</v>
      </c>
      <c r="E381" s="99"/>
      <c r="F381" s="99"/>
      <c r="G381" s="323">
        <f>G382+G395</f>
        <v>1987.9499999999998</v>
      </c>
      <c r="H381" s="323">
        <f>H382+H395</f>
        <v>1124.51521</v>
      </c>
      <c r="I381" s="323">
        <f>I382+I395</f>
        <v>3112.4652099999998</v>
      </c>
    </row>
    <row r="382" spans="2:9" ht="25.5" x14ac:dyDescent="0.2">
      <c r="B382" s="121" t="s">
        <v>78</v>
      </c>
      <c r="C382" s="99" t="s">
        <v>49</v>
      </c>
      <c r="D382" s="99" t="s">
        <v>45</v>
      </c>
      <c r="E382" s="99" t="s">
        <v>98</v>
      </c>
      <c r="F382" s="99"/>
      <c r="G382" s="323">
        <f>G385+G383</f>
        <v>1727.0799999999997</v>
      </c>
      <c r="H382" s="323">
        <f t="shared" ref="H382:I382" si="244">H385+H383</f>
        <v>1124.51521</v>
      </c>
      <c r="I382" s="323">
        <f t="shared" si="244"/>
        <v>2851.59521</v>
      </c>
    </row>
    <row r="383" spans="2:9" ht="63.75" x14ac:dyDescent="0.2">
      <c r="B383" s="321" t="s">
        <v>302</v>
      </c>
      <c r="C383" s="99" t="s">
        <v>49</v>
      </c>
      <c r="D383" s="99" t="s">
        <v>45</v>
      </c>
      <c r="E383" s="99" t="s">
        <v>303</v>
      </c>
      <c r="F383" s="99"/>
      <c r="G383" s="323">
        <f>G384</f>
        <v>0</v>
      </c>
      <c r="H383" s="323">
        <f>H384</f>
        <v>1087.73171</v>
      </c>
      <c r="I383" s="323">
        <f>I384</f>
        <v>1087.73171</v>
      </c>
    </row>
    <row r="384" spans="2:9" x14ac:dyDescent="0.2">
      <c r="B384" s="101" t="s">
        <v>106</v>
      </c>
      <c r="C384" s="99" t="s">
        <v>49</v>
      </c>
      <c r="D384" s="99" t="s">
        <v>45</v>
      </c>
      <c r="E384" s="99" t="s">
        <v>303</v>
      </c>
      <c r="F384" s="99" t="s">
        <v>107</v>
      </c>
      <c r="G384" s="323"/>
      <c r="H384" s="319">
        <v>1087.73171</v>
      </c>
      <c r="I384" s="323">
        <f>G384+H384</f>
        <v>1087.73171</v>
      </c>
    </row>
    <row r="385" spans="2:9" ht="38.25" x14ac:dyDescent="0.2">
      <c r="B385" s="121" t="s">
        <v>243</v>
      </c>
      <c r="C385" s="99" t="s">
        <v>49</v>
      </c>
      <c r="D385" s="99" t="s">
        <v>45</v>
      </c>
      <c r="E385" s="99" t="s">
        <v>244</v>
      </c>
      <c r="F385" s="99"/>
      <c r="G385" s="323">
        <f t="shared" ref="G385:I385" si="245">G386</f>
        <v>1727.0799999999997</v>
      </c>
      <c r="H385" s="323">
        <f t="shared" si="245"/>
        <v>36.783500000000004</v>
      </c>
      <c r="I385" s="323">
        <f t="shared" si="245"/>
        <v>1763.8634999999999</v>
      </c>
    </row>
    <row r="386" spans="2:9" ht="51" x14ac:dyDescent="0.2">
      <c r="B386" s="100" t="s">
        <v>269</v>
      </c>
      <c r="C386" s="99" t="s">
        <v>49</v>
      </c>
      <c r="D386" s="99" t="s">
        <v>45</v>
      </c>
      <c r="E386" s="123" t="s">
        <v>413</v>
      </c>
      <c r="F386" s="99"/>
      <c r="G386" s="323">
        <f>SUM(G387:G394)</f>
        <v>1727.0799999999997</v>
      </c>
      <c r="H386" s="323">
        <f>SUM(H387:H394)</f>
        <v>36.783500000000004</v>
      </c>
      <c r="I386" s="323">
        <f t="shared" ref="I386" si="246">SUM(I387:I394)</f>
        <v>1763.8634999999999</v>
      </c>
    </row>
    <row r="387" spans="2:9" x14ac:dyDescent="0.2">
      <c r="B387" s="101" t="s">
        <v>106</v>
      </c>
      <c r="C387" s="99" t="s">
        <v>49</v>
      </c>
      <c r="D387" s="99" t="s">
        <v>45</v>
      </c>
      <c r="E387" s="123" t="s">
        <v>413</v>
      </c>
      <c r="F387" s="99" t="s">
        <v>107</v>
      </c>
      <c r="G387" s="323">
        <v>325.5</v>
      </c>
      <c r="H387" s="323">
        <v>5.7835000000000001</v>
      </c>
      <c r="I387" s="323">
        <f t="shared" ref="I387:I393" si="247">G387+H387</f>
        <v>331.2835</v>
      </c>
    </row>
    <row r="388" spans="2:9" ht="38.25" x14ac:dyDescent="0.2">
      <c r="B388" s="100" t="s">
        <v>108</v>
      </c>
      <c r="C388" s="99" t="s">
        <v>49</v>
      </c>
      <c r="D388" s="99" t="s">
        <v>45</v>
      </c>
      <c r="E388" s="123" t="s">
        <v>413</v>
      </c>
      <c r="F388" s="99" t="s">
        <v>109</v>
      </c>
      <c r="G388" s="323">
        <v>7</v>
      </c>
      <c r="H388" s="323"/>
      <c r="I388" s="323">
        <f t="shared" si="247"/>
        <v>7</v>
      </c>
    </row>
    <row r="389" spans="2:9" ht="51" x14ac:dyDescent="0.2">
      <c r="B389" s="100" t="s">
        <v>110</v>
      </c>
      <c r="C389" s="99" t="s">
        <v>49</v>
      </c>
      <c r="D389" s="99" t="s">
        <v>45</v>
      </c>
      <c r="E389" s="123" t="s">
        <v>413</v>
      </c>
      <c r="F389" s="99" t="s">
        <v>111</v>
      </c>
      <c r="G389" s="323">
        <v>305</v>
      </c>
      <c r="H389" s="323">
        <v>-3.9863599999999999</v>
      </c>
      <c r="I389" s="323">
        <f t="shared" si="247"/>
        <v>301.01364000000001</v>
      </c>
    </row>
    <row r="390" spans="2:9" ht="25.5" x14ac:dyDescent="0.2">
      <c r="B390" s="102" t="s">
        <v>112</v>
      </c>
      <c r="C390" s="99" t="s">
        <v>49</v>
      </c>
      <c r="D390" s="99" t="s">
        <v>45</v>
      </c>
      <c r="E390" s="123" t="s">
        <v>413</v>
      </c>
      <c r="F390" s="99" t="s">
        <v>113</v>
      </c>
      <c r="G390" s="323">
        <v>68.400000000000006</v>
      </c>
      <c r="H390" s="323">
        <f>54.12552</f>
        <v>54.125520000000002</v>
      </c>
      <c r="I390" s="323">
        <f t="shared" si="247"/>
        <v>122.52552</v>
      </c>
    </row>
    <row r="391" spans="2:9" ht="25.5" x14ac:dyDescent="0.2">
      <c r="B391" s="100" t="s">
        <v>114</v>
      </c>
      <c r="C391" s="99" t="s">
        <v>49</v>
      </c>
      <c r="D391" s="99" t="s">
        <v>45</v>
      </c>
      <c r="E391" s="123" t="s">
        <v>413</v>
      </c>
      <c r="F391" s="99" t="s">
        <v>115</v>
      </c>
      <c r="G391" s="323">
        <v>945.78</v>
      </c>
      <c r="H391" s="323">
        <f>-8-14.83916-3.16647+31</f>
        <v>4.99437</v>
      </c>
      <c r="I391" s="323">
        <f t="shared" si="247"/>
        <v>950.77436999999998</v>
      </c>
    </row>
    <row r="392" spans="2:9" x14ac:dyDescent="0.2">
      <c r="B392" s="100" t="s">
        <v>86</v>
      </c>
      <c r="C392" s="99" t="s">
        <v>49</v>
      </c>
      <c r="D392" s="99" t="s">
        <v>45</v>
      </c>
      <c r="E392" s="123" t="s">
        <v>414</v>
      </c>
      <c r="F392" s="99" t="s">
        <v>87</v>
      </c>
      <c r="G392" s="323">
        <v>35</v>
      </c>
      <c r="H392" s="323"/>
      <c r="I392" s="323">
        <f>G392+H392</f>
        <v>35</v>
      </c>
    </row>
    <row r="393" spans="2:9" ht="25.5" x14ac:dyDescent="0.2">
      <c r="B393" s="100" t="s">
        <v>270</v>
      </c>
      <c r="C393" s="99" t="s">
        <v>49</v>
      </c>
      <c r="D393" s="99" t="s">
        <v>45</v>
      </c>
      <c r="E393" s="123" t="s">
        <v>413</v>
      </c>
      <c r="F393" s="99" t="s">
        <v>117</v>
      </c>
      <c r="G393" s="323">
        <v>17.3</v>
      </c>
      <c r="H393" s="323">
        <f>-17.3</f>
        <v>-17.3</v>
      </c>
      <c r="I393" s="323">
        <f t="shared" si="247"/>
        <v>0</v>
      </c>
    </row>
    <row r="394" spans="2:9" x14ac:dyDescent="0.2">
      <c r="B394" s="135" t="s">
        <v>118</v>
      </c>
      <c r="C394" s="99" t="s">
        <v>49</v>
      </c>
      <c r="D394" s="99" t="s">
        <v>45</v>
      </c>
      <c r="E394" s="123" t="s">
        <v>413</v>
      </c>
      <c r="F394" s="99" t="s">
        <v>119</v>
      </c>
      <c r="G394" s="323">
        <v>23.1</v>
      </c>
      <c r="H394" s="323">
        <f>-10+3.16647</f>
        <v>-6.8335299999999997</v>
      </c>
      <c r="I394" s="323">
        <f>G394+H394</f>
        <v>16.266470000000002</v>
      </c>
    </row>
    <row r="395" spans="2:9" ht="25.5" x14ac:dyDescent="0.2">
      <c r="B395" s="120" t="s">
        <v>166</v>
      </c>
      <c r="C395" s="99" t="s">
        <v>49</v>
      </c>
      <c r="D395" s="99" t="s">
        <v>45</v>
      </c>
      <c r="E395" s="99" t="s">
        <v>135</v>
      </c>
      <c r="F395" s="99"/>
      <c r="G395" s="323">
        <f>G396</f>
        <v>260.87</v>
      </c>
      <c r="H395" s="323">
        <f t="shared" ref="H395:I395" si="248">H396</f>
        <v>0</v>
      </c>
      <c r="I395" s="323">
        <f t="shared" si="248"/>
        <v>260.87</v>
      </c>
    </row>
    <row r="396" spans="2:9" ht="25.5" x14ac:dyDescent="0.2">
      <c r="B396" s="142" t="s">
        <v>325</v>
      </c>
      <c r="C396" s="99" t="s">
        <v>49</v>
      </c>
      <c r="D396" s="99" t="s">
        <v>45</v>
      </c>
      <c r="E396" s="99" t="s">
        <v>330</v>
      </c>
      <c r="F396" s="99"/>
      <c r="G396" s="323">
        <f>G397+G398</f>
        <v>260.87</v>
      </c>
      <c r="H396" s="323">
        <f t="shared" ref="H396:I396" si="249">H397+H398</f>
        <v>0</v>
      </c>
      <c r="I396" s="323">
        <f t="shared" si="249"/>
        <v>260.87</v>
      </c>
    </row>
    <row r="397" spans="2:9" ht="25.5" x14ac:dyDescent="0.2">
      <c r="B397" s="100" t="s">
        <v>114</v>
      </c>
      <c r="C397" s="99" t="s">
        <v>49</v>
      </c>
      <c r="D397" s="99" t="s">
        <v>45</v>
      </c>
      <c r="E397" s="99" t="s">
        <v>330</v>
      </c>
      <c r="F397" s="99" t="s">
        <v>115</v>
      </c>
      <c r="G397" s="323">
        <v>165.87</v>
      </c>
      <c r="H397" s="323"/>
      <c r="I397" s="323">
        <f>G397+H397</f>
        <v>165.87</v>
      </c>
    </row>
    <row r="398" spans="2:9" x14ac:dyDescent="0.2">
      <c r="B398" s="100" t="s">
        <v>86</v>
      </c>
      <c r="C398" s="99" t="s">
        <v>49</v>
      </c>
      <c r="D398" s="99" t="s">
        <v>45</v>
      </c>
      <c r="E398" s="99" t="s">
        <v>330</v>
      </c>
      <c r="F398" s="99" t="s">
        <v>87</v>
      </c>
      <c r="G398" s="323">
        <v>95</v>
      </c>
      <c r="H398" s="323"/>
      <c r="I398" s="323">
        <f>G398+H398</f>
        <v>95</v>
      </c>
    </row>
    <row r="399" spans="2:9" x14ac:dyDescent="0.2">
      <c r="B399" s="103" t="s">
        <v>326</v>
      </c>
      <c r="C399" s="99" t="s">
        <v>103</v>
      </c>
      <c r="D399" s="99"/>
      <c r="E399" s="99"/>
      <c r="F399" s="99"/>
      <c r="G399" s="323">
        <f>G405+G400</f>
        <v>7007.4</v>
      </c>
      <c r="H399" s="323">
        <f t="shared" ref="H399:I399" si="250">H405+H400</f>
        <v>-10</v>
      </c>
      <c r="I399" s="323">
        <f t="shared" si="250"/>
        <v>6997.4</v>
      </c>
    </row>
    <row r="400" spans="2:9" x14ac:dyDescent="0.2">
      <c r="B400" s="103" t="s">
        <v>501</v>
      </c>
      <c r="C400" s="99" t="s">
        <v>103</v>
      </c>
      <c r="D400" s="99" t="s">
        <v>42</v>
      </c>
      <c r="E400" s="99"/>
      <c r="F400" s="99"/>
      <c r="G400" s="325">
        <f>G401</f>
        <v>6482.4</v>
      </c>
      <c r="H400" s="325">
        <f t="shared" ref="H400:I403" si="251">H401</f>
        <v>0</v>
      </c>
      <c r="I400" s="325">
        <f t="shared" si="251"/>
        <v>6482.4</v>
      </c>
    </row>
    <row r="401" spans="2:9" ht="38.25" x14ac:dyDescent="0.2">
      <c r="B401" s="259" t="s">
        <v>492</v>
      </c>
      <c r="C401" s="99" t="s">
        <v>103</v>
      </c>
      <c r="D401" s="99" t="s">
        <v>42</v>
      </c>
      <c r="E401" s="99" t="s">
        <v>171</v>
      </c>
      <c r="F401" s="99"/>
      <c r="G401" s="325">
        <f>G402</f>
        <v>6482.4</v>
      </c>
      <c r="H401" s="325">
        <f t="shared" si="251"/>
        <v>0</v>
      </c>
      <c r="I401" s="325">
        <f t="shared" si="251"/>
        <v>6482.4</v>
      </c>
    </row>
    <row r="402" spans="2:9" x14ac:dyDescent="0.2">
      <c r="B402" s="259" t="s">
        <v>493</v>
      </c>
      <c r="C402" s="99" t="s">
        <v>103</v>
      </c>
      <c r="D402" s="99" t="s">
        <v>42</v>
      </c>
      <c r="E402" s="99" t="s">
        <v>193</v>
      </c>
      <c r="F402" s="99"/>
      <c r="G402" s="325">
        <f>G403</f>
        <v>6482.4</v>
      </c>
      <c r="H402" s="325">
        <f t="shared" si="251"/>
        <v>0</v>
      </c>
      <c r="I402" s="325">
        <f t="shared" si="251"/>
        <v>6482.4</v>
      </c>
    </row>
    <row r="403" spans="2:9" ht="25.5" x14ac:dyDescent="0.2">
      <c r="B403" s="259" t="s">
        <v>502</v>
      </c>
      <c r="C403" s="99" t="s">
        <v>103</v>
      </c>
      <c r="D403" s="99" t="s">
        <v>42</v>
      </c>
      <c r="E403" s="99" t="s">
        <v>218</v>
      </c>
      <c r="F403" s="99"/>
      <c r="G403" s="325">
        <f>G404</f>
        <v>6482.4</v>
      </c>
      <c r="H403" s="325">
        <f t="shared" si="251"/>
        <v>0</v>
      </c>
      <c r="I403" s="325">
        <f t="shared" si="251"/>
        <v>6482.4</v>
      </c>
    </row>
    <row r="404" spans="2:9" x14ac:dyDescent="0.2">
      <c r="B404" s="103" t="s">
        <v>503</v>
      </c>
      <c r="C404" s="99" t="s">
        <v>103</v>
      </c>
      <c r="D404" s="99" t="s">
        <v>42</v>
      </c>
      <c r="E404" s="99" t="s">
        <v>504</v>
      </c>
      <c r="F404" s="99" t="s">
        <v>205</v>
      </c>
      <c r="G404" s="325">
        <v>6482.4</v>
      </c>
      <c r="H404" s="325">
        <f>2850-2850</f>
        <v>0</v>
      </c>
      <c r="I404" s="325">
        <f>G404+H404</f>
        <v>6482.4</v>
      </c>
    </row>
    <row r="405" spans="2:9" x14ac:dyDescent="0.2">
      <c r="B405" s="100" t="s">
        <v>327</v>
      </c>
      <c r="C405" s="99" t="s">
        <v>103</v>
      </c>
      <c r="D405" s="99" t="s">
        <v>103</v>
      </c>
      <c r="E405" s="99"/>
      <c r="F405" s="99"/>
      <c r="G405" s="323">
        <f>G406</f>
        <v>525</v>
      </c>
      <c r="H405" s="323">
        <f t="shared" ref="H405:I408" si="252">H406</f>
        <v>-10</v>
      </c>
      <c r="I405" s="323">
        <f t="shared" si="252"/>
        <v>515</v>
      </c>
    </row>
    <row r="406" spans="2:9" ht="25.5" x14ac:dyDescent="0.2">
      <c r="B406" s="121" t="s">
        <v>78</v>
      </c>
      <c r="C406" s="99" t="s">
        <v>103</v>
      </c>
      <c r="D406" s="99" t="s">
        <v>103</v>
      </c>
      <c r="E406" s="99" t="s">
        <v>98</v>
      </c>
      <c r="F406" s="99"/>
      <c r="G406" s="323">
        <f>G407</f>
        <v>525</v>
      </c>
      <c r="H406" s="323">
        <f t="shared" si="252"/>
        <v>-10</v>
      </c>
      <c r="I406" s="323">
        <f t="shared" si="252"/>
        <v>515</v>
      </c>
    </row>
    <row r="407" spans="2:9" ht="38.25" x14ac:dyDescent="0.2">
      <c r="B407" s="128" t="s">
        <v>271</v>
      </c>
      <c r="C407" s="99" t="s">
        <v>103</v>
      </c>
      <c r="D407" s="99" t="s">
        <v>103</v>
      </c>
      <c r="E407" s="99" t="s">
        <v>384</v>
      </c>
      <c r="F407" s="99"/>
      <c r="G407" s="323">
        <f>G408</f>
        <v>525</v>
      </c>
      <c r="H407" s="323">
        <f t="shared" si="252"/>
        <v>-10</v>
      </c>
      <c r="I407" s="323">
        <f t="shared" si="252"/>
        <v>515</v>
      </c>
    </row>
    <row r="408" spans="2:9" ht="42" customHeight="1" x14ac:dyDescent="0.2">
      <c r="B408" s="128" t="s">
        <v>328</v>
      </c>
      <c r="C408" s="99" t="s">
        <v>103</v>
      </c>
      <c r="D408" s="99" t="s">
        <v>103</v>
      </c>
      <c r="E408" s="123" t="s">
        <v>418</v>
      </c>
      <c r="F408" s="99"/>
      <c r="G408" s="323">
        <f>G409</f>
        <v>525</v>
      </c>
      <c r="H408" s="323">
        <f t="shared" si="252"/>
        <v>-10</v>
      </c>
      <c r="I408" s="323">
        <f t="shared" si="252"/>
        <v>515</v>
      </c>
    </row>
    <row r="409" spans="2:9" ht="25.5" x14ac:dyDescent="0.2">
      <c r="B409" s="100" t="s">
        <v>114</v>
      </c>
      <c r="C409" s="99" t="s">
        <v>103</v>
      </c>
      <c r="D409" s="99" t="s">
        <v>103</v>
      </c>
      <c r="E409" s="123" t="s">
        <v>418</v>
      </c>
      <c r="F409" s="99" t="s">
        <v>115</v>
      </c>
      <c r="G409" s="323">
        <v>525</v>
      </c>
      <c r="H409" s="325">
        <v>-10</v>
      </c>
      <c r="I409" s="323">
        <f>G409+H409</f>
        <v>515</v>
      </c>
    </row>
    <row r="410" spans="2:9" x14ac:dyDescent="0.2">
      <c r="B410" s="105" t="s">
        <v>121</v>
      </c>
      <c r="C410" s="99" t="s">
        <v>122</v>
      </c>
      <c r="D410" s="99" t="s">
        <v>150</v>
      </c>
      <c r="E410" s="99"/>
      <c r="F410" s="99"/>
      <c r="G410" s="323">
        <f>G415+G411+G441+G449</f>
        <v>16955.673699999999</v>
      </c>
      <c r="H410" s="323">
        <f>H415+H411+H441+H449</f>
        <v>-65.2</v>
      </c>
      <c r="I410" s="323">
        <f>I415+I411+I441+I449</f>
        <v>16890.473699999999</v>
      </c>
    </row>
    <row r="411" spans="2:9" x14ac:dyDescent="0.2">
      <c r="B411" s="104" t="s">
        <v>237</v>
      </c>
      <c r="C411" s="99" t="s">
        <v>122</v>
      </c>
      <c r="D411" s="99" t="s">
        <v>42</v>
      </c>
      <c r="E411" s="99"/>
      <c r="F411" s="99"/>
      <c r="G411" s="323">
        <f>G412</f>
        <v>103.19</v>
      </c>
      <c r="H411" s="323">
        <f t="shared" ref="H411:I411" si="253">H412</f>
        <v>0</v>
      </c>
      <c r="I411" s="323">
        <f t="shared" si="253"/>
        <v>103.19</v>
      </c>
    </row>
    <row r="412" spans="2:9" ht="25.5" x14ac:dyDescent="0.2">
      <c r="B412" s="120" t="s">
        <v>166</v>
      </c>
      <c r="C412" s="99" t="s">
        <v>122</v>
      </c>
      <c r="D412" s="99" t="s">
        <v>42</v>
      </c>
      <c r="E412" s="99" t="s">
        <v>135</v>
      </c>
      <c r="F412" s="99"/>
      <c r="G412" s="323">
        <f t="shared" ref="G412:I413" si="254">G413</f>
        <v>103.19</v>
      </c>
      <c r="H412" s="323">
        <f t="shared" si="254"/>
        <v>0</v>
      </c>
      <c r="I412" s="323">
        <f t="shared" si="254"/>
        <v>103.19</v>
      </c>
    </row>
    <row r="413" spans="2:9" x14ac:dyDescent="0.2">
      <c r="B413" s="120" t="s">
        <v>238</v>
      </c>
      <c r="C413" s="99" t="s">
        <v>122</v>
      </c>
      <c r="D413" s="99" t="s">
        <v>42</v>
      </c>
      <c r="E413" s="99" t="s">
        <v>239</v>
      </c>
      <c r="F413" s="99"/>
      <c r="G413" s="323">
        <f t="shared" si="254"/>
        <v>103.19</v>
      </c>
      <c r="H413" s="323">
        <f t="shared" si="254"/>
        <v>0</v>
      </c>
      <c r="I413" s="323">
        <f t="shared" si="254"/>
        <v>103.19</v>
      </c>
    </row>
    <row r="414" spans="2:9" x14ac:dyDescent="0.2">
      <c r="B414" s="100" t="s">
        <v>240</v>
      </c>
      <c r="C414" s="99" t="s">
        <v>122</v>
      </c>
      <c r="D414" s="99" t="s">
        <v>42</v>
      </c>
      <c r="E414" s="99" t="s">
        <v>239</v>
      </c>
      <c r="F414" s="99" t="s">
        <v>241</v>
      </c>
      <c r="G414" s="323">
        <v>103.19</v>
      </c>
      <c r="H414" s="323"/>
      <c r="I414" s="323">
        <f>G414+H414</f>
        <v>103.19</v>
      </c>
    </row>
    <row r="415" spans="2:9" x14ac:dyDescent="0.2">
      <c r="B415" s="105" t="s">
        <v>11</v>
      </c>
      <c r="C415" s="99" t="s">
        <v>122</v>
      </c>
      <c r="D415" s="99" t="s">
        <v>44</v>
      </c>
      <c r="E415" s="99"/>
      <c r="F415" s="99"/>
      <c r="G415" s="323">
        <f>G416+G424+G432</f>
        <v>5347.9531999999999</v>
      </c>
      <c r="H415" s="323">
        <f>H416+H424+H432</f>
        <v>0</v>
      </c>
      <c r="I415" s="323">
        <f>I416+I424+I432</f>
        <v>5347.9531999999999</v>
      </c>
    </row>
    <row r="416" spans="2:9" ht="25.5" x14ac:dyDescent="0.2">
      <c r="B416" s="121" t="s">
        <v>170</v>
      </c>
      <c r="C416" s="99" t="s">
        <v>122</v>
      </c>
      <c r="D416" s="99" t="s">
        <v>44</v>
      </c>
      <c r="E416" s="99" t="s">
        <v>171</v>
      </c>
      <c r="F416" s="99"/>
      <c r="G416" s="323">
        <f t="shared" ref="G416:I422" si="255">G417</f>
        <v>2963.3559999999998</v>
      </c>
      <c r="H416" s="323">
        <f t="shared" si="255"/>
        <v>0</v>
      </c>
      <c r="I416" s="323">
        <f t="shared" si="255"/>
        <v>2963.3559999999998</v>
      </c>
    </row>
    <row r="417" spans="2:9" ht="38.25" x14ac:dyDescent="0.2">
      <c r="B417" s="121" t="s">
        <v>192</v>
      </c>
      <c r="C417" s="99" t="s">
        <v>122</v>
      </c>
      <c r="D417" s="99" t="s">
        <v>44</v>
      </c>
      <c r="E417" s="99" t="s">
        <v>193</v>
      </c>
      <c r="F417" s="99"/>
      <c r="G417" s="323">
        <f>G422+G418+G420</f>
        <v>2963.3559999999998</v>
      </c>
      <c r="H417" s="323">
        <f t="shared" ref="H417:I417" si="256">H422+H418+H420</f>
        <v>0</v>
      </c>
      <c r="I417" s="323">
        <f t="shared" si="256"/>
        <v>2963.3559999999998</v>
      </c>
    </row>
    <row r="418" spans="2:9" ht="57.75" customHeight="1" x14ac:dyDescent="0.2">
      <c r="B418" s="143" t="s">
        <v>450</v>
      </c>
      <c r="C418" s="99" t="s">
        <v>122</v>
      </c>
      <c r="D418" s="99" t="s">
        <v>44</v>
      </c>
      <c r="E418" s="99" t="s">
        <v>451</v>
      </c>
      <c r="F418" s="99"/>
      <c r="G418" s="323">
        <f>G419</f>
        <v>1245.31</v>
      </c>
      <c r="H418" s="323">
        <f t="shared" ref="H418:I418" si="257">H419</f>
        <v>0</v>
      </c>
      <c r="I418" s="323">
        <f t="shared" si="257"/>
        <v>1245.31</v>
      </c>
    </row>
    <row r="419" spans="2:9" ht="25.5" x14ac:dyDescent="0.2">
      <c r="B419" s="100" t="s">
        <v>250</v>
      </c>
      <c r="C419" s="99" t="s">
        <v>122</v>
      </c>
      <c r="D419" s="99" t="s">
        <v>44</v>
      </c>
      <c r="E419" s="99" t="s">
        <v>451</v>
      </c>
      <c r="F419" s="99" t="s">
        <v>251</v>
      </c>
      <c r="G419" s="323">
        <v>1245.31</v>
      </c>
      <c r="H419" s="323"/>
      <c r="I419" s="323">
        <f>G419+H419</f>
        <v>1245.31</v>
      </c>
    </row>
    <row r="420" spans="2:9" ht="68.25" customHeight="1" x14ac:dyDescent="0.2">
      <c r="B420" s="143" t="s">
        <v>450</v>
      </c>
      <c r="C420" s="99" t="s">
        <v>122</v>
      </c>
      <c r="D420" s="99" t="s">
        <v>44</v>
      </c>
      <c r="E420" s="99" t="s">
        <v>496</v>
      </c>
      <c r="F420" s="99"/>
      <c r="G420" s="323">
        <f>G421</f>
        <v>1718.046</v>
      </c>
      <c r="H420" s="323">
        <f t="shared" ref="H420:I420" si="258">H421</f>
        <v>0</v>
      </c>
      <c r="I420" s="323">
        <f t="shared" si="258"/>
        <v>1718.046</v>
      </c>
    </row>
    <row r="421" spans="2:9" ht="25.5" x14ac:dyDescent="0.2">
      <c r="B421" s="100" t="s">
        <v>250</v>
      </c>
      <c r="C421" s="99" t="s">
        <v>122</v>
      </c>
      <c r="D421" s="99" t="s">
        <v>44</v>
      </c>
      <c r="E421" s="99" t="s">
        <v>496</v>
      </c>
      <c r="F421" s="99" t="s">
        <v>251</v>
      </c>
      <c r="G421" s="323">
        <v>1718.046</v>
      </c>
      <c r="H421" s="323"/>
      <c r="I421" s="323">
        <f>G421+H421</f>
        <v>1718.046</v>
      </c>
    </row>
    <row r="422" spans="2:9" ht="38.25" hidden="1" x14ac:dyDescent="0.2">
      <c r="B422" s="121" t="s">
        <v>217</v>
      </c>
      <c r="C422" s="99" t="s">
        <v>122</v>
      </c>
      <c r="D422" s="99" t="s">
        <v>44</v>
      </c>
      <c r="E422" s="99" t="s">
        <v>218</v>
      </c>
      <c r="F422" s="99"/>
      <c r="G422" s="323">
        <f t="shared" si="255"/>
        <v>0</v>
      </c>
      <c r="H422" s="323">
        <f t="shared" si="255"/>
        <v>0</v>
      </c>
      <c r="I422" s="323">
        <f t="shared" si="255"/>
        <v>0</v>
      </c>
    </row>
    <row r="423" spans="2:9" ht="25.5" hidden="1" x14ac:dyDescent="0.2">
      <c r="B423" s="100" t="s">
        <v>250</v>
      </c>
      <c r="C423" s="99" t="s">
        <v>122</v>
      </c>
      <c r="D423" s="99" t="s">
        <v>44</v>
      </c>
      <c r="E423" s="99" t="s">
        <v>242</v>
      </c>
      <c r="F423" s="99" t="s">
        <v>251</v>
      </c>
      <c r="G423" s="323"/>
      <c r="H423" s="323"/>
      <c r="I423" s="323">
        <f>G423+H423</f>
        <v>0</v>
      </c>
    </row>
    <row r="424" spans="2:9" ht="25.5" x14ac:dyDescent="0.2">
      <c r="B424" s="121" t="s">
        <v>78</v>
      </c>
      <c r="C424" s="99" t="s">
        <v>122</v>
      </c>
      <c r="D424" s="99" t="s">
        <v>44</v>
      </c>
      <c r="E424" s="99" t="s">
        <v>98</v>
      </c>
      <c r="F424" s="99"/>
      <c r="G424" s="323">
        <f t="shared" ref="G424:I426" si="259">G425</f>
        <v>1100.8871999999999</v>
      </c>
      <c r="H424" s="323">
        <f t="shared" si="259"/>
        <v>0</v>
      </c>
      <c r="I424" s="323">
        <f t="shared" si="259"/>
        <v>1100.8871999999999</v>
      </c>
    </row>
    <row r="425" spans="2:9" ht="38.25" x14ac:dyDescent="0.2">
      <c r="B425" s="121" t="s">
        <v>243</v>
      </c>
      <c r="C425" s="99" t="s">
        <v>122</v>
      </c>
      <c r="D425" s="99" t="s">
        <v>44</v>
      </c>
      <c r="E425" s="99" t="s">
        <v>244</v>
      </c>
      <c r="F425" s="99"/>
      <c r="G425" s="323">
        <f>G426+G428+G430</f>
        <v>1100.8871999999999</v>
      </c>
      <c r="H425" s="323">
        <f t="shared" ref="H425:I425" si="260">H426+H428+H430</f>
        <v>0</v>
      </c>
      <c r="I425" s="323">
        <f t="shared" si="260"/>
        <v>1100.8871999999999</v>
      </c>
    </row>
    <row r="426" spans="2:9" ht="25.5" x14ac:dyDescent="0.2">
      <c r="B426" s="121" t="s">
        <v>245</v>
      </c>
      <c r="C426" s="99" t="s">
        <v>122</v>
      </c>
      <c r="D426" s="99" t="s">
        <v>44</v>
      </c>
      <c r="E426" s="123" t="s">
        <v>260</v>
      </c>
      <c r="F426" s="99"/>
      <c r="G426" s="323">
        <f t="shared" si="259"/>
        <v>200</v>
      </c>
      <c r="H426" s="323">
        <f t="shared" si="259"/>
        <v>0</v>
      </c>
      <c r="I426" s="323">
        <f t="shared" si="259"/>
        <v>200</v>
      </c>
    </row>
    <row r="427" spans="2:9" ht="25.5" x14ac:dyDescent="0.2">
      <c r="B427" s="100" t="s">
        <v>250</v>
      </c>
      <c r="C427" s="99" t="s">
        <v>122</v>
      </c>
      <c r="D427" s="99" t="s">
        <v>44</v>
      </c>
      <c r="E427" s="99" t="s">
        <v>246</v>
      </c>
      <c r="F427" s="99" t="s">
        <v>251</v>
      </c>
      <c r="G427" s="323">
        <v>200</v>
      </c>
      <c r="H427" s="323"/>
      <c r="I427" s="323">
        <f>G427+H427</f>
        <v>200</v>
      </c>
    </row>
    <row r="428" spans="2:9" x14ac:dyDescent="0.2">
      <c r="B428" s="260" t="s">
        <v>505</v>
      </c>
      <c r="C428" s="99" t="s">
        <v>122</v>
      </c>
      <c r="D428" s="99" t="s">
        <v>44</v>
      </c>
      <c r="E428" s="99" t="s">
        <v>506</v>
      </c>
      <c r="F428" s="99"/>
      <c r="G428" s="323">
        <f>G429</f>
        <v>447.79199999999997</v>
      </c>
      <c r="H428" s="323">
        <f t="shared" ref="H428:I428" si="261">H429</f>
        <v>0</v>
      </c>
      <c r="I428" s="323">
        <f t="shared" si="261"/>
        <v>447.79199999999997</v>
      </c>
    </row>
    <row r="429" spans="2:9" ht="25.5" x14ac:dyDescent="0.2">
      <c r="B429" s="100" t="s">
        <v>250</v>
      </c>
      <c r="C429" s="99" t="s">
        <v>122</v>
      </c>
      <c r="D429" s="99" t="s">
        <v>44</v>
      </c>
      <c r="E429" s="99" t="s">
        <v>506</v>
      </c>
      <c r="F429" s="99" t="s">
        <v>251</v>
      </c>
      <c r="G429" s="323">
        <v>447.79199999999997</v>
      </c>
      <c r="H429" s="323"/>
      <c r="I429" s="323">
        <f>G429+H429</f>
        <v>447.79199999999997</v>
      </c>
    </row>
    <row r="430" spans="2:9" x14ac:dyDescent="0.2">
      <c r="B430" s="260" t="s">
        <v>507</v>
      </c>
      <c r="C430" s="99" t="s">
        <v>122</v>
      </c>
      <c r="D430" s="99" t="s">
        <v>44</v>
      </c>
      <c r="E430" s="99" t="s">
        <v>508</v>
      </c>
      <c r="F430" s="99"/>
      <c r="G430" s="323">
        <f>G431</f>
        <v>453.09519999999998</v>
      </c>
      <c r="H430" s="323">
        <f t="shared" ref="H430:I430" si="262">H431</f>
        <v>0</v>
      </c>
      <c r="I430" s="323">
        <f t="shared" si="262"/>
        <v>453.09519999999998</v>
      </c>
    </row>
    <row r="431" spans="2:9" ht="25.5" x14ac:dyDescent="0.2">
      <c r="B431" s="100" t="s">
        <v>250</v>
      </c>
      <c r="C431" s="99" t="s">
        <v>122</v>
      </c>
      <c r="D431" s="99" t="s">
        <v>44</v>
      </c>
      <c r="E431" s="99" t="s">
        <v>508</v>
      </c>
      <c r="F431" s="99" t="s">
        <v>251</v>
      </c>
      <c r="G431" s="323">
        <v>453.09519999999998</v>
      </c>
      <c r="H431" s="323"/>
      <c r="I431" s="323">
        <f>G431+H431</f>
        <v>453.09519999999998</v>
      </c>
    </row>
    <row r="432" spans="2:9" ht="25.5" x14ac:dyDescent="0.2">
      <c r="B432" s="120" t="s">
        <v>166</v>
      </c>
      <c r="C432" s="99" t="s">
        <v>122</v>
      </c>
      <c r="D432" s="99" t="s">
        <v>44</v>
      </c>
      <c r="E432" s="99" t="s">
        <v>135</v>
      </c>
      <c r="F432" s="99"/>
      <c r="G432" s="323">
        <f>G437+G435+G433+G439</f>
        <v>1283.71</v>
      </c>
      <c r="H432" s="323">
        <f t="shared" ref="H432:I432" si="263">H437+H435+H433+H439</f>
        <v>0</v>
      </c>
      <c r="I432" s="323">
        <f t="shared" si="263"/>
        <v>1283.71</v>
      </c>
    </row>
    <row r="433" spans="1:9" ht="46.5" customHeight="1" x14ac:dyDescent="0.2">
      <c r="B433" s="342" t="s">
        <v>296</v>
      </c>
      <c r="C433" s="99" t="s">
        <v>122</v>
      </c>
      <c r="D433" s="99" t="s">
        <v>44</v>
      </c>
      <c r="E433" s="99" t="s">
        <v>249</v>
      </c>
      <c r="F433" s="99"/>
      <c r="G433" s="323">
        <f t="shared" ref="G433:I433" si="264">G434</f>
        <v>609.21</v>
      </c>
      <c r="H433" s="323">
        <f t="shared" si="264"/>
        <v>0</v>
      </c>
      <c r="I433" s="323">
        <f t="shared" si="264"/>
        <v>609.21</v>
      </c>
    </row>
    <row r="434" spans="1:9" ht="25.5" x14ac:dyDescent="0.2">
      <c r="B434" s="100" t="s">
        <v>250</v>
      </c>
      <c r="C434" s="99" t="s">
        <v>122</v>
      </c>
      <c r="D434" s="99" t="s">
        <v>44</v>
      </c>
      <c r="E434" s="99" t="s">
        <v>249</v>
      </c>
      <c r="F434" s="99" t="s">
        <v>251</v>
      </c>
      <c r="G434" s="323">
        <v>609.21</v>
      </c>
      <c r="H434" s="323"/>
      <c r="I434" s="323">
        <f>G434+H434</f>
        <v>609.21</v>
      </c>
    </row>
    <row r="435" spans="1:9" ht="25.5" x14ac:dyDescent="0.2">
      <c r="B435" s="126" t="s">
        <v>247</v>
      </c>
      <c r="C435" s="99" t="s">
        <v>122</v>
      </c>
      <c r="D435" s="99" t="s">
        <v>44</v>
      </c>
      <c r="E435" s="99" t="s">
        <v>248</v>
      </c>
      <c r="F435" s="99"/>
      <c r="G435" s="323">
        <f t="shared" ref="G435:I435" si="265">G436</f>
        <v>420</v>
      </c>
      <c r="H435" s="323">
        <f t="shared" si="265"/>
        <v>0</v>
      </c>
      <c r="I435" s="323">
        <f t="shared" si="265"/>
        <v>420</v>
      </c>
    </row>
    <row r="436" spans="1:9" ht="25.5" x14ac:dyDescent="0.2">
      <c r="B436" s="100" t="s">
        <v>125</v>
      </c>
      <c r="C436" s="99" t="s">
        <v>122</v>
      </c>
      <c r="D436" s="99" t="s">
        <v>44</v>
      </c>
      <c r="E436" s="99" t="s">
        <v>248</v>
      </c>
      <c r="F436" s="99" t="s">
        <v>126</v>
      </c>
      <c r="G436" s="323">
        <v>420</v>
      </c>
      <c r="H436" s="323"/>
      <c r="I436" s="323">
        <f>G436+H436</f>
        <v>420</v>
      </c>
    </row>
    <row r="437" spans="1:9" ht="30" customHeight="1" x14ac:dyDescent="0.2">
      <c r="B437" s="234" t="s">
        <v>325</v>
      </c>
      <c r="C437" s="99" t="s">
        <v>122</v>
      </c>
      <c r="D437" s="99" t="s">
        <v>44</v>
      </c>
      <c r="E437" s="99" t="s">
        <v>330</v>
      </c>
      <c r="F437" s="99"/>
      <c r="G437" s="323">
        <f t="shared" ref="G437:I437" si="266">G438</f>
        <v>220</v>
      </c>
      <c r="H437" s="323">
        <f t="shared" si="266"/>
        <v>0</v>
      </c>
      <c r="I437" s="323">
        <f t="shared" si="266"/>
        <v>220</v>
      </c>
    </row>
    <row r="438" spans="1:9" ht="25.5" x14ac:dyDescent="0.2">
      <c r="B438" s="100" t="s">
        <v>125</v>
      </c>
      <c r="C438" s="99" t="s">
        <v>122</v>
      </c>
      <c r="D438" s="99" t="s">
        <v>44</v>
      </c>
      <c r="E438" s="99" t="s">
        <v>330</v>
      </c>
      <c r="F438" s="99" t="s">
        <v>126</v>
      </c>
      <c r="G438" s="323">
        <v>220</v>
      </c>
      <c r="H438" s="323"/>
      <c r="I438" s="323">
        <f>G438+H438</f>
        <v>220</v>
      </c>
    </row>
    <row r="439" spans="1:9" ht="25.5" x14ac:dyDescent="0.2">
      <c r="B439" s="257" t="s">
        <v>509</v>
      </c>
      <c r="C439" s="99" t="s">
        <v>122</v>
      </c>
      <c r="D439" s="99" t="s">
        <v>44</v>
      </c>
      <c r="E439" s="99" t="s">
        <v>395</v>
      </c>
      <c r="F439" s="99"/>
      <c r="G439" s="323">
        <f>G440</f>
        <v>34.5</v>
      </c>
      <c r="H439" s="323">
        <f t="shared" ref="H439:I439" si="267">H440</f>
        <v>0</v>
      </c>
      <c r="I439" s="323">
        <f t="shared" si="267"/>
        <v>34.5</v>
      </c>
    </row>
    <row r="440" spans="1:9" ht="25.5" x14ac:dyDescent="0.2">
      <c r="B440" s="100" t="s">
        <v>125</v>
      </c>
      <c r="C440" s="99" t="s">
        <v>122</v>
      </c>
      <c r="D440" s="99" t="s">
        <v>44</v>
      </c>
      <c r="E440" s="99" t="s">
        <v>395</v>
      </c>
      <c r="F440" s="99" t="s">
        <v>126</v>
      </c>
      <c r="G440" s="323">
        <v>34.5</v>
      </c>
      <c r="H440" s="323"/>
      <c r="I440" s="323">
        <f>G440+H440</f>
        <v>34.5</v>
      </c>
    </row>
    <row r="441" spans="1:9" x14ac:dyDescent="0.2">
      <c r="B441" s="100" t="s">
        <v>10</v>
      </c>
      <c r="C441" s="99" t="s">
        <v>122</v>
      </c>
      <c r="D441" s="99" t="s">
        <v>45</v>
      </c>
      <c r="E441" s="99"/>
      <c r="F441" s="99"/>
      <c r="G441" s="323">
        <f>G442+G446</f>
        <v>10831.530499999999</v>
      </c>
      <c r="H441" s="323">
        <f t="shared" ref="H441:I441" si="268">H442+H446</f>
        <v>-85.2</v>
      </c>
      <c r="I441" s="323">
        <f t="shared" si="268"/>
        <v>10746.3305</v>
      </c>
    </row>
    <row r="442" spans="1:9" ht="25.5" x14ac:dyDescent="0.2">
      <c r="B442" s="121" t="s">
        <v>78</v>
      </c>
      <c r="C442" s="99" t="s">
        <v>122</v>
      </c>
      <c r="D442" s="99" t="s">
        <v>45</v>
      </c>
      <c r="E442" s="99" t="s">
        <v>98</v>
      </c>
      <c r="F442" s="99"/>
      <c r="G442" s="323">
        <f t="shared" ref="G442:I444" si="269">G443</f>
        <v>2005.4</v>
      </c>
      <c r="H442" s="323">
        <f t="shared" si="269"/>
        <v>-85.2</v>
      </c>
      <c r="I442" s="323">
        <f t="shared" si="269"/>
        <v>1920.2</v>
      </c>
    </row>
    <row r="443" spans="1:9" ht="25.5" x14ac:dyDescent="0.2">
      <c r="B443" s="121" t="s">
        <v>79</v>
      </c>
      <c r="C443" s="99" t="s">
        <v>122</v>
      </c>
      <c r="D443" s="99" t="s">
        <v>45</v>
      </c>
      <c r="E443" s="99" t="s">
        <v>99</v>
      </c>
      <c r="F443" s="99"/>
      <c r="G443" s="323">
        <f t="shared" si="269"/>
        <v>2005.4</v>
      </c>
      <c r="H443" s="323">
        <f t="shared" si="269"/>
        <v>-85.2</v>
      </c>
      <c r="I443" s="323">
        <f t="shared" si="269"/>
        <v>1920.2</v>
      </c>
    </row>
    <row r="444" spans="1:9" s="265" customFormat="1" ht="41.25" customHeight="1" x14ac:dyDescent="0.2">
      <c r="A444" s="55"/>
      <c r="B444" s="218" t="s">
        <v>123</v>
      </c>
      <c r="C444" s="99" t="s">
        <v>122</v>
      </c>
      <c r="D444" s="99" t="s">
        <v>45</v>
      </c>
      <c r="E444" s="99" t="s">
        <v>124</v>
      </c>
      <c r="F444" s="99"/>
      <c r="G444" s="352">
        <f t="shared" si="269"/>
        <v>2005.4</v>
      </c>
      <c r="H444" s="352">
        <f t="shared" si="269"/>
        <v>-85.2</v>
      </c>
      <c r="I444" s="352">
        <f t="shared" si="269"/>
        <v>1920.2</v>
      </c>
    </row>
    <row r="445" spans="1:9" ht="25.5" x14ac:dyDescent="0.2">
      <c r="B445" s="100" t="s">
        <v>125</v>
      </c>
      <c r="C445" s="99" t="s">
        <v>122</v>
      </c>
      <c r="D445" s="99" t="s">
        <v>45</v>
      </c>
      <c r="E445" s="99" t="s">
        <v>124</v>
      </c>
      <c r="F445" s="99" t="s">
        <v>126</v>
      </c>
      <c r="G445" s="323">
        <v>2005.4</v>
      </c>
      <c r="H445" s="323">
        <v>-85.2</v>
      </c>
      <c r="I445" s="323">
        <f>G445+H445</f>
        <v>1920.2</v>
      </c>
    </row>
    <row r="446" spans="1:9" ht="25.5" x14ac:dyDescent="0.2">
      <c r="B446" s="197" t="s">
        <v>166</v>
      </c>
      <c r="C446" s="99" t="s">
        <v>122</v>
      </c>
      <c r="D446" s="99" t="s">
        <v>45</v>
      </c>
      <c r="E446" s="99" t="s">
        <v>135</v>
      </c>
      <c r="F446" s="99"/>
      <c r="G446" s="323">
        <f>G447</f>
        <v>8826.1304999999993</v>
      </c>
      <c r="H446" s="323">
        <f t="shared" ref="H446:I447" si="270">H447</f>
        <v>0</v>
      </c>
      <c r="I446" s="323">
        <f t="shared" si="270"/>
        <v>8826.1304999999993</v>
      </c>
    </row>
    <row r="447" spans="1:9" x14ac:dyDescent="0.2">
      <c r="B447" s="4" t="s">
        <v>380</v>
      </c>
      <c r="C447" s="99" t="s">
        <v>122</v>
      </c>
      <c r="D447" s="99" t="s">
        <v>45</v>
      </c>
      <c r="E447" s="99" t="s">
        <v>382</v>
      </c>
      <c r="F447" s="99"/>
      <c r="G447" s="323">
        <f>G448</f>
        <v>8826.1304999999993</v>
      </c>
      <c r="H447" s="323">
        <f t="shared" si="270"/>
        <v>0</v>
      </c>
      <c r="I447" s="323">
        <f t="shared" si="270"/>
        <v>8826.1304999999993</v>
      </c>
    </row>
    <row r="448" spans="1:9" ht="25.5" x14ac:dyDescent="0.2">
      <c r="B448" s="100" t="s">
        <v>381</v>
      </c>
      <c r="C448" s="99" t="s">
        <v>122</v>
      </c>
      <c r="D448" s="99" t="s">
        <v>45</v>
      </c>
      <c r="E448" s="99" t="s">
        <v>382</v>
      </c>
      <c r="F448" s="99" t="s">
        <v>383</v>
      </c>
      <c r="G448" s="323">
        <v>8826.1304999999993</v>
      </c>
      <c r="H448" s="323"/>
      <c r="I448" s="323">
        <f>G448+H448</f>
        <v>8826.1304999999993</v>
      </c>
    </row>
    <row r="449" spans="2:9" x14ac:dyDescent="0.2">
      <c r="B449" s="104" t="s">
        <v>9</v>
      </c>
      <c r="C449" s="99" t="s">
        <v>122</v>
      </c>
      <c r="D449" s="99" t="s">
        <v>47</v>
      </c>
      <c r="E449" s="99"/>
      <c r="F449" s="99"/>
      <c r="G449" s="323">
        <f>G450+G455</f>
        <v>673</v>
      </c>
      <c r="H449" s="323">
        <f t="shared" ref="H449:I449" si="271">H450+H455</f>
        <v>20</v>
      </c>
      <c r="I449" s="323">
        <f t="shared" si="271"/>
        <v>693</v>
      </c>
    </row>
    <row r="450" spans="2:9" x14ac:dyDescent="0.2">
      <c r="B450" s="120" t="s">
        <v>329</v>
      </c>
      <c r="C450" s="99" t="s">
        <v>122</v>
      </c>
      <c r="D450" s="99" t="s">
        <v>47</v>
      </c>
      <c r="E450" s="99" t="s">
        <v>135</v>
      </c>
      <c r="F450" s="99"/>
      <c r="G450" s="323">
        <f>G451+G453</f>
        <v>353</v>
      </c>
      <c r="H450" s="323">
        <f t="shared" ref="H450:I450" si="272">H451+H453</f>
        <v>20</v>
      </c>
      <c r="I450" s="323">
        <f t="shared" si="272"/>
        <v>373</v>
      </c>
    </row>
    <row r="451" spans="2:9" ht="25.5" x14ac:dyDescent="0.2">
      <c r="B451" s="142" t="s">
        <v>325</v>
      </c>
      <c r="C451" s="99" t="s">
        <v>122</v>
      </c>
      <c r="D451" s="99" t="s">
        <v>47</v>
      </c>
      <c r="E451" s="99" t="s">
        <v>330</v>
      </c>
      <c r="F451" s="99"/>
      <c r="G451" s="323">
        <f>G452</f>
        <v>300</v>
      </c>
      <c r="H451" s="323">
        <f t="shared" ref="H451:I451" si="273">H452</f>
        <v>0</v>
      </c>
      <c r="I451" s="323">
        <f t="shared" si="273"/>
        <v>300</v>
      </c>
    </row>
    <row r="452" spans="2:9" ht="25.5" x14ac:dyDescent="0.2">
      <c r="B452" s="100" t="s">
        <v>114</v>
      </c>
      <c r="C452" s="99" t="s">
        <v>122</v>
      </c>
      <c r="D452" s="99" t="s">
        <v>47</v>
      </c>
      <c r="E452" s="99" t="s">
        <v>330</v>
      </c>
      <c r="F452" s="99" t="s">
        <v>115</v>
      </c>
      <c r="G452" s="323">
        <v>300</v>
      </c>
      <c r="H452" s="323"/>
      <c r="I452" s="323">
        <f>G452+H452</f>
        <v>300</v>
      </c>
    </row>
    <row r="453" spans="2:9" ht="25.5" x14ac:dyDescent="0.2">
      <c r="B453" s="126" t="s">
        <v>252</v>
      </c>
      <c r="C453" s="99" t="s">
        <v>122</v>
      </c>
      <c r="D453" s="99" t="s">
        <v>47</v>
      </c>
      <c r="E453" s="99" t="s">
        <v>253</v>
      </c>
      <c r="F453" s="99"/>
      <c r="G453" s="323">
        <f t="shared" ref="G453:I453" si="274">G454</f>
        <v>53</v>
      </c>
      <c r="H453" s="323">
        <f t="shared" si="274"/>
        <v>20</v>
      </c>
      <c r="I453" s="323">
        <f t="shared" si="274"/>
        <v>73</v>
      </c>
    </row>
    <row r="454" spans="2:9" ht="38.25" x14ac:dyDescent="0.2">
      <c r="B454" s="100" t="s">
        <v>106</v>
      </c>
      <c r="C454" s="99" t="s">
        <v>122</v>
      </c>
      <c r="D454" s="99" t="s">
        <v>47</v>
      </c>
      <c r="E454" s="99" t="s">
        <v>253</v>
      </c>
      <c r="F454" s="99" t="s">
        <v>107</v>
      </c>
      <c r="G454" s="323">
        <v>53</v>
      </c>
      <c r="H454" s="323">
        <v>20</v>
      </c>
      <c r="I454" s="323">
        <f>G454+H454</f>
        <v>73</v>
      </c>
    </row>
    <row r="455" spans="2:9" ht="25.5" x14ac:dyDescent="0.2">
      <c r="B455" s="121" t="s">
        <v>78</v>
      </c>
      <c r="C455" s="99" t="s">
        <v>122</v>
      </c>
      <c r="D455" s="99" t="s">
        <v>47</v>
      </c>
      <c r="E455" s="99" t="s">
        <v>98</v>
      </c>
      <c r="F455" s="99"/>
      <c r="G455" s="323">
        <f>G456</f>
        <v>320</v>
      </c>
      <c r="H455" s="323">
        <f t="shared" ref="H455:I457" si="275">H456</f>
        <v>0</v>
      </c>
      <c r="I455" s="323">
        <f t="shared" si="275"/>
        <v>320</v>
      </c>
    </row>
    <row r="456" spans="2:9" ht="38.25" x14ac:dyDescent="0.2">
      <c r="B456" s="121" t="s">
        <v>271</v>
      </c>
      <c r="C456" s="99" t="s">
        <v>122</v>
      </c>
      <c r="D456" s="99" t="s">
        <v>47</v>
      </c>
      <c r="E456" s="122" t="s">
        <v>384</v>
      </c>
      <c r="F456" s="99"/>
      <c r="G456" s="323">
        <f>G457</f>
        <v>320</v>
      </c>
      <c r="H456" s="323">
        <f t="shared" si="275"/>
        <v>0</v>
      </c>
      <c r="I456" s="323">
        <f t="shared" si="275"/>
        <v>320</v>
      </c>
    </row>
    <row r="457" spans="2:9" ht="38.25" x14ac:dyDescent="0.2">
      <c r="B457" s="121" t="s">
        <v>272</v>
      </c>
      <c r="C457" s="99" t="s">
        <v>122</v>
      </c>
      <c r="D457" s="99" t="s">
        <v>47</v>
      </c>
      <c r="E457" s="122" t="s">
        <v>385</v>
      </c>
      <c r="F457" s="99"/>
      <c r="G457" s="323">
        <f>G458</f>
        <v>320</v>
      </c>
      <c r="H457" s="323">
        <f t="shared" si="275"/>
        <v>0</v>
      </c>
      <c r="I457" s="323">
        <f t="shared" si="275"/>
        <v>320</v>
      </c>
    </row>
    <row r="458" spans="2:9" ht="25.5" x14ac:dyDescent="0.2">
      <c r="B458" s="100" t="s">
        <v>114</v>
      </c>
      <c r="C458" s="99" t="s">
        <v>122</v>
      </c>
      <c r="D458" s="99" t="s">
        <v>47</v>
      </c>
      <c r="E458" s="122" t="s">
        <v>385</v>
      </c>
      <c r="F458" s="99" t="s">
        <v>115</v>
      </c>
      <c r="G458" s="323">
        <v>320</v>
      </c>
      <c r="H458" s="323"/>
      <c r="I458" s="323">
        <f>G458+H458</f>
        <v>320</v>
      </c>
    </row>
    <row r="459" spans="2:9" x14ac:dyDescent="0.2">
      <c r="B459" s="100" t="s">
        <v>273</v>
      </c>
      <c r="C459" s="99" t="s">
        <v>133</v>
      </c>
      <c r="D459" s="99"/>
      <c r="E459" s="99"/>
      <c r="F459" s="99"/>
      <c r="G459" s="323">
        <f>G460+G466</f>
        <v>2358.23</v>
      </c>
      <c r="H459" s="323">
        <f t="shared" ref="H459:I459" si="276">H460+H466</f>
        <v>-16.110210000000002</v>
      </c>
      <c r="I459" s="323">
        <f t="shared" si="276"/>
        <v>2342.1197899999997</v>
      </c>
    </row>
    <row r="460" spans="2:9" x14ac:dyDescent="0.2">
      <c r="B460" s="104" t="s">
        <v>274</v>
      </c>
      <c r="C460" s="99" t="s">
        <v>133</v>
      </c>
      <c r="D460" s="99" t="s">
        <v>42</v>
      </c>
      <c r="E460" s="99"/>
      <c r="F460" s="99"/>
      <c r="G460" s="323">
        <f>+G461</f>
        <v>625.5</v>
      </c>
      <c r="H460" s="323">
        <f t="shared" ref="H460:I460" si="277">+H461</f>
        <v>0</v>
      </c>
      <c r="I460" s="323">
        <f t="shared" si="277"/>
        <v>625.5</v>
      </c>
    </row>
    <row r="461" spans="2:9" ht="25.5" x14ac:dyDescent="0.2">
      <c r="B461" s="121" t="s">
        <v>78</v>
      </c>
      <c r="C461" s="99" t="s">
        <v>133</v>
      </c>
      <c r="D461" s="99" t="s">
        <v>42</v>
      </c>
      <c r="E461" s="99" t="s">
        <v>98</v>
      </c>
      <c r="F461" s="99"/>
      <c r="G461" s="323">
        <f t="shared" ref="G461:I462" si="278">G462</f>
        <v>625.5</v>
      </c>
      <c r="H461" s="323">
        <f t="shared" si="278"/>
        <v>0</v>
      </c>
      <c r="I461" s="323">
        <f t="shared" si="278"/>
        <v>625.5</v>
      </c>
    </row>
    <row r="462" spans="2:9" ht="38.25" x14ac:dyDescent="0.2">
      <c r="B462" s="121" t="s">
        <v>243</v>
      </c>
      <c r="C462" s="99" t="s">
        <v>133</v>
      </c>
      <c r="D462" s="99" t="s">
        <v>42</v>
      </c>
      <c r="E462" s="99" t="s">
        <v>244</v>
      </c>
      <c r="F462" s="99"/>
      <c r="G462" s="323">
        <f t="shared" si="278"/>
        <v>625.5</v>
      </c>
      <c r="H462" s="323">
        <f t="shared" si="278"/>
        <v>0</v>
      </c>
      <c r="I462" s="323">
        <f t="shared" si="278"/>
        <v>625.5</v>
      </c>
    </row>
    <row r="463" spans="2:9" ht="38.25" x14ac:dyDescent="0.2">
      <c r="B463" s="121" t="s">
        <v>275</v>
      </c>
      <c r="C463" s="99" t="s">
        <v>133</v>
      </c>
      <c r="D463" s="99" t="s">
        <v>42</v>
      </c>
      <c r="E463" s="99" t="s">
        <v>276</v>
      </c>
      <c r="F463" s="99"/>
      <c r="G463" s="323">
        <f>G464+G465</f>
        <v>625.5</v>
      </c>
      <c r="H463" s="323">
        <f t="shared" ref="H463:I463" si="279">H464+H465</f>
        <v>0</v>
      </c>
      <c r="I463" s="323">
        <f t="shared" si="279"/>
        <v>625.5</v>
      </c>
    </row>
    <row r="464" spans="2:9" ht="38.25" x14ac:dyDescent="0.2">
      <c r="B464" s="100" t="s">
        <v>108</v>
      </c>
      <c r="C464" s="99" t="s">
        <v>133</v>
      </c>
      <c r="D464" s="99" t="s">
        <v>42</v>
      </c>
      <c r="E464" s="99" t="s">
        <v>276</v>
      </c>
      <c r="F464" s="99" t="s">
        <v>109</v>
      </c>
      <c r="G464" s="323">
        <v>87.5</v>
      </c>
      <c r="H464" s="323"/>
      <c r="I464" s="323">
        <f>G464+H464</f>
        <v>87.5</v>
      </c>
    </row>
    <row r="465" spans="2:9" ht="25.5" x14ac:dyDescent="0.2">
      <c r="B465" s="100" t="s">
        <v>114</v>
      </c>
      <c r="C465" s="99" t="s">
        <v>133</v>
      </c>
      <c r="D465" s="99" t="s">
        <v>42</v>
      </c>
      <c r="E465" s="99" t="s">
        <v>276</v>
      </c>
      <c r="F465" s="99" t="s">
        <v>115</v>
      </c>
      <c r="G465" s="323">
        <v>538</v>
      </c>
      <c r="H465" s="323"/>
      <c r="I465" s="323">
        <f>G465+H465</f>
        <v>538</v>
      </c>
    </row>
    <row r="466" spans="2:9" x14ac:dyDescent="0.2">
      <c r="B466" s="214" t="s">
        <v>407</v>
      </c>
      <c r="C466" s="99" t="s">
        <v>133</v>
      </c>
      <c r="D466" s="99" t="s">
        <v>46</v>
      </c>
      <c r="E466" s="99"/>
      <c r="F466" s="99"/>
      <c r="G466" s="323">
        <f>G467</f>
        <v>1732.73</v>
      </c>
      <c r="H466" s="323">
        <f t="shared" ref="H466:I467" si="280">H467</f>
        <v>-16.110210000000002</v>
      </c>
      <c r="I466" s="323">
        <f t="shared" si="280"/>
        <v>1716.61979</v>
      </c>
    </row>
    <row r="467" spans="2:9" ht="25.5" x14ac:dyDescent="0.2">
      <c r="B467" s="215" t="s">
        <v>78</v>
      </c>
      <c r="C467" s="99" t="s">
        <v>133</v>
      </c>
      <c r="D467" s="99" t="s">
        <v>46</v>
      </c>
      <c r="E467" s="99" t="s">
        <v>98</v>
      </c>
      <c r="F467" s="99"/>
      <c r="G467" s="323">
        <f>G468</f>
        <v>1732.73</v>
      </c>
      <c r="H467" s="323">
        <f>H468</f>
        <v>-16.110210000000002</v>
      </c>
      <c r="I467" s="323">
        <f t="shared" si="280"/>
        <v>1716.61979</v>
      </c>
    </row>
    <row r="468" spans="2:9" ht="38.25" x14ac:dyDescent="0.2">
      <c r="B468" s="204" t="s">
        <v>243</v>
      </c>
      <c r="C468" s="99" t="s">
        <v>133</v>
      </c>
      <c r="D468" s="99" t="s">
        <v>46</v>
      </c>
      <c r="E468" s="99" t="s">
        <v>244</v>
      </c>
      <c r="F468" s="99"/>
      <c r="G468" s="323">
        <f>G469+G472+G475</f>
        <v>1732.73</v>
      </c>
      <c r="H468" s="323">
        <f>H469+H472+H475</f>
        <v>-16.110210000000002</v>
      </c>
      <c r="I468" s="323">
        <f t="shared" ref="I468" si="281">I469+I472+I475</f>
        <v>1716.61979</v>
      </c>
    </row>
    <row r="469" spans="2:9" ht="25.5" x14ac:dyDescent="0.2">
      <c r="B469" s="204" t="s">
        <v>262</v>
      </c>
      <c r="C469" s="99" t="s">
        <v>133</v>
      </c>
      <c r="D469" s="99" t="s">
        <v>46</v>
      </c>
      <c r="E469" s="99" t="s">
        <v>263</v>
      </c>
      <c r="F469" s="99"/>
      <c r="G469" s="323">
        <f>G470</f>
        <v>402.51</v>
      </c>
      <c r="H469" s="323">
        <f t="shared" ref="H469:I470" si="282">H470</f>
        <v>0</v>
      </c>
      <c r="I469" s="323">
        <f t="shared" si="282"/>
        <v>402.51</v>
      </c>
    </row>
    <row r="470" spans="2:9" ht="25.5" x14ac:dyDescent="0.2">
      <c r="B470" s="204" t="s">
        <v>408</v>
      </c>
      <c r="C470" s="99" t="s">
        <v>133</v>
      </c>
      <c r="D470" s="99" t="s">
        <v>46</v>
      </c>
      <c r="E470" s="99" t="s">
        <v>411</v>
      </c>
      <c r="F470" s="99"/>
      <c r="G470" s="323">
        <f>G471</f>
        <v>402.51</v>
      </c>
      <c r="H470" s="323">
        <f t="shared" si="282"/>
        <v>0</v>
      </c>
      <c r="I470" s="323">
        <f t="shared" si="282"/>
        <v>402.51</v>
      </c>
    </row>
    <row r="471" spans="2:9" ht="38.25" x14ac:dyDescent="0.2">
      <c r="B471" s="100" t="s">
        <v>386</v>
      </c>
      <c r="C471" s="99" t="s">
        <v>133</v>
      </c>
      <c r="D471" s="99" t="s">
        <v>46</v>
      </c>
      <c r="E471" s="99" t="s">
        <v>411</v>
      </c>
      <c r="F471" s="99" t="s">
        <v>83</v>
      </c>
      <c r="G471" s="323">
        <v>402.51</v>
      </c>
      <c r="H471" s="323"/>
      <c r="I471" s="323">
        <f>G471+H471</f>
        <v>402.51</v>
      </c>
    </row>
    <row r="472" spans="2:9" ht="38.25" x14ac:dyDescent="0.2">
      <c r="B472" s="204" t="s">
        <v>265</v>
      </c>
      <c r="C472" s="99" t="s">
        <v>133</v>
      </c>
      <c r="D472" s="99" t="s">
        <v>46</v>
      </c>
      <c r="E472" s="99" t="s">
        <v>266</v>
      </c>
      <c r="F472" s="99"/>
      <c r="G472" s="323">
        <f>G473</f>
        <v>1211.18</v>
      </c>
      <c r="H472" s="323">
        <f t="shared" ref="H472:I473" si="283">H473</f>
        <v>0</v>
      </c>
      <c r="I472" s="323">
        <f t="shared" si="283"/>
        <v>1211.18</v>
      </c>
    </row>
    <row r="473" spans="2:9" ht="25.5" x14ac:dyDescent="0.2">
      <c r="B473" s="204" t="s">
        <v>409</v>
      </c>
      <c r="C473" s="99" t="s">
        <v>133</v>
      </c>
      <c r="D473" s="99" t="s">
        <v>46</v>
      </c>
      <c r="E473" s="99" t="s">
        <v>412</v>
      </c>
      <c r="F473" s="99"/>
      <c r="G473" s="323">
        <f>G474</f>
        <v>1211.18</v>
      </c>
      <c r="H473" s="323">
        <f t="shared" si="283"/>
        <v>0</v>
      </c>
      <c r="I473" s="323">
        <f t="shared" si="283"/>
        <v>1211.18</v>
      </c>
    </row>
    <row r="474" spans="2:9" ht="38.25" x14ac:dyDescent="0.2">
      <c r="B474" s="100" t="s">
        <v>386</v>
      </c>
      <c r="C474" s="99" t="s">
        <v>133</v>
      </c>
      <c r="D474" s="99" t="s">
        <v>46</v>
      </c>
      <c r="E474" s="99" t="s">
        <v>412</v>
      </c>
      <c r="F474" s="99" t="s">
        <v>83</v>
      </c>
      <c r="G474" s="323">
        <v>1211.18</v>
      </c>
      <c r="H474" s="323"/>
      <c r="I474" s="323">
        <f>G474+H474</f>
        <v>1211.18</v>
      </c>
    </row>
    <row r="475" spans="2:9" ht="51" x14ac:dyDescent="0.2">
      <c r="B475" s="100" t="s">
        <v>269</v>
      </c>
      <c r="C475" s="99" t="s">
        <v>133</v>
      </c>
      <c r="D475" s="99" t="s">
        <v>46</v>
      </c>
      <c r="E475" s="205" t="s">
        <v>413</v>
      </c>
      <c r="F475" s="99"/>
      <c r="G475" s="323">
        <f>G476</f>
        <v>119.04</v>
      </c>
      <c r="H475" s="323">
        <f t="shared" ref="H475:I476" si="284">H476</f>
        <v>-16.110210000000002</v>
      </c>
      <c r="I475" s="323">
        <f t="shared" si="284"/>
        <v>102.92979</v>
      </c>
    </row>
    <row r="476" spans="2:9" ht="25.5" x14ac:dyDescent="0.2">
      <c r="B476" s="204" t="s">
        <v>410</v>
      </c>
      <c r="C476" s="99" t="s">
        <v>133</v>
      </c>
      <c r="D476" s="99" t="s">
        <v>46</v>
      </c>
      <c r="E476" s="99" t="s">
        <v>414</v>
      </c>
      <c r="F476" s="99"/>
      <c r="G476" s="323">
        <f>G477</f>
        <v>119.04</v>
      </c>
      <c r="H476" s="323">
        <f t="shared" si="284"/>
        <v>-16.110210000000002</v>
      </c>
      <c r="I476" s="323">
        <f t="shared" si="284"/>
        <v>102.92979</v>
      </c>
    </row>
    <row r="477" spans="2:9" ht="38.25" x14ac:dyDescent="0.2">
      <c r="B477" s="100" t="s">
        <v>106</v>
      </c>
      <c r="C477" s="99" t="s">
        <v>133</v>
      </c>
      <c r="D477" s="99" t="s">
        <v>46</v>
      </c>
      <c r="E477" s="99" t="s">
        <v>414</v>
      </c>
      <c r="F477" s="99" t="s">
        <v>107</v>
      </c>
      <c r="G477" s="323">
        <v>119.04</v>
      </c>
      <c r="H477" s="323">
        <f>-5.38265-5.16535-5.56221</f>
        <v>-16.110210000000002</v>
      </c>
      <c r="I477" s="323">
        <f>G477+H477</f>
        <v>102.92979</v>
      </c>
    </row>
    <row r="478" spans="2:9" x14ac:dyDescent="0.2">
      <c r="B478" s="104" t="s">
        <v>254</v>
      </c>
      <c r="C478" s="99" t="s">
        <v>201</v>
      </c>
      <c r="D478" s="99"/>
      <c r="E478" s="99"/>
      <c r="F478" s="99"/>
      <c r="G478" s="323">
        <f>G479</f>
        <v>1519.04</v>
      </c>
      <c r="H478" s="323">
        <f t="shared" ref="H478:I479" si="285">H479</f>
        <v>0</v>
      </c>
      <c r="I478" s="323">
        <f t="shared" si="285"/>
        <v>1519.04</v>
      </c>
    </row>
    <row r="479" spans="2:9" x14ac:dyDescent="0.2">
      <c r="B479" s="104" t="s">
        <v>12</v>
      </c>
      <c r="C479" s="99" t="s">
        <v>201</v>
      </c>
      <c r="D479" s="99" t="s">
        <v>43</v>
      </c>
      <c r="E479" s="99"/>
      <c r="F479" s="99"/>
      <c r="G479" s="325">
        <f>G480</f>
        <v>1519.04</v>
      </c>
      <c r="H479" s="325">
        <f t="shared" si="285"/>
        <v>0</v>
      </c>
      <c r="I479" s="325">
        <f t="shared" si="285"/>
        <v>1519.04</v>
      </c>
    </row>
    <row r="480" spans="2:9" ht="25.5" x14ac:dyDescent="0.2">
      <c r="B480" s="121" t="s">
        <v>170</v>
      </c>
      <c r="C480" s="99" t="s">
        <v>201</v>
      </c>
      <c r="D480" s="99" t="s">
        <v>43</v>
      </c>
      <c r="E480" s="99" t="s">
        <v>255</v>
      </c>
      <c r="F480" s="99"/>
      <c r="G480" s="325">
        <f t="shared" ref="G480:I482" si="286">G481</f>
        <v>1519.04</v>
      </c>
      <c r="H480" s="325">
        <f t="shared" si="286"/>
        <v>0</v>
      </c>
      <c r="I480" s="325">
        <f t="shared" si="286"/>
        <v>1519.04</v>
      </c>
    </row>
    <row r="481" spans="2:9" ht="39.75" customHeight="1" x14ac:dyDescent="0.2">
      <c r="B481" s="121" t="s">
        <v>256</v>
      </c>
      <c r="C481" s="99" t="s">
        <v>201</v>
      </c>
      <c r="D481" s="99" t="s">
        <v>43</v>
      </c>
      <c r="E481" s="99" t="s">
        <v>231</v>
      </c>
      <c r="F481" s="99"/>
      <c r="G481" s="323">
        <f t="shared" si="286"/>
        <v>1519.04</v>
      </c>
      <c r="H481" s="323">
        <f t="shared" si="286"/>
        <v>0</v>
      </c>
      <c r="I481" s="323">
        <f t="shared" si="286"/>
        <v>1519.04</v>
      </c>
    </row>
    <row r="482" spans="2:9" ht="38.25" x14ac:dyDescent="0.2">
      <c r="B482" s="121" t="s">
        <v>257</v>
      </c>
      <c r="C482" s="99" t="s">
        <v>201</v>
      </c>
      <c r="D482" s="99" t="s">
        <v>43</v>
      </c>
      <c r="E482" s="99" t="s">
        <v>258</v>
      </c>
      <c r="F482" s="99"/>
      <c r="G482" s="323">
        <f>G483</f>
        <v>1519.04</v>
      </c>
      <c r="H482" s="323">
        <f t="shared" si="286"/>
        <v>0</v>
      </c>
      <c r="I482" s="323">
        <f t="shared" si="286"/>
        <v>1519.04</v>
      </c>
    </row>
    <row r="483" spans="2:9" ht="51" x14ac:dyDescent="0.2">
      <c r="B483" s="100" t="s">
        <v>259</v>
      </c>
      <c r="C483" s="99" t="s">
        <v>201</v>
      </c>
      <c r="D483" s="99" t="s">
        <v>43</v>
      </c>
      <c r="E483" s="99" t="s">
        <v>258</v>
      </c>
      <c r="F483" s="99" t="s">
        <v>215</v>
      </c>
      <c r="G483" s="323">
        <v>1519.04</v>
      </c>
      <c r="H483" s="323"/>
      <c r="I483" s="323">
        <f>G483+H483</f>
        <v>1519.04</v>
      </c>
    </row>
    <row r="484" spans="2:9" ht="25.5" x14ac:dyDescent="0.2">
      <c r="B484" s="105" t="s">
        <v>142</v>
      </c>
      <c r="C484" s="99" t="s">
        <v>139</v>
      </c>
      <c r="D484" s="99"/>
      <c r="E484" s="99"/>
      <c r="F484" s="99"/>
      <c r="G484" s="323">
        <f>G485</f>
        <v>227</v>
      </c>
      <c r="H484" s="323">
        <f t="shared" ref="H484:I487" si="287">H485</f>
        <v>-6.0017100000000001</v>
      </c>
      <c r="I484" s="323">
        <f t="shared" si="287"/>
        <v>220.99829</v>
      </c>
    </row>
    <row r="485" spans="2:9" ht="25.5" x14ac:dyDescent="0.2">
      <c r="B485" s="105" t="s">
        <v>142</v>
      </c>
      <c r="C485" s="99" t="s">
        <v>139</v>
      </c>
      <c r="D485" s="99" t="s">
        <v>42</v>
      </c>
      <c r="E485" s="99"/>
      <c r="F485" s="99"/>
      <c r="G485" s="323">
        <f>G486</f>
        <v>227</v>
      </c>
      <c r="H485" s="323">
        <f t="shared" si="287"/>
        <v>-6.0017100000000001</v>
      </c>
      <c r="I485" s="323">
        <f t="shared" si="287"/>
        <v>220.99829</v>
      </c>
    </row>
    <row r="486" spans="2:9" ht="38.25" x14ac:dyDescent="0.2">
      <c r="B486" s="121" t="s">
        <v>128</v>
      </c>
      <c r="C486" s="99" t="s">
        <v>139</v>
      </c>
      <c r="D486" s="99" t="s">
        <v>42</v>
      </c>
      <c r="E486" s="99" t="s">
        <v>129</v>
      </c>
      <c r="F486" s="99"/>
      <c r="G486" s="323">
        <f>G487</f>
        <v>227</v>
      </c>
      <c r="H486" s="323">
        <f t="shared" si="287"/>
        <v>-6.0017100000000001</v>
      </c>
      <c r="I486" s="323">
        <f t="shared" si="287"/>
        <v>220.99829</v>
      </c>
    </row>
    <row r="487" spans="2:9" ht="38.25" x14ac:dyDescent="0.2">
      <c r="B487" s="121" t="s">
        <v>143</v>
      </c>
      <c r="C487" s="99" t="s">
        <v>139</v>
      </c>
      <c r="D487" s="99" t="s">
        <v>42</v>
      </c>
      <c r="E487" s="99" t="s">
        <v>144</v>
      </c>
      <c r="F487" s="99"/>
      <c r="G487" s="323">
        <f>G488</f>
        <v>227</v>
      </c>
      <c r="H487" s="323">
        <f t="shared" si="287"/>
        <v>-6.0017100000000001</v>
      </c>
      <c r="I487" s="323">
        <f t="shared" si="287"/>
        <v>220.99829</v>
      </c>
    </row>
    <row r="488" spans="2:9" ht="38.25" x14ac:dyDescent="0.2">
      <c r="B488" s="121" t="s">
        <v>145</v>
      </c>
      <c r="C488" s="99" t="s">
        <v>139</v>
      </c>
      <c r="D488" s="99" t="s">
        <v>42</v>
      </c>
      <c r="E488" s="99" t="s">
        <v>146</v>
      </c>
      <c r="F488" s="99"/>
      <c r="G488" s="323">
        <f>G489+G490</f>
        <v>227</v>
      </c>
      <c r="H488" s="323">
        <f t="shared" ref="H488:I488" si="288">H489+H490</f>
        <v>-6.0017100000000001</v>
      </c>
      <c r="I488" s="323">
        <f t="shared" si="288"/>
        <v>220.99829</v>
      </c>
    </row>
    <row r="489" spans="2:9" ht="25.5" x14ac:dyDescent="0.2">
      <c r="B489" s="135" t="s">
        <v>147</v>
      </c>
      <c r="C489" s="99" t="s">
        <v>139</v>
      </c>
      <c r="D489" s="99" t="s">
        <v>42</v>
      </c>
      <c r="E489" s="99" t="s">
        <v>146</v>
      </c>
      <c r="F489" s="99" t="s">
        <v>148</v>
      </c>
      <c r="G489" s="323">
        <v>0</v>
      </c>
      <c r="H489" s="323"/>
      <c r="I489" s="323">
        <f>G489+H489</f>
        <v>0</v>
      </c>
    </row>
    <row r="490" spans="2:9" x14ac:dyDescent="0.2">
      <c r="B490" s="103" t="s">
        <v>390</v>
      </c>
      <c r="C490" s="99" t="s">
        <v>139</v>
      </c>
      <c r="D490" s="99" t="s">
        <v>42</v>
      </c>
      <c r="E490" s="99" t="s">
        <v>146</v>
      </c>
      <c r="F490" s="99" t="s">
        <v>389</v>
      </c>
      <c r="G490" s="323">
        <v>227</v>
      </c>
      <c r="H490" s="323">
        <v>-6.0017100000000001</v>
      </c>
      <c r="I490" s="323">
        <f>G490+H490</f>
        <v>220.99829</v>
      </c>
    </row>
    <row r="491" spans="2:9" ht="25.5" x14ac:dyDescent="0.2">
      <c r="B491" s="105" t="s">
        <v>155</v>
      </c>
      <c r="C491" s="99" t="s">
        <v>156</v>
      </c>
      <c r="D491" s="99" t="s">
        <v>150</v>
      </c>
      <c r="E491" s="99"/>
      <c r="F491" s="99"/>
      <c r="G491" s="323">
        <f>G492+G499</f>
        <v>30556.530999999999</v>
      </c>
      <c r="H491" s="323">
        <f t="shared" ref="H491:I491" si="289">H492+H499</f>
        <v>1256.5</v>
      </c>
      <c r="I491" s="323">
        <f t="shared" si="289"/>
        <v>31813.030999999999</v>
      </c>
    </row>
    <row r="492" spans="2:9" ht="25.5" x14ac:dyDescent="0.2">
      <c r="B492" s="105" t="s">
        <v>157</v>
      </c>
      <c r="C492" s="99" t="s">
        <v>156</v>
      </c>
      <c r="D492" s="99" t="s">
        <v>42</v>
      </c>
      <c r="E492" s="99"/>
      <c r="F492" s="99"/>
      <c r="G492" s="323">
        <f>G493</f>
        <v>25487</v>
      </c>
      <c r="H492" s="323">
        <f t="shared" ref="H492:I493" si="290">H493</f>
        <v>0</v>
      </c>
      <c r="I492" s="323">
        <f t="shared" si="290"/>
        <v>25487</v>
      </c>
    </row>
    <row r="493" spans="2:9" ht="38.25" x14ac:dyDescent="0.2">
      <c r="B493" s="121" t="s">
        <v>128</v>
      </c>
      <c r="C493" s="99" t="s">
        <v>156</v>
      </c>
      <c r="D493" s="99" t="s">
        <v>42</v>
      </c>
      <c r="E493" s="99" t="s">
        <v>129</v>
      </c>
      <c r="F493" s="99"/>
      <c r="G493" s="323">
        <f>G494</f>
        <v>25487</v>
      </c>
      <c r="H493" s="323">
        <f t="shared" si="290"/>
        <v>0</v>
      </c>
      <c r="I493" s="323">
        <f t="shared" si="290"/>
        <v>25487</v>
      </c>
    </row>
    <row r="494" spans="2:9" ht="38.25" x14ac:dyDescent="0.2">
      <c r="B494" s="121" t="s">
        <v>143</v>
      </c>
      <c r="C494" s="99" t="s">
        <v>156</v>
      </c>
      <c r="D494" s="99" t="s">
        <v>42</v>
      </c>
      <c r="E494" s="99" t="s">
        <v>144</v>
      </c>
      <c r="F494" s="99"/>
      <c r="G494" s="323">
        <f>G495+G497</f>
        <v>25487</v>
      </c>
      <c r="H494" s="323">
        <f t="shared" ref="H494:I494" si="291">H495+H497</f>
        <v>0</v>
      </c>
      <c r="I494" s="323">
        <f t="shared" si="291"/>
        <v>25487</v>
      </c>
    </row>
    <row r="495" spans="2:9" ht="38.25" x14ac:dyDescent="0.2">
      <c r="B495" s="105" t="s">
        <v>158</v>
      </c>
      <c r="C495" s="99" t="s">
        <v>156</v>
      </c>
      <c r="D495" s="99" t="s">
        <v>42</v>
      </c>
      <c r="E495" s="99" t="s">
        <v>297</v>
      </c>
      <c r="F495" s="99"/>
      <c r="G495" s="323">
        <f>G496</f>
        <v>20857</v>
      </c>
      <c r="H495" s="323">
        <f t="shared" ref="H495:I495" si="292">H496</f>
        <v>0</v>
      </c>
      <c r="I495" s="323">
        <f t="shared" si="292"/>
        <v>20857</v>
      </c>
    </row>
    <row r="496" spans="2:9" x14ac:dyDescent="0.2">
      <c r="B496" s="100" t="s">
        <v>159</v>
      </c>
      <c r="C496" s="99" t="s">
        <v>156</v>
      </c>
      <c r="D496" s="99" t="s">
        <v>42</v>
      </c>
      <c r="E496" s="99" t="s">
        <v>297</v>
      </c>
      <c r="F496" s="99" t="s">
        <v>160</v>
      </c>
      <c r="G496" s="323">
        <v>20857</v>
      </c>
      <c r="H496" s="323"/>
      <c r="I496" s="323">
        <f>G496+H496</f>
        <v>20857</v>
      </c>
    </row>
    <row r="497" spans="2:11" ht="38.25" x14ac:dyDescent="0.2">
      <c r="B497" s="203" t="s">
        <v>391</v>
      </c>
      <c r="C497" s="200" t="s">
        <v>156</v>
      </c>
      <c r="D497" s="200" t="s">
        <v>42</v>
      </c>
      <c r="E497" s="99" t="s">
        <v>336</v>
      </c>
      <c r="F497" s="99"/>
      <c r="G497" s="323">
        <f>G498</f>
        <v>4630</v>
      </c>
      <c r="H497" s="323">
        <f t="shared" ref="H497:I497" si="293">H498</f>
        <v>0</v>
      </c>
      <c r="I497" s="328">
        <f t="shared" si="293"/>
        <v>4630</v>
      </c>
      <c r="J497" s="201"/>
      <c r="K497" s="201"/>
    </row>
    <row r="498" spans="2:11" x14ac:dyDescent="0.2">
      <c r="B498" s="100" t="s">
        <v>159</v>
      </c>
      <c r="C498" s="200" t="s">
        <v>156</v>
      </c>
      <c r="D498" s="99" t="s">
        <v>42</v>
      </c>
      <c r="E498" s="99" t="s">
        <v>336</v>
      </c>
      <c r="F498" s="99" t="s">
        <v>160</v>
      </c>
      <c r="G498" s="323">
        <v>4630</v>
      </c>
      <c r="H498" s="323"/>
      <c r="I498" s="328">
        <f>G498+H498</f>
        <v>4630</v>
      </c>
      <c r="J498" s="201"/>
      <c r="K498" s="201"/>
    </row>
    <row r="499" spans="2:11" ht="25.5" x14ac:dyDescent="0.2">
      <c r="B499" s="149" t="s">
        <v>331</v>
      </c>
      <c r="C499" s="99" t="s">
        <v>156</v>
      </c>
      <c r="D499" s="99" t="s">
        <v>44</v>
      </c>
      <c r="E499" s="99"/>
      <c r="F499" s="99"/>
      <c r="G499" s="323">
        <f t="shared" ref="G499:H499" si="294">G500+G508</f>
        <v>5069.5309999999999</v>
      </c>
      <c r="H499" s="323">
        <f t="shared" si="294"/>
        <v>1256.5</v>
      </c>
      <c r="I499" s="323">
        <f>I500+I508</f>
        <v>6326.0309999999999</v>
      </c>
      <c r="J499" s="202"/>
      <c r="K499" s="202"/>
    </row>
    <row r="500" spans="2:11" ht="38.25" x14ac:dyDescent="0.2">
      <c r="B500" s="121" t="s">
        <v>128</v>
      </c>
      <c r="C500" s="99" t="s">
        <v>156</v>
      </c>
      <c r="D500" s="99" t="s">
        <v>44</v>
      </c>
      <c r="E500" s="99" t="s">
        <v>129</v>
      </c>
      <c r="F500" s="99"/>
      <c r="G500" s="323">
        <f>G501</f>
        <v>5024.5309999999999</v>
      </c>
      <c r="H500" s="323">
        <f t="shared" ref="H500:I501" si="295">H501</f>
        <v>1256.5</v>
      </c>
      <c r="I500" s="323">
        <f t="shared" si="295"/>
        <v>6281.0309999999999</v>
      </c>
    </row>
    <row r="501" spans="2:11" ht="38.25" x14ac:dyDescent="0.2">
      <c r="B501" s="128" t="s">
        <v>143</v>
      </c>
      <c r="C501" s="99" t="s">
        <v>156</v>
      </c>
      <c r="D501" s="99" t="s">
        <v>44</v>
      </c>
      <c r="E501" s="99" t="s">
        <v>144</v>
      </c>
      <c r="F501" s="99"/>
      <c r="G501" s="323">
        <f>G502</f>
        <v>5024.5309999999999</v>
      </c>
      <c r="H501" s="323">
        <f t="shared" si="295"/>
        <v>1256.5</v>
      </c>
      <c r="I501" s="323">
        <f t="shared" si="295"/>
        <v>6281.0309999999999</v>
      </c>
    </row>
    <row r="502" spans="2:11" ht="38.25" x14ac:dyDescent="0.2">
      <c r="B502" s="138" t="s">
        <v>332</v>
      </c>
      <c r="C502" s="99" t="s">
        <v>156</v>
      </c>
      <c r="D502" s="99" t="s">
        <v>44</v>
      </c>
      <c r="E502" s="225" t="s">
        <v>146</v>
      </c>
      <c r="F502" s="99"/>
      <c r="G502" s="323">
        <f>G503+G506</f>
        <v>5024.5309999999999</v>
      </c>
      <c r="H502" s="323">
        <f t="shared" ref="H502:I502" si="296">H503+H506</f>
        <v>1256.5</v>
      </c>
      <c r="I502" s="323">
        <f t="shared" si="296"/>
        <v>6281.0309999999999</v>
      </c>
    </row>
    <row r="503" spans="2:11" x14ac:dyDescent="0.2">
      <c r="B503" s="150" t="s">
        <v>333</v>
      </c>
      <c r="C503" s="99" t="s">
        <v>156</v>
      </c>
      <c r="D503" s="99" t="s">
        <v>44</v>
      </c>
      <c r="E503" s="99" t="s">
        <v>396</v>
      </c>
      <c r="F503" s="99"/>
      <c r="G503" s="323">
        <f>G504+G505</f>
        <v>4991.57</v>
      </c>
      <c r="H503" s="323">
        <f t="shared" ref="H503:I503" si="297">H504+H505</f>
        <v>1256.5</v>
      </c>
      <c r="I503" s="323">
        <f t="shared" si="297"/>
        <v>6248.07</v>
      </c>
    </row>
    <row r="504" spans="2:11" x14ac:dyDescent="0.2">
      <c r="B504" s="103" t="s">
        <v>334</v>
      </c>
      <c r="C504" s="99" t="s">
        <v>156</v>
      </c>
      <c r="D504" s="99" t="s">
        <v>44</v>
      </c>
      <c r="E504" s="99" t="s">
        <v>396</v>
      </c>
      <c r="F504" s="99" t="s">
        <v>335</v>
      </c>
      <c r="G504" s="323">
        <v>4094.1</v>
      </c>
      <c r="H504" s="328">
        <v>-2628.1</v>
      </c>
      <c r="I504" s="323">
        <f>G504+H504</f>
        <v>1466</v>
      </c>
    </row>
    <row r="505" spans="2:11" x14ac:dyDescent="0.2">
      <c r="B505" s="210" t="s">
        <v>403</v>
      </c>
      <c r="C505" s="99" t="s">
        <v>156</v>
      </c>
      <c r="D505" s="99" t="s">
        <v>44</v>
      </c>
      <c r="E505" s="99" t="s">
        <v>396</v>
      </c>
      <c r="F505" s="99" t="s">
        <v>402</v>
      </c>
      <c r="G505" s="323">
        <v>897.47</v>
      </c>
      <c r="H505" s="328">
        <f>2628.1+20+150+1086.5</f>
        <v>3884.6</v>
      </c>
      <c r="I505" s="323">
        <f>G505+H505</f>
        <v>4782.07</v>
      </c>
    </row>
    <row r="506" spans="2:11" ht="25.5" x14ac:dyDescent="0.2">
      <c r="B506" s="150" t="s">
        <v>490</v>
      </c>
      <c r="C506" s="99" t="s">
        <v>156</v>
      </c>
      <c r="D506" s="99" t="s">
        <v>44</v>
      </c>
      <c r="E506" s="99" t="s">
        <v>491</v>
      </c>
      <c r="F506" s="99"/>
      <c r="G506" s="323">
        <f>G507</f>
        <v>32.960999999999999</v>
      </c>
      <c r="H506" s="323">
        <f t="shared" ref="H506:I506" si="298">H507</f>
        <v>0</v>
      </c>
      <c r="I506" s="323">
        <f t="shared" si="298"/>
        <v>32.960999999999999</v>
      </c>
    </row>
    <row r="507" spans="2:11" x14ac:dyDescent="0.2">
      <c r="B507" s="210" t="s">
        <v>403</v>
      </c>
      <c r="C507" s="99" t="s">
        <v>156</v>
      </c>
      <c r="D507" s="99" t="s">
        <v>44</v>
      </c>
      <c r="E507" s="99" t="s">
        <v>491</v>
      </c>
      <c r="F507" s="99" t="s">
        <v>402</v>
      </c>
      <c r="G507" s="323">
        <v>32.960999999999999</v>
      </c>
      <c r="H507" s="328"/>
      <c r="I507" s="323">
        <f>G507+H507</f>
        <v>32.960999999999999</v>
      </c>
    </row>
    <row r="508" spans="2:11" ht="25.5" x14ac:dyDescent="0.2">
      <c r="B508" s="197" t="s">
        <v>163</v>
      </c>
      <c r="C508" s="99" t="s">
        <v>156</v>
      </c>
      <c r="D508" s="99" t="s">
        <v>44</v>
      </c>
      <c r="E508" s="99" t="s">
        <v>135</v>
      </c>
      <c r="F508" s="99"/>
      <c r="G508" s="323">
        <f>G509</f>
        <v>45</v>
      </c>
      <c r="H508" s="323">
        <f t="shared" ref="H508:I508" si="299">H509</f>
        <v>0</v>
      </c>
      <c r="I508" s="323">
        <f t="shared" si="299"/>
        <v>45</v>
      </c>
    </row>
    <row r="509" spans="2:11" x14ac:dyDescent="0.2">
      <c r="B509" s="236" t="s">
        <v>466</v>
      </c>
      <c r="C509" s="99" t="s">
        <v>156</v>
      </c>
      <c r="D509" s="99" t="s">
        <v>44</v>
      </c>
      <c r="E509" s="99" t="s">
        <v>395</v>
      </c>
      <c r="F509" s="99"/>
      <c r="G509" s="323">
        <f>G510</f>
        <v>45</v>
      </c>
      <c r="H509" s="323">
        <f t="shared" ref="H509:I509" si="300">H510</f>
        <v>0</v>
      </c>
      <c r="I509" s="323">
        <f t="shared" si="300"/>
        <v>45</v>
      </c>
    </row>
    <row r="510" spans="2:11" x14ac:dyDescent="0.2">
      <c r="B510" s="210" t="s">
        <v>403</v>
      </c>
      <c r="C510" s="99" t="s">
        <v>156</v>
      </c>
      <c r="D510" s="99" t="s">
        <v>44</v>
      </c>
      <c r="E510" s="99" t="s">
        <v>395</v>
      </c>
      <c r="F510" s="99" t="s">
        <v>402</v>
      </c>
      <c r="G510" s="323">
        <v>45</v>
      </c>
      <c r="H510" s="323"/>
      <c r="I510" s="323">
        <f>G510+H510</f>
        <v>45</v>
      </c>
    </row>
    <row r="511" spans="2:11" hidden="1" x14ac:dyDescent="0.2">
      <c r="B511" s="135" t="s">
        <v>277</v>
      </c>
      <c r="C511" s="99" t="s">
        <v>278</v>
      </c>
      <c r="D511" s="99" t="s">
        <v>278</v>
      </c>
      <c r="E511" s="99" t="s">
        <v>337</v>
      </c>
      <c r="F511" s="99" t="s">
        <v>338</v>
      </c>
      <c r="G511" s="329">
        <v>0</v>
      </c>
      <c r="H511" s="329">
        <v>0</v>
      </c>
      <c r="I511" s="329">
        <v>0</v>
      </c>
    </row>
    <row r="512" spans="2:11" x14ac:dyDescent="0.2">
      <c r="B512" s="151"/>
      <c r="C512" s="152"/>
      <c r="D512" s="152"/>
      <c r="E512" s="152"/>
      <c r="F512" s="152"/>
      <c r="G512" s="329">
        <f>G8+G101+G107+G137+G190+G240+G345+G410+G459+G478+G484+G491+G511+G399+G234</f>
        <v>430564.02581999992</v>
      </c>
      <c r="H512" s="329">
        <f>H8+H101+H107+H137+H190+H240+H345+H410+H459+H478+H484+H491+H511+H399+H234</f>
        <v>17143.899999999998</v>
      </c>
      <c r="I512" s="329">
        <f>I8+I101+I107+I137+I190+I240+I345+I410+I459+I478+I484+I491+I511+I399+I234</f>
        <v>447707.92582000006</v>
      </c>
    </row>
    <row r="513" spans="1:9" x14ac:dyDescent="0.2">
      <c r="E513" s="57" t="s">
        <v>44</v>
      </c>
      <c r="G513" s="349">
        <f>G500+G493+G486+G103+G172+G50+G37+G221</f>
        <v>40085.475749999998</v>
      </c>
      <c r="H513" s="349">
        <f>H500+H493+H486+H103+H172+H50+H37+H221</f>
        <v>1274.2926199999999</v>
      </c>
      <c r="I513" s="176">
        <f>I500+I493+I486+I103+I172+I50+I37+I221</f>
        <v>41359.768369999998</v>
      </c>
    </row>
    <row r="514" spans="1:9" x14ac:dyDescent="0.2">
      <c r="E514" s="57" t="s">
        <v>43</v>
      </c>
      <c r="G514" s="349">
        <f>G34+G246+G267+G310+G315+G328+G353+G382+G406+G424+G442+G455+G461+G467</f>
        <v>323906.60525999998</v>
      </c>
      <c r="H514" s="349">
        <f>H34+H246+H267+H310+H315+H328+H353+H382+H406+H424+H442+H455+H461+H467</f>
        <v>5460.6454400000002</v>
      </c>
      <c r="I514" s="176">
        <f>I34+I246+I267+I310+I315+I328+I353+I382+I406+I424+I442+I455+I461+I467</f>
        <v>329367.25070000003</v>
      </c>
    </row>
    <row r="515" spans="1:9" x14ac:dyDescent="0.2">
      <c r="A515" s="58"/>
      <c r="B515" s="58"/>
      <c r="C515" s="58"/>
      <c r="D515" s="58"/>
      <c r="E515" s="57" t="s">
        <v>42</v>
      </c>
      <c r="G515" s="349">
        <f>G24+G139+G164+G193+G263+G416+G480+G401+G347+G79+G242</f>
        <v>30228.981249999997</v>
      </c>
      <c r="H515" s="349">
        <f>H24+H139+H164+H193+H263+H416+H480+H401+H347+H79+H242</f>
        <v>9724.8484100000005</v>
      </c>
      <c r="I515" s="176">
        <f>I24+I139+I164+I193+I263+I416+I480+I401+I347+I79+I242</f>
        <v>39953.829659999996</v>
      </c>
    </row>
    <row r="516" spans="1:9" x14ac:dyDescent="0.2">
      <c r="A516" s="58"/>
      <c r="B516" s="58"/>
      <c r="C516" s="58"/>
      <c r="D516" s="58"/>
      <c r="E516" s="57" t="s">
        <v>45</v>
      </c>
      <c r="G516" s="349">
        <f>G109+G126+G154+G180+G198+G226</f>
        <v>16535.11233</v>
      </c>
      <c r="H516" s="349">
        <f>H109+H126+H154+H180+H198+H226</f>
        <v>670.51352999999995</v>
      </c>
      <c r="I516" s="176">
        <f>I109+I126+I154+I180+I198+I226</f>
        <v>17205.62586</v>
      </c>
    </row>
    <row r="517" spans="1:9" x14ac:dyDescent="0.2">
      <c r="A517" s="58"/>
      <c r="B517" s="58"/>
      <c r="C517" s="58"/>
      <c r="D517" s="58"/>
      <c r="E517" s="57" t="s">
        <v>278</v>
      </c>
      <c r="G517" s="349">
        <f>G10+G15+G40+G62+G83+G117+G148+G236+G395+G412+G432+G450+G446+G73+G185+G508+G69+G160+G376</f>
        <v>19807.851229999997</v>
      </c>
      <c r="H517" s="349">
        <f>H10+H15+H40+H62+H83+H117+H148+H236+H395+H412+H432+H450+H446+H73+H185+H508+H69+H160+H376</f>
        <v>13.599999999999994</v>
      </c>
      <c r="I517" s="176">
        <f>I10+I15+I40+I62+I83+I117+I148+I236+I395+I412+I432+I450+I446+I73+I185+I508+I69+I160+I376</f>
        <v>19821.451229999999</v>
      </c>
    </row>
    <row r="518" spans="1:9" x14ac:dyDescent="0.2">
      <c r="A518" s="58"/>
      <c r="B518" s="58"/>
      <c r="C518" s="58"/>
      <c r="D518" s="58"/>
      <c r="G518" s="349">
        <f>SUM(G513:G517)</f>
        <v>430564.02581999992</v>
      </c>
      <c r="H518" s="349">
        <f>SUM(H513:H517)</f>
        <v>17143.899999999998</v>
      </c>
      <c r="I518" s="176">
        <f>SUM(I513:I517)</f>
        <v>447707.92582</v>
      </c>
    </row>
    <row r="519" spans="1:9" x14ac:dyDescent="0.2">
      <c r="A519" s="58"/>
      <c r="B519" s="58"/>
      <c r="C519" s="58"/>
      <c r="D519" s="58"/>
      <c r="G519" s="349">
        <f>G512-G518</f>
        <v>0</v>
      </c>
      <c r="H519" s="349">
        <f t="shared" ref="H519:I519" si="301">H512-H518</f>
        <v>0</v>
      </c>
      <c r="I519" s="176">
        <f t="shared" si="301"/>
        <v>0</v>
      </c>
    </row>
    <row r="520" spans="1:9" x14ac:dyDescent="0.2">
      <c r="G520" s="349">
        <v>378655.51</v>
      </c>
      <c r="I520" s="176"/>
    </row>
    <row r="521" spans="1:9" x14ac:dyDescent="0.2">
      <c r="G521" s="349">
        <f>G520-G512</f>
        <v>-51908.515819999913</v>
      </c>
      <c r="I521" s="176"/>
    </row>
    <row r="523" spans="1:9" x14ac:dyDescent="0.2">
      <c r="G523" s="319">
        <v>430564.02996999997</v>
      </c>
    </row>
    <row r="527" spans="1:9" x14ac:dyDescent="0.2">
      <c r="H527" s="319"/>
    </row>
  </sheetData>
  <mergeCells count="4">
    <mergeCell ref="A3:I3"/>
    <mergeCell ref="B4:I4"/>
    <mergeCell ref="F2:I2"/>
    <mergeCell ref="F1:I1"/>
  </mergeCells>
  <pageMargins left="0.86614173228346458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4"/>
  <sheetViews>
    <sheetView view="pageBreakPreview" topLeftCell="A14" zoomScaleNormal="100" zoomScaleSheetLayoutView="100" workbookViewId="0">
      <selection activeCell="G3" sqref="G3"/>
    </sheetView>
  </sheetViews>
  <sheetFormatPr defaultRowHeight="12.75" x14ac:dyDescent="0.2"/>
  <cols>
    <col min="1" max="1" width="49.28515625" style="19" customWidth="1"/>
    <col min="2" max="3" width="15.85546875" style="19" customWidth="1"/>
    <col min="4" max="4" width="13.42578125" style="19" customWidth="1"/>
    <col min="5" max="5" width="13.7109375" style="19" customWidth="1"/>
    <col min="6" max="6" width="11.7109375" customWidth="1"/>
    <col min="7" max="7" width="12.42578125" customWidth="1"/>
    <col min="8" max="8" width="12.5703125" customWidth="1"/>
    <col min="9" max="9" width="13.7109375" customWidth="1"/>
    <col min="10" max="10" width="12.42578125" customWidth="1"/>
    <col min="259" max="259" width="36.85546875" customWidth="1"/>
    <col min="260" max="260" width="12" customWidth="1"/>
    <col min="261" max="261" width="19.7109375" customWidth="1"/>
    <col min="262" max="262" width="38.85546875" customWidth="1"/>
    <col min="515" max="515" width="36.85546875" customWidth="1"/>
    <col min="516" max="516" width="12" customWidth="1"/>
    <col min="517" max="517" width="19.7109375" customWidth="1"/>
    <col min="518" max="518" width="38.85546875" customWidth="1"/>
    <col min="771" max="771" width="36.85546875" customWidth="1"/>
    <col min="772" max="772" width="12" customWidth="1"/>
    <col min="773" max="773" width="19.7109375" customWidth="1"/>
    <col min="774" max="774" width="38.85546875" customWidth="1"/>
    <col min="1027" max="1027" width="36.85546875" customWidth="1"/>
    <col min="1028" max="1028" width="12" customWidth="1"/>
    <col min="1029" max="1029" width="19.7109375" customWidth="1"/>
    <col min="1030" max="1030" width="38.85546875" customWidth="1"/>
    <col min="1283" max="1283" width="36.85546875" customWidth="1"/>
    <col min="1284" max="1284" width="12" customWidth="1"/>
    <col min="1285" max="1285" width="19.7109375" customWidth="1"/>
    <col min="1286" max="1286" width="38.85546875" customWidth="1"/>
    <col min="1539" max="1539" width="36.85546875" customWidth="1"/>
    <col min="1540" max="1540" width="12" customWidth="1"/>
    <col min="1541" max="1541" width="19.7109375" customWidth="1"/>
    <col min="1542" max="1542" width="38.85546875" customWidth="1"/>
    <col min="1795" max="1795" width="36.85546875" customWidth="1"/>
    <col min="1796" max="1796" width="12" customWidth="1"/>
    <col min="1797" max="1797" width="19.7109375" customWidth="1"/>
    <col min="1798" max="1798" width="38.85546875" customWidth="1"/>
    <col min="2051" max="2051" width="36.85546875" customWidth="1"/>
    <col min="2052" max="2052" width="12" customWidth="1"/>
    <col min="2053" max="2053" width="19.7109375" customWidth="1"/>
    <col min="2054" max="2054" width="38.85546875" customWidth="1"/>
    <col min="2307" max="2307" width="36.85546875" customWidth="1"/>
    <col min="2308" max="2308" width="12" customWidth="1"/>
    <col min="2309" max="2309" width="19.7109375" customWidth="1"/>
    <col min="2310" max="2310" width="38.85546875" customWidth="1"/>
    <col min="2563" max="2563" width="36.85546875" customWidth="1"/>
    <col min="2564" max="2564" width="12" customWidth="1"/>
    <col min="2565" max="2565" width="19.7109375" customWidth="1"/>
    <col min="2566" max="2566" width="38.85546875" customWidth="1"/>
    <col min="2819" max="2819" width="36.85546875" customWidth="1"/>
    <col min="2820" max="2820" width="12" customWidth="1"/>
    <col min="2821" max="2821" width="19.7109375" customWidth="1"/>
    <col min="2822" max="2822" width="38.85546875" customWidth="1"/>
    <col min="3075" max="3075" width="36.85546875" customWidth="1"/>
    <col min="3076" max="3076" width="12" customWidth="1"/>
    <col min="3077" max="3077" width="19.7109375" customWidth="1"/>
    <col min="3078" max="3078" width="38.85546875" customWidth="1"/>
    <col min="3331" max="3331" width="36.85546875" customWidth="1"/>
    <col min="3332" max="3332" width="12" customWidth="1"/>
    <col min="3333" max="3333" width="19.7109375" customWidth="1"/>
    <col min="3334" max="3334" width="38.85546875" customWidth="1"/>
    <col min="3587" max="3587" width="36.85546875" customWidth="1"/>
    <col min="3588" max="3588" width="12" customWidth="1"/>
    <col min="3589" max="3589" width="19.7109375" customWidth="1"/>
    <col min="3590" max="3590" width="38.85546875" customWidth="1"/>
    <col min="3843" max="3843" width="36.85546875" customWidth="1"/>
    <col min="3844" max="3844" width="12" customWidth="1"/>
    <col min="3845" max="3845" width="19.7109375" customWidth="1"/>
    <col min="3846" max="3846" width="38.85546875" customWidth="1"/>
    <col min="4099" max="4099" width="36.85546875" customWidth="1"/>
    <col min="4100" max="4100" width="12" customWidth="1"/>
    <col min="4101" max="4101" width="19.7109375" customWidth="1"/>
    <col min="4102" max="4102" width="38.85546875" customWidth="1"/>
    <col min="4355" max="4355" width="36.85546875" customWidth="1"/>
    <col min="4356" max="4356" width="12" customWidth="1"/>
    <col min="4357" max="4357" width="19.7109375" customWidth="1"/>
    <col min="4358" max="4358" width="38.85546875" customWidth="1"/>
    <col min="4611" max="4611" width="36.85546875" customWidth="1"/>
    <col min="4612" max="4612" width="12" customWidth="1"/>
    <col min="4613" max="4613" width="19.7109375" customWidth="1"/>
    <col min="4614" max="4614" width="38.85546875" customWidth="1"/>
    <col min="4867" max="4867" width="36.85546875" customWidth="1"/>
    <col min="4868" max="4868" width="12" customWidth="1"/>
    <col min="4869" max="4869" width="19.7109375" customWidth="1"/>
    <col min="4870" max="4870" width="38.85546875" customWidth="1"/>
    <col min="5123" max="5123" width="36.85546875" customWidth="1"/>
    <col min="5124" max="5124" width="12" customWidth="1"/>
    <col min="5125" max="5125" width="19.7109375" customWidth="1"/>
    <col min="5126" max="5126" width="38.85546875" customWidth="1"/>
    <col min="5379" max="5379" width="36.85546875" customWidth="1"/>
    <col min="5380" max="5380" width="12" customWidth="1"/>
    <col min="5381" max="5381" width="19.7109375" customWidth="1"/>
    <col min="5382" max="5382" width="38.85546875" customWidth="1"/>
    <col min="5635" max="5635" width="36.85546875" customWidth="1"/>
    <col min="5636" max="5636" width="12" customWidth="1"/>
    <col min="5637" max="5637" width="19.7109375" customWidth="1"/>
    <col min="5638" max="5638" width="38.85546875" customWidth="1"/>
    <col min="5891" max="5891" width="36.85546875" customWidth="1"/>
    <col min="5892" max="5892" width="12" customWidth="1"/>
    <col min="5893" max="5893" width="19.7109375" customWidth="1"/>
    <col min="5894" max="5894" width="38.85546875" customWidth="1"/>
    <col min="6147" max="6147" width="36.85546875" customWidth="1"/>
    <col min="6148" max="6148" width="12" customWidth="1"/>
    <col min="6149" max="6149" width="19.7109375" customWidth="1"/>
    <col min="6150" max="6150" width="38.85546875" customWidth="1"/>
    <col min="6403" max="6403" width="36.85546875" customWidth="1"/>
    <col min="6404" max="6404" width="12" customWidth="1"/>
    <col min="6405" max="6405" width="19.7109375" customWidth="1"/>
    <col min="6406" max="6406" width="38.85546875" customWidth="1"/>
    <col min="6659" max="6659" width="36.85546875" customWidth="1"/>
    <col min="6660" max="6660" width="12" customWidth="1"/>
    <col min="6661" max="6661" width="19.7109375" customWidth="1"/>
    <col min="6662" max="6662" width="38.85546875" customWidth="1"/>
    <col min="6915" max="6915" width="36.85546875" customWidth="1"/>
    <col min="6916" max="6916" width="12" customWidth="1"/>
    <col min="6917" max="6917" width="19.7109375" customWidth="1"/>
    <col min="6918" max="6918" width="38.85546875" customWidth="1"/>
    <col min="7171" max="7171" width="36.85546875" customWidth="1"/>
    <col min="7172" max="7172" width="12" customWidth="1"/>
    <col min="7173" max="7173" width="19.7109375" customWidth="1"/>
    <col min="7174" max="7174" width="38.85546875" customWidth="1"/>
    <col min="7427" max="7427" width="36.85546875" customWidth="1"/>
    <col min="7428" max="7428" width="12" customWidth="1"/>
    <col min="7429" max="7429" width="19.7109375" customWidth="1"/>
    <col min="7430" max="7430" width="38.85546875" customWidth="1"/>
    <col min="7683" max="7683" width="36.85546875" customWidth="1"/>
    <col min="7684" max="7684" width="12" customWidth="1"/>
    <col min="7685" max="7685" width="19.7109375" customWidth="1"/>
    <col min="7686" max="7686" width="38.85546875" customWidth="1"/>
    <col min="7939" max="7939" width="36.85546875" customWidth="1"/>
    <col min="7940" max="7940" width="12" customWidth="1"/>
    <col min="7941" max="7941" width="19.7109375" customWidth="1"/>
    <col min="7942" max="7942" width="38.85546875" customWidth="1"/>
    <col min="8195" max="8195" width="36.85546875" customWidth="1"/>
    <col min="8196" max="8196" width="12" customWidth="1"/>
    <col min="8197" max="8197" width="19.7109375" customWidth="1"/>
    <col min="8198" max="8198" width="38.85546875" customWidth="1"/>
    <col min="8451" max="8451" width="36.85546875" customWidth="1"/>
    <col min="8452" max="8452" width="12" customWidth="1"/>
    <col min="8453" max="8453" width="19.7109375" customWidth="1"/>
    <col min="8454" max="8454" width="38.85546875" customWidth="1"/>
    <col min="8707" max="8707" width="36.85546875" customWidth="1"/>
    <col min="8708" max="8708" width="12" customWidth="1"/>
    <col min="8709" max="8709" width="19.7109375" customWidth="1"/>
    <col min="8710" max="8710" width="38.85546875" customWidth="1"/>
    <col min="8963" max="8963" width="36.85546875" customWidth="1"/>
    <col min="8964" max="8964" width="12" customWidth="1"/>
    <col min="8965" max="8965" width="19.7109375" customWidth="1"/>
    <col min="8966" max="8966" width="38.85546875" customWidth="1"/>
    <col min="9219" max="9219" width="36.85546875" customWidth="1"/>
    <col min="9220" max="9220" width="12" customWidth="1"/>
    <col min="9221" max="9221" width="19.7109375" customWidth="1"/>
    <col min="9222" max="9222" width="38.85546875" customWidth="1"/>
    <col min="9475" max="9475" width="36.85546875" customWidth="1"/>
    <col min="9476" max="9476" width="12" customWidth="1"/>
    <col min="9477" max="9477" width="19.7109375" customWidth="1"/>
    <col min="9478" max="9478" width="38.85546875" customWidth="1"/>
    <col min="9731" max="9731" width="36.85546875" customWidth="1"/>
    <col min="9732" max="9732" width="12" customWidth="1"/>
    <col min="9733" max="9733" width="19.7109375" customWidth="1"/>
    <col min="9734" max="9734" width="38.85546875" customWidth="1"/>
    <col min="9987" max="9987" width="36.85546875" customWidth="1"/>
    <col min="9988" max="9988" width="12" customWidth="1"/>
    <col min="9989" max="9989" width="19.7109375" customWidth="1"/>
    <col min="9990" max="9990" width="38.85546875" customWidth="1"/>
    <col min="10243" max="10243" width="36.85546875" customWidth="1"/>
    <col min="10244" max="10244" width="12" customWidth="1"/>
    <col min="10245" max="10245" width="19.7109375" customWidth="1"/>
    <col min="10246" max="10246" width="38.85546875" customWidth="1"/>
    <col min="10499" max="10499" width="36.85546875" customWidth="1"/>
    <col min="10500" max="10500" width="12" customWidth="1"/>
    <col min="10501" max="10501" width="19.7109375" customWidth="1"/>
    <col min="10502" max="10502" width="38.85546875" customWidth="1"/>
    <col min="10755" max="10755" width="36.85546875" customWidth="1"/>
    <col min="10756" max="10756" width="12" customWidth="1"/>
    <col min="10757" max="10757" width="19.7109375" customWidth="1"/>
    <col min="10758" max="10758" width="38.85546875" customWidth="1"/>
    <col min="11011" max="11011" width="36.85546875" customWidth="1"/>
    <col min="11012" max="11012" width="12" customWidth="1"/>
    <col min="11013" max="11013" width="19.7109375" customWidth="1"/>
    <col min="11014" max="11014" width="38.85546875" customWidth="1"/>
    <col min="11267" max="11267" width="36.85546875" customWidth="1"/>
    <col min="11268" max="11268" width="12" customWidth="1"/>
    <col min="11269" max="11269" width="19.7109375" customWidth="1"/>
    <col min="11270" max="11270" width="38.85546875" customWidth="1"/>
    <col min="11523" max="11523" width="36.85546875" customWidth="1"/>
    <col min="11524" max="11524" width="12" customWidth="1"/>
    <col min="11525" max="11525" width="19.7109375" customWidth="1"/>
    <col min="11526" max="11526" width="38.85546875" customWidth="1"/>
    <col min="11779" max="11779" width="36.85546875" customWidth="1"/>
    <col min="11780" max="11780" width="12" customWidth="1"/>
    <col min="11781" max="11781" width="19.7109375" customWidth="1"/>
    <col min="11782" max="11782" width="38.85546875" customWidth="1"/>
    <col min="12035" max="12035" width="36.85546875" customWidth="1"/>
    <col min="12036" max="12036" width="12" customWidth="1"/>
    <col min="12037" max="12037" width="19.7109375" customWidth="1"/>
    <col min="12038" max="12038" width="38.85546875" customWidth="1"/>
    <col min="12291" max="12291" width="36.85546875" customWidth="1"/>
    <col min="12292" max="12292" width="12" customWidth="1"/>
    <col min="12293" max="12293" width="19.7109375" customWidth="1"/>
    <col min="12294" max="12294" width="38.85546875" customWidth="1"/>
    <col min="12547" max="12547" width="36.85546875" customWidth="1"/>
    <col min="12548" max="12548" width="12" customWidth="1"/>
    <col min="12549" max="12549" width="19.7109375" customWidth="1"/>
    <col min="12550" max="12550" width="38.85546875" customWidth="1"/>
    <col min="12803" max="12803" width="36.85546875" customWidth="1"/>
    <col min="12804" max="12804" width="12" customWidth="1"/>
    <col min="12805" max="12805" width="19.7109375" customWidth="1"/>
    <col min="12806" max="12806" width="38.85546875" customWidth="1"/>
    <col min="13059" max="13059" width="36.85546875" customWidth="1"/>
    <col min="13060" max="13060" width="12" customWidth="1"/>
    <col min="13061" max="13061" width="19.7109375" customWidth="1"/>
    <col min="13062" max="13062" width="38.85546875" customWidth="1"/>
    <col min="13315" max="13315" width="36.85546875" customWidth="1"/>
    <col min="13316" max="13316" width="12" customWidth="1"/>
    <col min="13317" max="13317" width="19.7109375" customWidth="1"/>
    <col min="13318" max="13318" width="38.85546875" customWidth="1"/>
    <col min="13571" max="13571" width="36.85546875" customWidth="1"/>
    <col min="13572" max="13572" width="12" customWidth="1"/>
    <col min="13573" max="13573" width="19.7109375" customWidth="1"/>
    <col min="13574" max="13574" width="38.85546875" customWidth="1"/>
    <col min="13827" max="13827" width="36.85546875" customWidth="1"/>
    <col min="13828" max="13828" width="12" customWidth="1"/>
    <col min="13829" max="13829" width="19.7109375" customWidth="1"/>
    <col min="13830" max="13830" width="38.85546875" customWidth="1"/>
    <col min="14083" max="14083" width="36.85546875" customWidth="1"/>
    <col min="14084" max="14084" width="12" customWidth="1"/>
    <col min="14085" max="14085" width="19.7109375" customWidth="1"/>
    <col min="14086" max="14086" width="38.85546875" customWidth="1"/>
    <col min="14339" max="14339" width="36.85546875" customWidth="1"/>
    <col min="14340" max="14340" width="12" customWidth="1"/>
    <col min="14341" max="14341" width="19.7109375" customWidth="1"/>
    <col min="14342" max="14342" width="38.85546875" customWidth="1"/>
    <col min="14595" max="14595" width="36.85546875" customWidth="1"/>
    <col min="14596" max="14596" width="12" customWidth="1"/>
    <col min="14597" max="14597" width="19.7109375" customWidth="1"/>
    <col min="14598" max="14598" width="38.85546875" customWidth="1"/>
    <col min="14851" max="14851" width="36.85546875" customWidth="1"/>
    <col min="14852" max="14852" width="12" customWidth="1"/>
    <col min="14853" max="14853" width="19.7109375" customWidth="1"/>
    <col min="14854" max="14854" width="38.85546875" customWidth="1"/>
    <col min="15107" max="15107" width="36.85546875" customWidth="1"/>
    <col min="15108" max="15108" width="12" customWidth="1"/>
    <col min="15109" max="15109" width="19.7109375" customWidth="1"/>
    <col min="15110" max="15110" width="38.85546875" customWidth="1"/>
    <col min="15363" max="15363" width="36.85546875" customWidth="1"/>
    <col min="15364" max="15364" width="12" customWidth="1"/>
    <col min="15365" max="15365" width="19.7109375" customWidth="1"/>
    <col min="15366" max="15366" width="38.85546875" customWidth="1"/>
    <col min="15619" max="15619" width="36.85546875" customWidth="1"/>
    <col min="15620" max="15620" width="12" customWidth="1"/>
    <col min="15621" max="15621" width="19.7109375" customWidth="1"/>
    <col min="15622" max="15622" width="38.85546875" customWidth="1"/>
    <col min="15875" max="15875" width="36.85546875" customWidth="1"/>
    <col min="15876" max="15876" width="12" customWidth="1"/>
    <col min="15877" max="15877" width="19.7109375" customWidth="1"/>
    <col min="15878" max="15878" width="38.85546875" customWidth="1"/>
    <col min="16131" max="16131" width="36.85546875" customWidth="1"/>
    <col min="16132" max="16132" width="12" customWidth="1"/>
    <col min="16133" max="16133" width="19.7109375" customWidth="1"/>
    <col min="16134" max="16134" width="38.85546875" customWidth="1"/>
  </cols>
  <sheetData>
    <row r="1" spans="1:10" ht="15.75" customHeight="1" x14ac:dyDescent="0.25">
      <c r="C1" s="166"/>
      <c r="D1" s="227"/>
      <c r="E1" s="227"/>
      <c r="F1" s="17"/>
      <c r="G1" s="362" t="s">
        <v>369</v>
      </c>
      <c r="H1" s="356"/>
      <c r="I1" s="356"/>
      <c r="J1" s="356"/>
    </row>
    <row r="2" spans="1:10" ht="63.75" customHeight="1" x14ac:dyDescent="0.2">
      <c r="C2" s="17"/>
      <c r="D2" s="17"/>
      <c r="E2" s="17"/>
      <c r="F2" s="17"/>
      <c r="G2" s="363" t="s">
        <v>558</v>
      </c>
      <c r="H2" s="364"/>
      <c r="I2" s="364"/>
      <c r="J2" s="364"/>
    </row>
    <row r="3" spans="1:10" x14ac:dyDescent="0.2">
      <c r="C3" s="17"/>
      <c r="D3" s="17"/>
      <c r="E3" s="17"/>
      <c r="F3" s="17"/>
      <c r="G3" s="228"/>
      <c r="H3" s="227"/>
      <c r="I3" s="227"/>
      <c r="J3" s="227"/>
    </row>
    <row r="4" spans="1:10" s="59" customFormat="1" ht="30" customHeight="1" x14ac:dyDescent="0.25">
      <c r="A4" s="365" t="s">
        <v>279</v>
      </c>
      <c r="B4" s="365"/>
      <c r="C4" s="365"/>
      <c r="D4" s="365"/>
      <c r="E4" s="356"/>
      <c r="F4" s="356"/>
      <c r="G4" s="356"/>
      <c r="H4" s="356"/>
      <c r="I4" s="356"/>
      <c r="J4" s="356"/>
    </row>
    <row r="5" spans="1:10" s="59" customFormat="1" ht="20.25" customHeight="1" x14ac:dyDescent="0.25">
      <c r="A5" s="366"/>
      <c r="B5" s="366"/>
      <c r="C5" s="366"/>
      <c r="D5" s="366"/>
      <c r="E5" s="356"/>
      <c r="F5" s="356"/>
      <c r="G5" s="356"/>
      <c r="H5" s="356"/>
      <c r="I5" s="356"/>
      <c r="J5" s="356"/>
    </row>
    <row r="6" spans="1:10" ht="17.25" customHeight="1" x14ac:dyDescent="0.2">
      <c r="D6" s="72"/>
      <c r="E6" s="72"/>
      <c r="J6" t="s">
        <v>0</v>
      </c>
    </row>
    <row r="7" spans="1:10" s="59" customFormat="1" ht="18.75" customHeight="1" x14ac:dyDescent="0.25">
      <c r="A7" s="367" t="s">
        <v>28</v>
      </c>
      <c r="B7" s="369" t="s">
        <v>368</v>
      </c>
      <c r="C7" s="370"/>
      <c r="D7" s="371"/>
      <c r="E7" s="369" t="s">
        <v>366</v>
      </c>
      <c r="F7" s="370"/>
      <c r="G7" s="371"/>
      <c r="H7" s="369" t="s">
        <v>367</v>
      </c>
      <c r="I7" s="370"/>
      <c r="J7" s="371"/>
    </row>
    <row r="8" spans="1:10" s="59" customFormat="1" ht="61.5" customHeight="1" x14ac:dyDescent="0.25">
      <c r="A8" s="368"/>
      <c r="B8" s="261" t="s">
        <v>29</v>
      </c>
      <c r="C8" s="226" t="s">
        <v>52</v>
      </c>
      <c r="D8" s="262" t="s">
        <v>30</v>
      </c>
      <c r="E8" s="262" t="s">
        <v>50</v>
      </c>
      <c r="F8" s="226" t="s">
        <v>52</v>
      </c>
      <c r="G8" s="262" t="s">
        <v>30</v>
      </c>
      <c r="H8" s="261" t="s">
        <v>29</v>
      </c>
      <c r="I8" s="226" t="s">
        <v>52</v>
      </c>
      <c r="J8" s="262" t="s">
        <v>30</v>
      </c>
    </row>
    <row r="9" spans="1:10" s="158" customFormat="1" ht="47.25" x14ac:dyDescent="0.25">
      <c r="A9" s="239" t="s">
        <v>217</v>
      </c>
      <c r="B9" s="333">
        <f>SUM(C9:D9)</f>
        <v>19904.37</v>
      </c>
      <c r="C9" s="333">
        <f>C10+C12+C14+C15</f>
        <v>19217.62</v>
      </c>
      <c r="D9" s="333">
        <f>SUM(D10:D15)</f>
        <v>686.75</v>
      </c>
      <c r="E9" s="333">
        <f>SUM(F9:G9)</f>
        <v>9691.5545600000005</v>
      </c>
      <c r="F9" s="333">
        <f>SUM(F10:F15)</f>
        <v>1100</v>
      </c>
      <c r="G9" s="333">
        <f>SUM(G10:G15)</f>
        <v>8591.5545600000005</v>
      </c>
      <c r="H9" s="333">
        <f>SUM(I9:J9)</f>
        <v>29595.924559999999</v>
      </c>
      <c r="I9" s="333">
        <f>SUM(I10:I15)</f>
        <v>20317.62</v>
      </c>
      <c r="J9" s="333">
        <f t="shared" ref="J9" si="0">SUM(J10:J15)</f>
        <v>9278.3045600000005</v>
      </c>
    </row>
    <row r="10" spans="1:10" s="156" customFormat="1" ht="31.5" hidden="1" x14ac:dyDescent="0.2">
      <c r="A10" s="240" t="s">
        <v>416</v>
      </c>
      <c r="B10" s="334">
        <f>C10</f>
        <v>0</v>
      </c>
      <c r="C10" s="334"/>
      <c r="D10" s="334"/>
      <c r="E10" s="335">
        <f t="shared" ref="E10:E14" si="1">SUM(F10:G10)</f>
        <v>0</v>
      </c>
      <c r="F10" s="334"/>
      <c r="G10" s="334"/>
      <c r="H10" s="336">
        <f t="shared" ref="H10:H22" si="2">SUM(I10:J10)</f>
        <v>0</v>
      </c>
      <c r="I10" s="334">
        <f>C10+F10</f>
        <v>0</v>
      </c>
      <c r="J10" s="334">
        <f>D10+G10</f>
        <v>0</v>
      </c>
    </row>
    <row r="11" spans="1:10" s="156" customFormat="1" ht="47.25" x14ac:dyDescent="0.2">
      <c r="A11" s="240" t="s">
        <v>519</v>
      </c>
      <c r="B11" s="334">
        <f>C11</f>
        <v>0</v>
      </c>
      <c r="C11" s="334"/>
      <c r="D11" s="334"/>
      <c r="E11" s="334">
        <f t="shared" ref="E11" si="3">SUM(F11:G11)</f>
        <v>293.27999999999997</v>
      </c>
      <c r="F11" s="334"/>
      <c r="G11" s="334">
        <f>223.28+70</f>
        <v>293.27999999999997</v>
      </c>
      <c r="H11" s="339">
        <f t="shared" ref="H11" si="4">SUM(I11:J11)</f>
        <v>293.27999999999997</v>
      </c>
      <c r="I11" s="334">
        <f t="shared" ref="I11" si="5">C11+F11</f>
        <v>0</v>
      </c>
      <c r="J11" s="334">
        <f t="shared" ref="J11" si="6">D11+G11</f>
        <v>293.27999999999997</v>
      </c>
    </row>
    <row r="12" spans="1:10" s="156" customFormat="1" ht="47.25" x14ac:dyDescent="0.2">
      <c r="A12" s="155" t="s">
        <v>300</v>
      </c>
      <c r="B12" s="334">
        <f t="shared" ref="B12:B22" si="7">SUM(C12:D12)</f>
        <v>666.24400000000003</v>
      </c>
      <c r="C12" s="334">
        <v>285.3</v>
      </c>
      <c r="D12" s="334">
        <v>380.94400000000002</v>
      </c>
      <c r="E12" s="334">
        <f t="shared" si="1"/>
        <v>1100</v>
      </c>
      <c r="F12" s="334">
        <v>1100</v>
      </c>
      <c r="G12" s="334"/>
      <c r="H12" s="339">
        <f t="shared" si="2"/>
        <v>1766.2439999999999</v>
      </c>
      <c r="I12" s="334">
        <f t="shared" ref="I12:J14" si="8">C12+F12</f>
        <v>1385.3</v>
      </c>
      <c r="J12" s="334">
        <f t="shared" si="8"/>
        <v>380.94400000000002</v>
      </c>
    </row>
    <row r="13" spans="1:10" s="156" customFormat="1" ht="47.25" x14ac:dyDescent="0.2">
      <c r="A13" s="155" t="s">
        <v>472</v>
      </c>
      <c r="B13" s="334">
        <f t="shared" si="7"/>
        <v>105.806</v>
      </c>
      <c r="C13" s="334"/>
      <c r="D13" s="334">
        <v>105.806</v>
      </c>
      <c r="E13" s="334">
        <f t="shared" si="1"/>
        <v>-23.28</v>
      </c>
      <c r="F13" s="334"/>
      <c r="G13" s="334">
        <v>-23.28</v>
      </c>
      <c r="H13" s="339">
        <f t="shared" ref="H13" si="9">SUM(I13:J13)</f>
        <v>82.525999999999996</v>
      </c>
      <c r="I13" s="334">
        <f t="shared" ref="I13" si="10">C13+F13</f>
        <v>0</v>
      </c>
      <c r="J13" s="334">
        <f t="shared" ref="J13" si="11">D13+G13</f>
        <v>82.525999999999996</v>
      </c>
    </row>
    <row r="14" spans="1:10" s="156" customFormat="1" ht="31.5" x14ac:dyDescent="0.2">
      <c r="A14" s="157" t="s">
        <v>299</v>
      </c>
      <c r="B14" s="334">
        <f t="shared" si="7"/>
        <v>12649.92</v>
      </c>
      <c r="C14" s="334">
        <v>12449.92</v>
      </c>
      <c r="D14" s="334">
        <f>1200-1000</f>
        <v>200</v>
      </c>
      <c r="E14" s="334">
        <f t="shared" si="1"/>
        <v>8321.5545600000005</v>
      </c>
      <c r="F14" s="334"/>
      <c r="G14" s="334">
        <f>-200+8521.55456</f>
        <v>8321.5545600000005</v>
      </c>
      <c r="H14" s="339">
        <f t="shared" si="2"/>
        <v>20971.474560000002</v>
      </c>
      <c r="I14" s="334">
        <f t="shared" si="8"/>
        <v>12449.92</v>
      </c>
      <c r="J14" s="334">
        <f t="shared" si="8"/>
        <v>8521.5545600000005</v>
      </c>
    </row>
    <row r="15" spans="1:10" s="156" customFormat="1" ht="47.25" x14ac:dyDescent="0.2">
      <c r="A15" s="155" t="s">
        <v>477</v>
      </c>
      <c r="B15" s="334">
        <f t="shared" ref="B15" si="12">SUM(C15:D15)</f>
        <v>6482.4</v>
      </c>
      <c r="C15" s="334">
        <v>6482.4</v>
      </c>
      <c r="D15" s="334"/>
      <c r="E15" s="334">
        <f t="shared" ref="E15" si="13">SUM(F15:G15)</f>
        <v>0</v>
      </c>
      <c r="F15" s="334"/>
      <c r="G15" s="334"/>
      <c r="H15" s="339">
        <f t="shared" ref="H15" si="14">SUM(I15:J15)</f>
        <v>6482.4</v>
      </c>
      <c r="I15" s="334">
        <f t="shared" ref="I15" si="15">C15+F15</f>
        <v>6482.4</v>
      </c>
      <c r="J15" s="334">
        <f t="shared" ref="J15" si="16">D15+G15</f>
        <v>0</v>
      </c>
    </row>
    <row r="16" spans="1:10" s="330" customFormat="1" ht="47.25" x14ac:dyDescent="0.25">
      <c r="A16" s="331" t="s">
        <v>84</v>
      </c>
      <c r="B16" s="333">
        <f>B17</f>
        <v>962.57710999999995</v>
      </c>
      <c r="C16" s="333">
        <f t="shared" ref="C16:J16" si="17">C17</f>
        <v>0</v>
      </c>
      <c r="D16" s="333">
        <f t="shared" si="17"/>
        <v>962.57710999999995</v>
      </c>
      <c r="E16" s="333">
        <f t="shared" si="17"/>
        <v>-35.94171</v>
      </c>
      <c r="F16" s="333">
        <f t="shared" si="17"/>
        <v>0</v>
      </c>
      <c r="G16" s="333">
        <f t="shared" si="17"/>
        <v>-35.94171</v>
      </c>
      <c r="H16" s="333">
        <f t="shared" si="17"/>
        <v>926.63539999999989</v>
      </c>
      <c r="I16" s="333">
        <f t="shared" si="17"/>
        <v>0</v>
      </c>
      <c r="J16" s="333">
        <f t="shared" si="17"/>
        <v>926.63539999999989</v>
      </c>
    </row>
    <row r="17" spans="1:10" s="332" customFormat="1" ht="47.25" x14ac:dyDescent="0.25">
      <c r="A17" s="155" t="s">
        <v>551</v>
      </c>
      <c r="B17" s="334">
        <f t="shared" ref="B17" si="18">SUM(C17:D17)</f>
        <v>962.57710999999995</v>
      </c>
      <c r="C17" s="334"/>
      <c r="D17" s="334">
        <v>962.57710999999995</v>
      </c>
      <c r="E17" s="334">
        <f t="shared" ref="E17" si="19">SUM(F17:G17)</f>
        <v>-35.94171</v>
      </c>
      <c r="F17" s="334"/>
      <c r="G17" s="334">
        <v>-35.94171</v>
      </c>
      <c r="H17" s="340">
        <f t="shared" ref="H17" si="20">SUM(I17:J17)</f>
        <v>926.63539999999989</v>
      </c>
      <c r="I17" s="334">
        <f t="shared" ref="I17" si="21">C17+F17</f>
        <v>0</v>
      </c>
      <c r="J17" s="334">
        <f t="shared" ref="J17" si="22">D17+G17</f>
        <v>926.63539999999989</v>
      </c>
    </row>
    <row r="18" spans="1:10" s="158" customFormat="1" ht="63" x14ac:dyDescent="0.25">
      <c r="A18" s="239" t="s">
        <v>342</v>
      </c>
      <c r="B18" s="333">
        <f>SUM(C18:D18)</f>
        <v>5858.7645400000001</v>
      </c>
      <c r="C18" s="333">
        <f>C21+C20+C19+C22</f>
        <v>5464</v>
      </c>
      <c r="D18" s="333">
        <f t="shared" ref="D18:J18" si="23">D21+D20+D19+D22</f>
        <v>394.76454000000001</v>
      </c>
      <c r="E18" s="333">
        <f t="shared" si="23"/>
        <v>0</v>
      </c>
      <c r="F18" s="333">
        <f t="shared" si="23"/>
        <v>0</v>
      </c>
      <c r="G18" s="333">
        <f t="shared" si="23"/>
        <v>0</v>
      </c>
      <c r="H18" s="333">
        <f t="shared" si="23"/>
        <v>5858.7645400000001</v>
      </c>
      <c r="I18" s="333">
        <f>I21+I20+I19+I22</f>
        <v>5464</v>
      </c>
      <c r="J18" s="333">
        <f t="shared" si="23"/>
        <v>394.76454000000001</v>
      </c>
    </row>
    <row r="19" spans="1:10" s="158" customFormat="1" ht="30" x14ac:dyDescent="0.25">
      <c r="A19" s="241" t="s">
        <v>473</v>
      </c>
      <c r="B19" s="334">
        <f t="shared" si="7"/>
        <v>2500</v>
      </c>
      <c r="C19" s="334">
        <v>2500</v>
      </c>
      <c r="D19" s="334"/>
      <c r="E19" s="334">
        <f>SUM(F19:G19)</f>
        <v>0</v>
      </c>
      <c r="F19" s="334"/>
      <c r="G19" s="337"/>
      <c r="H19" s="339">
        <f t="shared" ref="H19" si="24">SUM(I19:J19)</f>
        <v>2500</v>
      </c>
      <c r="I19" s="334">
        <f t="shared" ref="I19" si="25">C19+F19</f>
        <v>2500</v>
      </c>
      <c r="J19" s="334">
        <f t="shared" ref="J19" si="26">D19+G19</f>
        <v>0</v>
      </c>
    </row>
    <row r="20" spans="1:10" s="158" customFormat="1" ht="48" customHeight="1" x14ac:dyDescent="0.25">
      <c r="A20" s="267" t="s">
        <v>423</v>
      </c>
      <c r="B20" s="334">
        <f t="shared" si="7"/>
        <v>3293.33</v>
      </c>
      <c r="C20" s="334">
        <v>2964</v>
      </c>
      <c r="D20" s="334">
        <v>329.33</v>
      </c>
      <c r="E20" s="339">
        <f t="shared" ref="E20:E22" si="27">SUM(F20:G20)</f>
        <v>0</v>
      </c>
      <c r="F20" s="334"/>
      <c r="G20" s="334"/>
      <c r="H20" s="339">
        <f t="shared" ref="H20" si="28">SUM(I20:J20)</f>
        <v>3293.33</v>
      </c>
      <c r="I20" s="334">
        <f t="shared" ref="I20" si="29">C20+F20</f>
        <v>2964</v>
      </c>
      <c r="J20" s="334">
        <f t="shared" ref="J20" si="30">D20+G20</f>
        <v>329.33</v>
      </c>
    </row>
    <row r="21" spans="1:10" s="106" customFormat="1" ht="31.5" x14ac:dyDescent="0.2">
      <c r="A21" s="154" t="s">
        <v>343</v>
      </c>
      <c r="B21" s="334">
        <f t="shared" si="7"/>
        <v>65.434539999999998</v>
      </c>
      <c r="C21" s="334"/>
      <c r="D21" s="334">
        <v>65.434539999999998</v>
      </c>
      <c r="E21" s="339">
        <f t="shared" si="27"/>
        <v>0</v>
      </c>
      <c r="F21" s="334"/>
      <c r="G21" s="334"/>
      <c r="H21" s="339">
        <f t="shared" si="2"/>
        <v>65.434539999999998</v>
      </c>
      <c r="I21" s="334">
        <f t="shared" ref="I21:J21" si="31">C21+F21</f>
        <v>0</v>
      </c>
      <c r="J21" s="334">
        <f t="shared" si="31"/>
        <v>65.434539999999998</v>
      </c>
    </row>
    <row r="22" spans="1:10" s="106" customFormat="1" ht="47.25" hidden="1" x14ac:dyDescent="0.2">
      <c r="A22" s="154" t="s">
        <v>518</v>
      </c>
      <c r="B22" s="334">
        <f t="shared" si="7"/>
        <v>0</v>
      </c>
      <c r="C22" s="334"/>
      <c r="D22" s="334"/>
      <c r="E22" s="339">
        <f t="shared" si="27"/>
        <v>0</v>
      </c>
      <c r="F22" s="334"/>
      <c r="G22" s="334"/>
      <c r="H22" s="339">
        <f t="shared" si="2"/>
        <v>0</v>
      </c>
      <c r="I22" s="334">
        <f t="shared" ref="I22" si="32">C22+F22</f>
        <v>0</v>
      </c>
      <c r="J22" s="334">
        <f t="shared" ref="J22" si="33">D22+G22</f>
        <v>0</v>
      </c>
    </row>
    <row r="23" spans="1:10" s="91" customFormat="1" ht="15.75" x14ac:dyDescent="0.2">
      <c r="A23" s="159" t="s">
        <v>3</v>
      </c>
      <c r="B23" s="338">
        <f>B9+B18+B16</f>
        <v>26725.711649999997</v>
      </c>
      <c r="C23" s="338">
        <f t="shared" ref="C23:J23" si="34">C9+C18+C16</f>
        <v>24681.62</v>
      </c>
      <c r="D23" s="338">
        <f t="shared" si="34"/>
        <v>2044.0916500000001</v>
      </c>
      <c r="E23" s="338">
        <f t="shared" si="34"/>
        <v>9655.6128500000013</v>
      </c>
      <c r="F23" s="338">
        <f t="shared" si="34"/>
        <v>1100</v>
      </c>
      <c r="G23" s="338">
        <f t="shared" si="34"/>
        <v>8555.6128500000013</v>
      </c>
      <c r="H23" s="338">
        <f>H9+H18+H16</f>
        <v>36381.324500000002</v>
      </c>
      <c r="I23" s="338">
        <f t="shared" si="34"/>
        <v>25781.62</v>
      </c>
      <c r="J23" s="338">
        <f t="shared" si="34"/>
        <v>10599.7045</v>
      </c>
    </row>
    <row r="24" spans="1:10" x14ac:dyDescent="0.2">
      <c r="B24" s="19">
        <v>25763.134539999999</v>
      </c>
      <c r="C24" s="19">
        <v>24681.62</v>
      </c>
      <c r="D24" s="19">
        <v>1081.5145399999999</v>
      </c>
    </row>
  </sheetData>
  <mergeCells count="7">
    <mergeCell ref="G1:J1"/>
    <mergeCell ref="G2:J2"/>
    <mergeCell ref="A4:J5"/>
    <mergeCell ref="A7:A8"/>
    <mergeCell ref="B7:D7"/>
    <mergeCell ref="E7:G7"/>
    <mergeCell ref="H7:J7"/>
  </mergeCells>
  <pageMargins left="0.78740157480314965" right="0" top="0" bottom="0" header="0" footer="0"/>
  <pageSetup paperSize="9" scale="68" fitToHeight="0" orientation="landscape" r:id="rId1"/>
  <headerFooter alignWithMargins="0"/>
  <rowBreaks count="1" manualBreakCount="1">
    <brk id="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zoomScale="60" zoomScaleNormal="90" workbookViewId="0">
      <selection activeCell="Q2" sqref="Q2:T2"/>
    </sheetView>
  </sheetViews>
  <sheetFormatPr defaultColWidth="8.85546875" defaultRowHeight="12.75" x14ac:dyDescent="0.2"/>
  <cols>
    <col min="1" max="1" width="9.42578125" style="286" customWidth="1"/>
    <col min="2" max="2" width="54.5703125" style="287" customWidth="1"/>
    <col min="3" max="8" width="0" style="288" hidden="1" customWidth="1"/>
    <col min="9" max="9" width="19" style="286" customWidth="1"/>
    <col min="10" max="10" width="14.7109375" style="286" customWidth="1"/>
    <col min="11" max="11" width="16.42578125" style="286" customWidth="1"/>
    <col min="12" max="12" width="14" style="286" bestFit="1" customWidth="1"/>
    <col min="13" max="13" width="14.5703125" style="286" customWidth="1"/>
    <col min="14" max="14" width="12.140625" style="286" customWidth="1"/>
    <col min="15" max="15" width="11.7109375" style="286" customWidth="1"/>
    <col min="16" max="16" width="15.28515625" style="286" customWidth="1"/>
    <col min="17" max="17" width="13.85546875" style="286" customWidth="1"/>
    <col min="18" max="18" width="14.140625" style="286" customWidth="1"/>
    <col min="19" max="19" width="11.7109375" style="286" customWidth="1"/>
    <col min="20" max="20" width="13.42578125" style="286" customWidth="1"/>
    <col min="21" max="16384" width="8.85546875" style="286"/>
  </cols>
  <sheetData>
    <row r="1" spans="1:22" x14ac:dyDescent="0.2">
      <c r="Q1" s="286" t="s">
        <v>521</v>
      </c>
    </row>
    <row r="2" spans="1:22" ht="79.5" customHeight="1" x14ac:dyDescent="0.2">
      <c r="J2" s="289"/>
      <c r="K2" s="376"/>
      <c r="L2" s="376"/>
      <c r="Q2" s="377" t="s">
        <v>559</v>
      </c>
      <c r="R2" s="377"/>
      <c r="S2" s="378"/>
      <c r="T2" s="378"/>
    </row>
    <row r="3" spans="1:22" ht="15.6" customHeight="1" x14ac:dyDescent="0.25">
      <c r="B3" s="290"/>
      <c r="C3" s="291"/>
      <c r="D3" s="292"/>
      <c r="E3" s="292"/>
      <c r="F3" s="292"/>
      <c r="G3" s="292"/>
      <c r="H3" s="292"/>
      <c r="J3" s="379"/>
      <c r="K3" s="379"/>
    </row>
    <row r="4" spans="1:22" ht="42.75" customHeight="1" x14ac:dyDescent="0.2">
      <c r="A4" s="380" t="s">
        <v>522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56"/>
      <c r="N4" s="356"/>
      <c r="O4" s="356"/>
      <c r="P4" s="356"/>
      <c r="Q4" s="356"/>
      <c r="R4" s="356"/>
      <c r="S4" s="356"/>
      <c r="T4" s="356"/>
    </row>
    <row r="5" spans="1:22" ht="17.45" hidden="1" customHeight="1" x14ac:dyDescent="0.2">
      <c r="B5" s="293"/>
      <c r="C5" s="294"/>
      <c r="D5" s="294"/>
      <c r="E5" s="294"/>
      <c r="F5" s="294"/>
      <c r="G5" s="294"/>
      <c r="H5" s="286"/>
    </row>
    <row r="6" spans="1:22" ht="17.25" customHeight="1" x14ac:dyDescent="0.25">
      <c r="B6" s="290"/>
      <c r="C6" s="291"/>
      <c r="D6" s="291"/>
      <c r="E6" s="291"/>
      <c r="F6" s="291"/>
      <c r="G6" s="291"/>
      <c r="H6" s="295"/>
      <c r="S6" s="381" t="s">
        <v>35</v>
      </c>
      <c r="T6" s="382"/>
    </row>
    <row r="7" spans="1:22" ht="31.7" customHeight="1" x14ac:dyDescent="0.2">
      <c r="A7" s="372" t="s">
        <v>23</v>
      </c>
      <c r="B7" s="372" t="s">
        <v>523</v>
      </c>
      <c r="C7" s="296">
        <v>2008</v>
      </c>
      <c r="D7" s="296">
        <v>2010</v>
      </c>
      <c r="E7" s="296">
        <v>2010</v>
      </c>
      <c r="F7" s="296" t="s">
        <v>524</v>
      </c>
      <c r="G7" s="296" t="s">
        <v>525</v>
      </c>
      <c r="H7" s="297">
        <v>2011</v>
      </c>
      <c r="I7" s="373" t="s">
        <v>526</v>
      </c>
      <c r="J7" s="374"/>
      <c r="K7" s="374"/>
      <c r="L7" s="375"/>
      <c r="M7" s="373" t="s">
        <v>527</v>
      </c>
      <c r="N7" s="374"/>
      <c r="O7" s="374"/>
      <c r="P7" s="375"/>
      <c r="Q7" s="373" t="s">
        <v>367</v>
      </c>
      <c r="R7" s="374"/>
      <c r="S7" s="374"/>
      <c r="T7" s="375"/>
    </row>
    <row r="8" spans="1:22" ht="81.75" customHeight="1" x14ac:dyDescent="0.2">
      <c r="A8" s="372"/>
      <c r="B8" s="372"/>
      <c r="C8" s="296"/>
      <c r="D8" s="296"/>
      <c r="E8" s="296"/>
      <c r="F8" s="296"/>
      <c r="G8" s="296"/>
      <c r="H8" s="297"/>
      <c r="I8" s="297" t="s">
        <v>400</v>
      </c>
      <c r="J8" s="297" t="s">
        <v>528</v>
      </c>
      <c r="K8" s="298" t="s">
        <v>529</v>
      </c>
      <c r="L8" s="298" t="s">
        <v>530</v>
      </c>
      <c r="M8" s="297" t="s">
        <v>400</v>
      </c>
      <c r="N8" s="297" t="s">
        <v>528</v>
      </c>
      <c r="O8" s="298" t="s">
        <v>529</v>
      </c>
      <c r="P8" s="298" t="s">
        <v>530</v>
      </c>
      <c r="Q8" s="297" t="s">
        <v>400</v>
      </c>
      <c r="R8" s="297" t="s">
        <v>528</v>
      </c>
      <c r="S8" s="298" t="s">
        <v>529</v>
      </c>
      <c r="T8" s="298" t="s">
        <v>530</v>
      </c>
    </row>
    <row r="9" spans="1:22" s="300" customFormat="1" ht="20.25" customHeight="1" x14ac:dyDescent="0.2">
      <c r="A9" s="299">
        <v>1</v>
      </c>
      <c r="B9" s="299">
        <f>A9+1</f>
        <v>2</v>
      </c>
      <c r="C9" s="299">
        <f t="shared" ref="C9:T9" si="0">B9+1</f>
        <v>3</v>
      </c>
      <c r="D9" s="299">
        <f t="shared" si="0"/>
        <v>4</v>
      </c>
      <c r="E9" s="299">
        <f t="shared" si="0"/>
        <v>5</v>
      </c>
      <c r="F9" s="299">
        <f t="shared" si="0"/>
        <v>6</v>
      </c>
      <c r="G9" s="299">
        <f t="shared" si="0"/>
        <v>7</v>
      </c>
      <c r="H9" s="299">
        <f t="shared" si="0"/>
        <v>8</v>
      </c>
      <c r="I9" s="299">
        <f t="shared" si="0"/>
        <v>9</v>
      </c>
      <c r="J9" s="299">
        <f t="shared" si="0"/>
        <v>10</v>
      </c>
      <c r="K9" s="299">
        <f t="shared" si="0"/>
        <v>11</v>
      </c>
      <c r="L9" s="299">
        <f t="shared" si="0"/>
        <v>12</v>
      </c>
      <c r="M9" s="299">
        <f t="shared" si="0"/>
        <v>13</v>
      </c>
      <c r="N9" s="299">
        <f t="shared" si="0"/>
        <v>14</v>
      </c>
      <c r="O9" s="299">
        <f t="shared" si="0"/>
        <v>15</v>
      </c>
      <c r="P9" s="299">
        <f t="shared" si="0"/>
        <v>16</v>
      </c>
      <c r="Q9" s="299">
        <f t="shared" si="0"/>
        <v>17</v>
      </c>
      <c r="R9" s="299">
        <f t="shared" si="0"/>
        <v>18</v>
      </c>
      <c r="S9" s="299">
        <f t="shared" si="0"/>
        <v>19</v>
      </c>
      <c r="T9" s="299">
        <f t="shared" si="0"/>
        <v>20</v>
      </c>
    </row>
    <row r="10" spans="1:22" ht="16.5" x14ac:dyDescent="0.25">
      <c r="A10" s="301"/>
      <c r="B10" s="302" t="s">
        <v>531</v>
      </c>
      <c r="C10" s="303"/>
      <c r="D10" s="303"/>
      <c r="E10" s="303"/>
      <c r="F10" s="303"/>
      <c r="G10" s="303"/>
      <c r="H10" s="303"/>
      <c r="I10" s="304">
        <f>I11</f>
        <v>2843.7</v>
      </c>
      <c r="J10" s="304"/>
      <c r="K10" s="304"/>
      <c r="L10" s="304">
        <f>L11</f>
        <v>2843.7</v>
      </c>
      <c r="M10" s="304">
        <f>M11</f>
        <v>460</v>
      </c>
      <c r="N10" s="304"/>
      <c r="O10" s="304"/>
      <c r="P10" s="304">
        <f>P11</f>
        <v>460</v>
      </c>
      <c r="Q10" s="304">
        <f>Q11</f>
        <v>3303.7</v>
      </c>
      <c r="R10" s="304"/>
      <c r="S10" s="304"/>
      <c r="T10" s="304">
        <f>T11</f>
        <v>3303.7</v>
      </c>
    </row>
    <row r="11" spans="1:22" ht="79.5" customHeight="1" x14ac:dyDescent="0.25">
      <c r="A11" s="305" t="s">
        <v>532</v>
      </c>
      <c r="B11" s="302" t="s">
        <v>533</v>
      </c>
      <c r="C11" s="303"/>
      <c r="D11" s="303"/>
      <c r="E11" s="303"/>
      <c r="F11" s="303"/>
      <c r="G11" s="303"/>
      <c r="H11" s="303"/>
      <c r="I11" s="304">
        <v>2843.7</v>
      </c>
      <c r="J11" s="304"/>
      <c r="K11" s="304"/>
      <c r="L11" s="304">
        <f>SUM(L12:L17)</f>
        <v>2843.7</v>
      </c>
      <c r="M11" s="304">
        <f>SUM(N11:P11)</f>
        <v>460</v>
      </c>
      <c r="N11" s="304"/>
      <c r="O11" s="304"/>
      <c r="P11" s="304">
        <f>SUM(P12:P19)</f>
        <v>460</v>
      </c>
      <c r="Q11" s="304">
        <f>SUM(Q12:Q19)</f>
        <v>3303.7</v>
      </c>
      <c r="R11" s="304">
        <f>J11+N11</f>
        <v>0</v>
      </c>
      <c r="S11" s="304">
        <f t="shared" ref="S11:T18" si="1">K11+O11</f>
        <v>0</v>
      </c>
      <c r="T11" s="304">
        <f>L11+P11</f>
        <v>3303.7</v>
      </c>
    </row>
    <row r="12" spans="1:22" ht="58.5" customHeight="1" x14ac:dyDescent="0.25">
      <c r="A12" s="305" t="s">
        <v>534</v>
      </c>
      <c r="B12" s="306" t="s">
        <v>535</v>
      </c>
      <c r="C12" s="297"/>
      <c r="D12" s="297"/>
      <c r="E12" s="297"/>
      <c r="F12" s="297"/>
      <c r="G12" s="297"/>
      <c r="H12" s="297"/>
      <c r="I12" s="304">
        <f>SUM(J12:L12)</f>
        <v>1500</v>
      </c>
      <c r="J12" s="304"/>
      <c r="K12" s="307"/>
      <c r="L12" s="308">
        <v>1500</v>
      </c>
      <c r="M12" s="304">
        <f>SUM(N12:P12)</f>
        <v>0</v>
      </c>
      <c r="N12" s="304"/>
      <c r="O12" s="307"/>
      <c r="P12" s="308"/>
      <c r="Q12" s="304">
        <f>SUM(R12:T12)</f>
        <v>1500</v>
      </c>
      <c r="R12" s="304">
        <f t="shared" ref="R12:R15" si="2">J12+N12</f>
        <v>0</v>
      </c>
      <c r="S12" s="304">
        <f t="shared" si="1"/>
        <v>0</v>
      </c>
      <c r="T12" s="304">
        <f t="shared" si="1"/>
        <v>1500</v>
      </c>
    </row>
    <row r="13" spans="1:22" ht="59.25" customHeight="1" x14ac:dyDescent="0.25">
      <c r="A13" s="305" t="s">
        <v>536</v>
      </c>
      <c r="B13" s="306" t="s">
        <v>537</v>
      </c>
      <c r="C13" s="297"/>
      <c r="D13" s="297"/>
      <c r="E13" s="297"/>
      <c r="F13" s="297"/>
      <c r="G13" s="297"/>
      <c r="H13" s="297"/>
      <c r="I13" s="304">
        <f t="shared" ref="I13:I18" si="3">SUM(J13:L13)</f>
        <v>354.95</v>
      </c>
      <c r="J13" s="304"/>
      <c r="K13" s="307"/>
      <c r="L13" s="308">
        <v>354.95</v>
      </c>
      <c r="M13" s="304">
        <f t="shared" ref="M13:M18" si="4">SUM(N13:P13)</f>
        <v>0</v>
      </c>
      <c r="N13" s="304"/>
      <c r="O13" s="307"/>
      <c r="P13" s="308"/>
      <c r="Q13" s="304">
        <f t="shared" ref="Q13:Q18" si="5">SUM(R13:T13)</f>
        <v>354.95</v>
      </c>
      <c r="R13" s="304">
        <f t="shared" si="2"/>
        <v>0</v>
      </c>
      <c r="S13" s="304">
        <f t="shared" si="1"/>
        <v>0</v>
      </c>
      <c r="T13" s="304">
        <f t="shared" si="1"/>
        <v>354.95</v>
      </c>
    </row>
    <row r="14" spans="1:22" ht="57" customHeight="1" x14ac:dyDescent="0.25">
      <c r="A14" s="305" t="s">
        <v>538</v>
      </c>
      <c r="B14" s="306" t="s">
        <v>539</v>
      </c>
      <c r="C14" s="297"/>
      <c r="D14" s="297"/>
      <c r="E14" s="297"/>
      <c r="F14" s="297"/>
      <c r="G14" s="297"/>
      <c r="H14" s="297"/>
      <c r="I14" s="304">
        <f t="shared" si="3"/>
        <v>113.75</v>
      </c>
      <c r="J14" s="304"/>
      <c r="K14" s="307"/>
      <c r="L14" s="308">
        <v>113.75</v>
      </c>
      <c r="M14" s="304">
        <f t="shared" si="4"/>
        <v>0</v>
      </c>
      <c r="N14" s="304"/>
      <c r="O14" s="307"/>
      <c r="P14" s="308"/>
      <c r="Q14" s="304">
        <f t="shared" si="5"/>
        <v>113.75</v>
      </c>
      <c r="R14" s="304">
        <f t="shared" si="2"/>
        <v>0</v>
      </c>
      <c r="S14" s="304">
        <f t="shared" si="1"/>
        <v>0</v>
      </c>
      <c r="T14" s="304">
        <f t="shared" si="1"/>
        <v>113.75</v>
      </c>
    </row>
    <row r="15" spans="1:22" ht="33" x14ac:dyDescent="0.25">
      <c r="A15" s="305" t="s">
        <v>540</v>
      </c>
      <c r="B15" s="306" t="s">
        <v>541</v>
      </c>
      <c r="C15" s="297"/>
      <c r="D15" s="297"/>
      <c r="E15" s="297"/>
      <c r="F15" s="297"/>
      <c r="G15" s="297"/>
      <c r="H15" s="297"/>
      <c r="I15" s="304">
        <f t="shared" si="3"/>
        <v>600</v>
      </c>
      <c r="J15" s="304"/>
      <c r="K15" s="307"/>
      <c r="L15" s="308">
        <v>600</v>
      </c>
      <c r="M15" s="304">
        <f t="shared" si="4"/>
        <v>0</v>
      </c>
      <c r="N15" s="309"/>
      <c r="O15" s="309"/>
      <c r="P15" s="310"/>
      <c r="Q15" s="304">
        <f t="shared" si="5"/>
        <v>600</v>
      </c>
      <c r="R15" s="304">
        <f t="shared" si="2"/>
        <v>0</v>
      </c>
      <c r="S15" s="304">
        <f t="shared" si="1"/>
        <v>0</v>
      </c>
      <c r="T15" s="304">
        <f t="shared" si="1"/>
        <v>600</v>
      </c>
      <c r="U15" s="311"/>
      <c r="V15" s="311"/>
    </row>
    <row r="16" spans="1:22" ht="33" x14ac:dyDescent="0.25">
      <c r="A16" s="305" t="s">
        <v>542</v>
      </c>
      <c r="B16" s="306" t="s">
        <v>543</v>
      </c>
      <c r="C16" s="297"/>
      <c r="D16" s="297"/>
      <c r="E16" s="297"/>
      <c r="F16" s="297"/>
      <c r="G16" s="297"/>
      <c r="H16" s="297"/>
      <c r="I16" s="304">
        <f t="shared" si="3"/>
        <v>250</v>
      </c>
      <c r="J16" s="304"/>
      <c r="K16" s="307"/>
      <c r="L16" s="308">
        <v>250</v>
      </c>
      <c r="M16" s="304">
        <f t="shared" si="4"/>
        <v>0</v>
      </c>
      <c r="N16" s="309"/>
      <c r="O16" s="309"/>
      <c r="P16" s="310"/>
      <c r="Q16" s="304">
        <f t="shared" si="5"/>
        <v>250</v>
      </c>
      <c r="R16" s="304"/>
      <c r="S16" s="304"/>
      <c r="T16" s="304">
        <f t="shared" si="1"/>
        <v>250</v>
      </c>
      <c r="U16" s="311"/>
      <c r="V16" s="311"/>
    </row>
    <row r="17" spans="1:22" ht="41.25" customHeight="1" x14ac:dyDescent="0.25">
      <c r="A17" s="305" t="s">
        <v>544</v>
      </c>
      <c r="B17" s="306" t="s">
        <v>545</v>
      </c>
      <c r="C17" s="297"/>
      <c r="D17" s="297"/>
      <c r="E17" s="297"/>
      <c r="F17" s="297"/>
      <c r="G17" s="297"/>
      <c r="H17" s="297"/>
      <c r="I17" s="304">
        <f t="shared" si="3"/>
        <v>25</v>
      </c>
      <c r="J17" s="304"/>
      <c r="K17" s="307"/>
      <c r="L17" s="308">
        <v>25</v>
      </c>
      <c r="M17" s="304">
        <f t="shared" si="4"/>
        <v>0</v>
      </c>
      <c r="N17" s="309"/>
      <c r="O17" s="309"/>
      <c r="P17" s="310"/>
      <c r="Q17" s="304">
        <f t="shared" si="5"/>
        <v>25</v>
      </c>
      <c r="R17" s="304"/>
      <c r="S17" s="304"/>
      <c r="T17" s="304">
        <f t="shared" si="1"/>
        <v>25</v>
      </c>
      <c r="U17" s="311"/>
      <c r="V17" s="311"/>
    </row>
    <row r="18" spans="1:22" ht="45.75" customHeight="1" x14ac:dyDescent="0.25">
      <c r="A18" s="344" t="s">
        <v>552</v>
      </c>
      <c r="B18" s="345" t="s">
        <v>553</v>
      </c>
      <c r="C18" s="346"/>
      <c r="D18" s="346"/>
      <c r="E18" s="346"/>
      <c r="F18" s="346"/>
      <c r="G18" s="346"/>
      <c r="H18" s="346"/>
      <c r="I18" s="304">
        <f t="shared" si="3"/>
        <v>0</v>
      </c>
      <c r="J18" s="304"/>
      <c r="K18" s="307"/>
      <c r="L18" s="308"/>
      <c r="M18" s="304">
        <f t="shared" si="4"/>
        <v>160</v>
      </c>
      <c r="N18" s="309"/>
      <c r="O18" s="309"/>
      <c r="P18" s="310">
        <f>460-300</f>
        <v>160</v>
      </c>
      <c r="Q18" s="304">
        <f t="shared" si="5"/>
        <v>160</v>
      </c>
      <c r="R18" s="304"/>
      <c r="S18" s="304"/>
      <c r="T18" s="304">
        <f t="shared" si="1"/>
        <v>160</v>
      </c>
    </row>
    <row r="19" spans="1:22" ht="66.75" customHeight="1" x14ac:dyDescent="0.25">
      <c r="A19" s="344" t="s">
        <v>552</v>
      </c>
      <c r="B19" s="345" t="s">
        <v>554</v>
      </c>
      <c r="C19" s="346"/>
      <c r="D19" s="346"/>
      <c r="E19" s="346"/>
      <c r="F19" s="346"/>
      <c r="G19" s="346"/>
      <c r="H19" s="346"/>
      <c r="I19" s="304">
        <f t="shared" ref="I19" si="6">SUM(J19:L19)</f>
        <v>0</v>
      </c>
      <c r="J19" s="304"/>
      <c r="K19" s="307"/>
      <c r="L19" s="308"/>
      <c r="M19" s="304">
        <f t="shared" ref="M19" si="7">SUM(N19:P19)</f>
        <v>300</v>
      </c>
      <c r="N19" s="309"/>
      <c r="O19" s="309"/>
      <c r="P19" s="310">
        <v>300</v>
      </c>
      <c r="Q19" s="304">
        <f t="shared" ref="Q19" si="8">SUM(R19:T19)</f>
        <v>300</v>
      </c>
      <c r="R19" s="304"/>
      <c r="S19" s="304"/>
      <c r="T19" s="304">
        <f t="shared" ref="T19" si="9">L19+P19</f>
        <v>300</v>
      </c>
    </row>
    <row r="20" spans="1:22" ht="15.75" x14ac:dyDescent="0.2">
      <c r="A20" s="312"/>
      <c r="B20" s="313"/>
      <c r="C20" s="314"/>
      <c r="D20" s="314"/>
      <c r="E20" s="314"/>
      <c r="F20" s="314"/>
      <c r="G20" s="314"/>
      <c r="H20" s="314"/>
      <c r="I20" s="311"/>
      <c r="J20" s="311"/>
      <c r="K20" s="311"/>
      <c r="L20" s="311"/>
      <c r="M20" s="311"/>
    </row>
    <row r="21" spans="1:22" ht="15.75" x14ac:dyDescent="0.2">
      <c r="A21" s="312"/>
      <c r="B21" s="313"/>
      <c r="C21" s="314"/>
      <c r="D21" s="314"/>
      <c r="E21" s="314"/>
      <c r="F21" s="314"/>
      <c r="G21" s="314"/>
      <c r="H21" s="314"/>
      <c r="I21" s="311"/>
      <c r="J21" s="311"/>
      <c r="K21" s="311"/>
      <c r="L21" s="311"/>
      <c r="M21" s="311"/>
    </row>
    <row r="22" spans="1:22" ht="15.75" x14ac:dyDescent="0.2">
      <c r="A22" s="312"/>
      <c r="B22" s="313"/>
      <c r="C22" s="314"/>
      <c r="D22" s="314"/>
      <c r="E22" s="314"/>
      <c r="F22" s="314"/>
      <c r="G22" s="314"/>
      <c r="H22" s="314"/>
      <c r="I22" s="311"/>
      <c r="J22" s="311"/>
      <c r="K22" s="311"/>
      <c r="L22" s="311"/>
      <c r="M22" s="311"/>
    </row>
    <row r="23" spans="1:22" ht="15.75" x14ac:dyDescent="0.2">
      <c r="A23" s="315"/>
      <c r="B23" s="313"/>
      <c r="C23" s="314"/>
      <c r="D23" s="314"/>
      <c r="E23" s="314"/>
      <c r="F23" s="314"/>
      <c r="G23" s="314"/>
      <c r="H23" s="314"/>
      <c r="I23" s="311"/>
      <c r="J23" s="311"/>
      <c r="K23" s="311"/>
      <c r="L23" s="311"/>
      <c r="M23" s="311"/>
    </row>
    <row r="24" spans="1:22" ht="15.75" x14ac:dyDescent="0.2">
      <c r="A24" s="316"/>
      <c r="B24" s="313"/>
      <c r="C24" s="314"/>
      <c r="D24" s="314"/>
      <c r="E24" s="314"/>
      <c r="F24" s="314"/>
      <c r="G24" s="314"/>
      <c r="H24" s="314"/>
      <c r="I24" s="311"/>
      <c r="J24" s="311"/>
      <c r="K24" s="311"/>
      <c r="L24" s="311"/>
      <c r="M24" s="311"/>
    </row>
    <row r="25" spans="1:22" ht="15.75" x14ac:dyDescent="0.2">
      <c r="A25" s="316"/>
      <c r="B25" s="313"/>
      <c r="C25" s="314"/>
      <c r="D25" s="314"/>
      <c r="E25" s="314"/>
      <c r="F25" s="314"/>
      <c r="G25" s="314"/>
      <c r="H25" s="314"/>
      <c r="I25" s="311"/>
      <c r="J25" s="311"/>
      <c r="K25" s="311"/>
      <c r="L25" s="311"/>
      <c r="M25" s="311"/>
    </row>
    <row r="26" spans="1:22" ht="15.75" x14ac:dyDescent="0.2">
      <c r="A26" s="317"/>
      <c r="B26" s="313"/>
      <c r="C26" s="314"/>
      <c r="D26" s="314"/>
      <c r="E26" s="314"/>
      <c r="F26" s="314"/>
      <c r="G26" s="314"/>
      <c r="H26" s="314"/>
      <c r="I26" s="311"/>
      <c r="J26" s="311"/>
      <c r="K26" s="311"/>
      <c r="L26" s="311"/>
      <c r="M26" s="311"/>
    </row>
    <row r="27" spans="1:22" ht="15.75" x14ac:dyDescent="0.2">
      <c r="A27" s="317"/>
      <c r="B27" s="313"/>
      <c r="C27" s="314"/>
      <c r="D27" s="314"/>
      <c r="E27" s="314"/>
      <c r="F27" s="314"/>
      <c r="G27" s="314"/>
      <c r="H27" s="314"/>
      <c r="I27" s="311"/>
      <c r="J27" s="311"/>
      <c r="K27" s="311"/>
      <c r="L27" s="311"/>
      <c r="M27" s="311"/>
    </row>
    <row r="28" spans="1:22" ht="15.75" x14ac:dyDescent="0.2">
      <c r="A28" s="317"/>
      <c r="B28" s="313"/>
      <c r="C28" s="314"/>
      <c r="D28" s="314"/>
      <c r="E28" s="314"/>
      <c r="F28" s="314"/>
      <c r="G28" s="314"/>
      <c r="H28" s="314"/>
      <c r="I28" s="311"/>
      <c r="J28" s="311"/>
      <c r="K28" s="311"/>
      <c r="L28" s="311"/>
      <c r="M28" s="311"/>
    </row>
    <row r="29" spans="1:22" ht="15.75" x14ac:dyDescent="0.2">
      <c r="A29" s="317"/>
      <c r="B29" s="313"/>
      <c r="C29" s="314"/>
      <c r="D29" s="314"/>
      <c r="E29" s="314"/>
      <c r="F29" s="314"/>
      <c r="G29" s="314"/>
      <c r="H29" s="314"/>
      <c r="I29" s="311"/>
      <c r="J29" s="311"/>
      <c r="K29" s="311"/>
      <c r="L29" s="311"/>
      <c r="M29" s="311"/>
    </row>
    <row r="30" spans="1:22" ht="15.75" x14ac:dyDescent="0.2">
      <c r="A30" s="317"/>
      <c r="B30" s="313"/>
      <c r="C30" s="314"/>
      <c r="D30" s="314"/>
      <c r="E30" s="314"/>
      <c r="F30" s="314"/>
      <c r="G30" s="314"/>
      <c r="H30" s="314"/>
      <c r="I30" s="311"/>
      <c r="J30" s="311"/>
      <c r="K30" s="311"/>
      <c r="L30" s="311"/>
      <c r="M30" s="311"/>
    </row>
    <row r="31" spans="1:22" ht="15.75" x14ac:dyDescent="0.2">
      <c r="A31" s="318"/>
      <c r="B31" s="313"/>
      <c r="C31" s="314"/>
      <c r="D31" s="314"/>
      <c r="E31" s="314"/>
      <c r="F31" s="314"/>
      <c r="G31" s="314"/>
      <c r="H31" s="314"/>
    </row>
    <row r="32" spans="1:22" ht="15.75" x14ac:dyDescent="0.2">
      <c r="A32" s="318"/>
      <c r="B32" s="313"/>
      <c r="C32" s="314"/>
      <c r="D32" s="314"/>
      <c r="E32" s="314"/>
      <c r="F32" s="314"/>
      <c r="G32" s="314"/>
      <c r="H32" s="314"/>
    </row>
    <row r="33" spans="1:8" ht="15.75" x14ac:dyDescent="0.2">
      <c r="A33" s="318"/>
      <c r="B33" s="313"/>
      <c r="C33" s="314"/>
      <c r="D33" s="314"/>
      <c r="E33" s="314"/>
      <c r="F33" s="314"/>
      <c r="G33" s="314"/>
      <c r="H33" s="314"/>
    </row>
    <row r="34" spans="1:8" ht="15.75" x14ac:dyDescent="0.2">
      <c r="A34" s="318"/>
      <c r="B34" s="313"/>
      <c r="C34" s="314"/>
      <c r="D34" s="314"/>
      <c r="E34" s="314"/>
      <c r="F34" s="314"/>
      <c r="G34" s="314"/>
      <c r="H34" s="314"/>
    </row>
    <row r="35" spans="1:8" ht="15.75" x14ac:dyDescent="0.2">
      <c r="A35" s="318"/>
      <c r="B35" s="313"/>
      <c r="C35" s="314"/>
      <c r="D35" s="314"/>
      <c r="E35" s="314"/>
      <c r="F35" s="314"/>
      <c r="G35" s="314"/>
      <c r="H35" s="314"/>
    </row>
    <row r="36" spans="1:8" ht="15.75" x14ac:dyDescent="0.2">
      <c r="A36" s="318"/>
      <c r="B36" s="313"/>
      <c r="C36" s="314"/>
      <c r="D36" s="314"/>
      <c r="E36" s="314"/>
      <c r="F36" s="314"/>
      <c r="G36" s="314"/>
      <c r="H36" s="314"/>
    </row>
    <row r="37" spans="1:8" ht="15.75" x14ac:dyDescent="0.2">
      <c r="A37" s="318"/>
      <c r="B37" s="313"/>
      <c r="C37" s="314"/>
      <c r="D37" s="314"/>
      <c r="E37" s="314"/>
      <c r="F37" s="314"/>
      <c r="G37" s="314"/>
      <c r="H37" s="314"/>
    </row>
    <row r="38" spans="1:8" ht="15.75" x14ac:dyDescent="0.2">
      <c r="A38" s="318"/>
      <c r="B38" s="313"/>
      <c r="C38" s="314"/>
      <c r="D38" s="314"/>
      <c r="E38" s="314"/>
      <c r="F38" s="314"/>
      <c r="G38" s="314"/>
      <c r="H38" s="314"/>
    </row>
    <row r="39" spans="1:8" ht="15.75" x14ac:dyDescent="0.2">
      <c r="A39" s="318"/>
      <c r="B39" s="313"/>
      <c r="C39" s="314"/>
      <c r="D39" s="314"/>
      <c r="E39" s="314"/>
      <c r="F39" s="314"/>
      <c r="G39" s="314"/>
      <c r="H39" s="314"/>
    </row>
    <row r="40" spans="1:8" ht="15.75" x14ac:dyDescent="0.2">
      <c r="A40" s="318"/>
      <c r="B40" s="313"/>
      <c r="C40" s="314"/>
      <c r="D40" s="314"/>
      <c r="E40" s="314"/>
      <c r="F40" s="314"/>
      <c r="G40" s="314"/>
      <c r="H40" s="314"/>
    </row>
    <row r="41" spans="1:8" ht="15.75" x14ac:dyDescent="0.2">
      <c r="A41" s="318"/>
      <c r="B41" s="313"/>
      <c r="C41" s="314"/>
      <c r="D41" s="314"/>
      <c r="E41" s="314"/>
      <c r="F41" s="314"/>
      <c r="G41" s="314"/>
      <c r="H41" s="314"/>
    </row>
    <row r="42" spans="1:8" ht="15.75" x14ac:dyDescent="0.2">
      <c r="A42" s="318"/>
      <c r="B42" s="313"/>
      <c r="C42" s="314"/>
      <c r="D42" s="314"/>
      <c r="E42" s="314"/>
      <c r="F42" s="314"/>
      <c r="G42" s="314"/>
      <c r="H42" s="314"/>
    </row>
    <row r="43" spans="1:8" ht="15.75" x14ac:dyDescent="0.2">
      <c r="A43" s="318"/>
      <c r="B43" s="313"/>
      <c r="C43" s="314"/>
      <c r="D43" s="314"/>
      <c r="E43" s="314"/>
      <c r="F43" s="314"/>
      <c r="G43" s="314"/>
      <c r="H43" s="314"/>
    </row>
    <row r="44" spans="1:8" ht="15.75" x14ac:dyDescent="0.2">
      <c r="A44" s="318"/>
      <c r="B44" s="313"/>
      <c r="C44" s="314"/>
      <c r="D44" s="314"/>
      <c r="E44" s="314"/>
      <c r="F44" s="314"/>
      <c r="G44" s="314"/>
      <c r="H44" s="314"/>
    </row>
    <row r="45" spans="1:8" ht="15.75" x14ac:dyDescent="0.2">
      <c r="A45" s="295"/>
      <c r="B45" s="313"/>
      <c r="C45" s="314"/>
      <c r="D45" s="314"/>
      <c r="E45" s="314"/>
      <c r="F45" s="314"/>
      <c r="G45" s="314"/>
      <c r="H45" s="314"/>
    </row>
    <row r="46" spans="1:8" ht="15.75" x14ac:dyDescent="0.2">
      <c r="B46" s="313"/>
      <c r="C46" s="314"/>
      <c r="D46" s="314"/>
      <c r="E46" s="314"/>
      <c r="F46" s="314"/>
      <c r="G46" s="314"/>
      <c r="H46" s="314"/>
    </row>
    <row r="47" spans="1:8" ht="15.75" x14ac:dyDescent="0.2">
      <c r="B47" s="313"/>
      <c r="C47" s="314"/>
      <c r="D47" s="314"/>
      <c r="E47" s="314"/>
      <c r="F47" s="314"/>
      <c r="G47" s="314"/>
      <c r="H47" s="314"/>
    </row>
    <row r="48" spans="1:8" ht="15.75" x14ac:dyDescent="0.2">
      <c r="B48" s="313"/>
      <c r="C48" s="314"/>
      <c r="D48" s="314"/>
      <c r="E48" s="314"/>
      <c r="F48" s="314"/>
      <c r="G48" s="314"/>
      <c r="H48" s="314"/>
    </row>
    <row r="49" spans="2:8" ht="15.75" x14ac:dyDescent="0.2">
      <c r="B49" s="313"/>
      <c r="C49" s="314"/>
      <c r="D49" s="314"/>
      <c r="E49" s="314"/>
      <c r="F49" s="314"/>
      <c r="G49" s="314"/>
      <c r="H49" s="314"/>
    </row>
    <row r="50" spans="2:8" ht="15.75" x14ac:dyDescent="0.2">
      <c r="B50" s="313"/>
      <c r="C50" s="314"/>
      <c r="D50" s="314"/>
      <c r="E50" s="314"/>
      <c r="F50" s="314"/>
      <c r="G50" s="314"/>
      <c r="H50" s="314"/>
    </row>
    <row r="51" spans="2:8" ht="15.75" x14ac:dyDescent="0.2">
      <c r="B51" s="313"/>
      <c r="C51" s="314"/>
      <c r="D51" s="314"/>
      <c r="E51" s="314"/>
      <c r="F51" s="314"/>
      <c r="G51" s="314"/>
      <c r="H51" s="314"/>
    </row>
    <row r="52" spans="2:8" ht="15.75" x14ac:dyDescent="0.2">
      <c r="B52" s="313"/>
      <c r="C52" s="314"/>
      <c r="D52" s="314"/>
      <c r="E52" s="314"/>
      <c r="F52" s="314"/>
      <c r="G52" s="314"/>
      <c r="H52" s="314"/>
    </row>
    <row r="53" spans="2:8" ht="15.75" x14ac:dyDescent="0.2">
      <c r="B53" s="313"/>
      <c r="C53" s="314"/>
      <c r="D53" s="314"/>
      <c r="E53" s="314"/>
      <c r="F53" s="314"/>
      <c r="G53" s="314"/>
      <c r="H53" s="314"/>
    </row>
    <row r="54" spans="2:8" ht="15.75" x14ac:dyDescent="0.2">
      <c r="B54" s="313"/>
      <c r="C54" s="314"/>
      <c r="D54" s="314"/>
      <c r="E54" s="314"/>
      <c r="F54" s="314"/>
      <c r="G54" s="314"/>
      <c r="H54" s="314"/>
    </row>
    <row r="55" spans="2:8" ht="15.75" x14ac:dyDescent="0.2">
      <c r="B55" s="313"/>
      <c r="C55" s="314"/>
      <c r="D55" s="314"/>
      <c r="E55" s="314"/>
      <c r="F55" s="314"/>
      <c r="G55" s="314"/>
      <c r="H55" s="314"/>
    </row>
  </sheetData>
  <sheetProtection selectLockedCells="1" selectUnlockedCells="1"/>
  <mergeCells count="10">
    <mergeCell ref="K2:L2"/>
    <mergeCell ref="Q2:T2"/>
    <mergeCell ref="J3:K3"/>
    <mergeCell ref="A4:T4"/>
    <mergeCell ref="S6:T6"/>
    <mergeCell ref="A7:A8"/>
    <mergeCell ref="B7:B8"/>
    <mergeCell ref="I7:L7"/>
    <mergeCell ref="M7:P7"/>
    <mergeCell ref="Q7:T7"/>
  </mergeCells>
  <pageMargins left="0.11811023622047245" right="0" top="1.0236220472440944" bottom="0.78740157480314965" header="0" footer="0"/>
  <pageSetup paperSize="9" scale="60" firstPageNumber="48" fitToHeight="3" orientation="landscape" useFirstPageNumber="1" horizontalDpi="300" verticalDpi="300" r:id="rId1"/>
  <colBreaks count="1" manualBreakCount="1">
    <brk id="20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U36"/>
  <sheetViews>
    <sheetView view="pageBreakPreview" topLeftCell="C13" zoomScale="77" zoomScaleNormal="75" zoomScaleSheetLayoutView="77" workbookViewId="0">
      <selection activeCell="L2" sqref="L2:O2"/>
    </sheetView>
  </sheetViews>
  <sheetFormatPr defaultColWidth="8" defaultRowHeight="12.75" x14ac:dyDescent="0.2"/>
  <cols>
    <col min="1" max="1" width="19" style="42" hidden="1" customWidth="1"/>
    <col min="2" max="2" width="0.28515625" style="42" hidden="1" customWidth="1"/>
    <col min="3" max="3" width="6" style="43" customWidth="1"/>
    <col min="4" max="4" width="69.7109375" style="44" customWidth="1"/>
    <col min="5" max="5" width="14.85546875" style="45" customWidth="1"/>
    <col min="6" max="6" width="12.28515625" style="45" customWidth="1"/>
    <col min="7" max="7" width="13.5703125" style="45" customWidth="1"/>
    <col min="8" max="8" width="13.7109375" style="45" customWidth="1"/>
    <col min="9" max="9" width="14.5703125" style="45" customWidth="1"/>
    <col min="10" max="10" width="13.140625" style="45" customWidth="1"/>
    <col min="11" max="11" width="14.5703125" style="45" customWidth="1"/>
    <col min="12" max="12" width="13.140625" style="45" customWidth="1"/>
    <col min="13" max="13" width="16.140625" style="42" customWidth="1"/>
    <col min="14" max="14" width="15.28515625" style="42" customWidth="1"/>
    <col min="15" max="15" width="15.42578125" style="42" customWidth="1"/>
    <col min="16" max="16" width="15.5703125" style="42" hidden="1" customWidth="1"/>
    <col min="17" max="17" width="13.7109375" style="42" hidden="1" customWidth="1"/>
    <col min="18" max="18" width="10.28515625" style="42" hidden="1" customWidth="1"/>
    <col min="19" max="19" width="12.140625" style="35" customWidth="1"/>
    <col min="20" max="20" width="15.140625" style="35" customWidth="1"/>
    <col min="21" max="47" width="8" style="35" customWidth="1"/>
    <col min="48" max="255" width="8" style="42"/>
    <col min="256" max="256" width="19" style="42" customWidth="1"/>
    <col min="257" max="257" width="0" style="42" hidden="1" customWidth="1"/>
    <col min="258" max="258" width="6" style="42" customWidth="1"/>
    <col min="259" max="259" width="42.140625" style="42" customWidth="1"/>
    <col min="260" max="260" width="0" style="42" hidden="1" customWidth="1"/>
    <col min="261" max="261" width="12.7109375" style="42" customWidth="1"/>
    <col min="262" max="262" width="13.5703125" style="42" customWidth="1"/>
    <col min="263" max="263" width="14" style="42" customWidth="1"/>
    <col min="264" max="264" width="13.85546875" style="42" customWidth="1"/>
    <col min="265" max="265" width="12.5703125" style="42" customWidth="1"/>
    <col min="266" max="268" width="12.7109375" style="42" customWidth="1"/>
    <col min="269" max="274" width="0" style="42" hidden="1" customWidth="1"/>
    <col min="275" max="275" width="12.140625" style="42" customWidth="1"/>
    <col min="276" max="276" width="15.140625" style="42" customWidth="1"/>
    <col min="277" max="303" width="8" style="42" customWidth="1"/>
    <col min="304" max="511" width="8" style="42"/>
    <col min="512" max="512" width="19" style="42" customWidth="1"/>
    <col min="513" max="513" width="0" style="42" hidden="1" customWidth="1"/>
    <col min="514" max="514" width="6" style="42" customWidth="1"/>
    <col min="515" max="515" width="42.140625" style="42" customWidth="1"/>
    <col min="516" max="516" width="0" style="42" hidden="1" customWidth="1"/>
    <col min="517" max="517" width="12.7109375" style="42" customWidth="1"/>
    <col min="518" max="518" width="13.5703125" style="42" customWidth="1"/>
    <col min="519" max="519" width="14" style="42" customWidth="1"/>
    <col min="520" max="520" width="13.85546875" style="42" customWidth="1"/>
    <col min="521" max="521" width="12.5703125" style="42" customWidth="1"/>
    <col min="522" max="524" width="12.7109375" style="42" customWidth="1"/>
    <col min="525" max="530" width="0" style="42" hidden="1" customWidth="1"/>
    <col min="531" max="531" width="12.140625" style="42" customWidth="1"/>
    <col min="532" max="532" width="15.140625" style="42" customWidth="1"/>
    <col min="533" max="559" width="8" style="42" customWidth="1"/>
    <col min="560" max="767" width="8" style="42"/>
    <col min="768" max="768" width="19" style="42" customWidth="1"/>
    <col min="769" max="769" width="0" style="42" hidden="1" customWidth="1"/>
    <col min="770" max="770" width="6" style="42" customWidth="1"/>
    <col min="771" max="771" width="42.140625" style="42" customWidth="1"/>
    <col min="772" max="772" width="0" style="42" hidden="1" customWidth="1"/>
    <col min="773" max="773" width="12.7109375" style="42" customWidth="1"/>
    <col min="774" max="774" width="13.5703125" style="42" customWidth="1"/>
    <col min="775" max="775" width="14" style="42" customWidth="1"/>
    <col min="776" max="776" width="13.85546875" style="42" customWidth="1"/>
    <col min="777" max="777" width="12.5703125" style="42" customWidth="1"/>
    <col min="778" max="780" width="12.7109375" style="42" customWidth="1"/>
    <col min="781" max="786" width="0" style="42" hidden="1" customWidth="1"/>
    <col min="787" max="787" width="12.140625" style="42" customWidth="1"/>
    <col min="788" max="788" width="15.140625" style="42" customWidth="1"/>
    <col min="789" max="815" width="8" style="42" customWidth="1"/>
    <col min="816" max="1023" width="8" style="42"/>
    <col min="1024" max="1024" width="19" style="42" customWidth="1"/>
    <col min="1025" max="1025" width="0" style="42" hidden="1" customWidth="1"/>
    <col min="1026" max="1026" width="6" style="42" customWidth="1"/>
    <col min="1027" max="1027" width="42.140625" style="42" customWidth="1"/>
    <col min="1028" max="1028" width="0" style="42" hidden="1" customWidth="1"/>
    <col min="1029" max="1029" width="12.7109375" style="42" customWidth="1"/>
    <col min="1030" max="1030" width="13.5703125" style="42" customWidth="1"/>
    <col min="1031" max="1031" width="14" style="42" customWidth="1"/>
    <col min="1032" max="1032" width="13.85546875" style="42" customWidth="1"/>
    <col min="1033" max="1033" width="12.5703125" style="42" customWidth="1"/>
    <col min="1034" max="1036" width="12.7109375" style="42" customWidth="1"/>
    <col min="1037" max="1042" width="0" style="42" hidden="1" customWidth="1"/>
    <col min="1043" max="1043" width="12.140625" style="42" customWidth="1"/>
    <col min="1044" max="1044" width="15.140625" style="42" customWidth="1"/>
    <col min="1045" max="1071" width="8" style="42" customWidth="1"/>
    <col min="1072" max="1279" width="8" style="42"/>
    <col min="1280" max="1280" width="19" style="42" customWidth="1"/>
    <col min="1281" max="1281" width="0" style="42" hidden="1" customWidth="1"/>
    <col min="1282" max="1282" width="6" style="42" customWidth="1"/>
    <col min="1283" max="1283" width="42.140625" style="42" customWidth="1"/>
    <col min="1284" max="1284" width="0" style="42" hidden="1" customWidth="1"/>
    <col min="1285" max="1285" width="12.7109375" style="42" customWidth="1"/>
    <col min="1286" max="1286" width="13.5703125" style="42" customWidth="1"/>
    <col min="1287" max="1287" width="14" style="42" customWidth="1"/>
    <col min="1288" max="1288" width="13.85546875" style="42" customWidth="1"/>
    <col min="1289" max="1289" width="12.5703125" style="42" customWidth="1"/>
    <col min="1290" max="1292" width="12.7109375" style="42" customWidth="1"/>
    <col min="1293" max="1298" width="0" style="42" hidden="1" customWidth="1"/>
    <col min="1299" max="1299" width="12.140625" style="42" customWidth="1"/>
    <col min="1300" max="1300" width="15.140625" style="42" customWidth="1"/>
    <col min="1301" max="1327" width="8" style="42" customWidth="1"/>
    <col min="1328" max="1535" width="8" style="42"/>
    <col min="1536" max="1536" width="19" style="42" customWidth="1"/>
    <col min="1537" max="1537" width="0" style="42" hidden="1" customWidth="1"/>
    <col min="1538" max="1538" width="6" style="42" customWidth="1"/>
    <col min="1539" max="1539" width="42.140625" style="42" customWidth="1"/>
    <col min="1540" max="1540" width="0" style="42" hidden="1" customWidth="1"/>
    <col min="1541" max="1541" width="12.7109375" style="42" customWidth="1"/>
    <col min="1542" max="1542" width="13.5703125" style="42" customWidth="1"/>
    <col min="1543" max="1543" width="14" style="42" customWidth="1"/>
    <col min="1544" max="1544" width="13.85546875" style="42" customWidth="1"/>
    <col min="1545" max="1545" width="12.5703125" style="42" customWidth="1"/>
    <col min="1546" max="1548" width="12.7109375" style="42" customWidth="1"/>
    <col min="1549" max="1554" width="0" style="42" hidden="1" customWidth="1"/>
    <col min="1555" max="1555" width="12.140625" style="42" customWidth="1"/>
    <col min="1556" max="1556" width="15.140625" style="42" customWidth="1"/>
    <col min="1557" max="1583" width="8" style="42" customWidth="1"/>
    <col min="1584" max="1791" width="8" style="42"/>
    <col min="1792" max="1792" width="19" style="42" customWidth="1"/>
    <col min="1793" max="1793" width="0" style="42" hidden="1" customWidth="1"/>
    <col min="1794" max="1794" width="6" style="42" customWidth="1"/>
    <col min="1795" max="1795" width="42.140625" style="42" customWidth="1"/>
    <col min="1796" max="1796" width="0" style="42" hidden="1" customWidth="1"/>
    <col min="1797" max="1797" width="12.7109375" style="42" customWidth="1"/>
    <col min="1798" max="1798" width="13.5703125" style="42" customWidth="1"/>
    <col min="1799" max="1799" width="14" style="42" customWidth="1"/>
    <col min="1800" max="1800" width="13.85546875" style="42" customWidth="1"/>
    <col min="1801" max="1801" width="12.5703125" style="42" customWidth="1"/>
    <col min="1802" max="1804" width="12.7109375" style="42" customWidth="1"/>
    <col min="1805" max="1810" width="0" style="42" hidden="1" customWidth="1"/>
    <col min="1811" max="1811" width="12.140625" style="42" customWidth="1"/>
    <col min="1812" max="1812" width="15.140625" style="42" customWidth="1"/>
    <col min="1813" max="1839" width="8" style="42" customWidth="1"/>
    <col min="1840" max="2047" width="8" style="42"/>
    <col min="2048" max="2048" width="19" style="42" customWidth="1"/>
    <col min="2049" max="2049" width="0" style="42" hidden="1" customWidth="1"/>
    <col min="2050" max="2050" width="6" style="42" customWidth="1"/>
    <col min="2051" max="2051" width="42.140625" style="42" customWidth="1"/>
    <col min="2052" max="2052" width="0" style="42" hidden="1" customWidth="1"/>
    <col min="2053" max="2053" width="12.7109375" style="42" customWidth="1"/>
    <col min="2054" max="2054" width="13.5703125" style="42" customWidth="1"/>
    <col min="2055" max="2055" width="14" style="42" customWidth="1"/>
    <col min="2056" max="2056" width="13.85546875" style="42" customWidth="1"/>
    <col min="2057" max="2057" width="12.5703125" style="42" customWidth="1"/>
    <col min="2058" max="2060" width="12.7109375" style="42" customWidth="1"/>
    <col min="2061" max="2066" width="0" style="42" hidden="1" customWidth="1"/>
    <col min="2067" max="2067" width="12.140625" style="42" customWidth="1"/>
    <col min="2068" max="2068" width="15.140625" style="42" customWidth="1"/>
    <col min="2069" max="2095" width="8" style="42" customWidth="1"/>
    <col min="2096" max="2303" width="8" style="42"/>
    <col min="2304" max="2304" width="19" style="42" customWidth="1"/>
    <col min="2305" max="2305" width="0" style="42" hidden="1" customWidth="1"/>
    <col min="2306" max="2306" width="6" style="42" customWidth="1"/>
    <col min="2307" max="2307" width="42.140625" style="42" customWidth="1"/>
    <col min="2308" max="2308" width="0" style="42" hidden="1" customWidth="1"/>
    <col min="2309" max="2309" width="12.7109375" style="42" customWidth="1"/>
    <col min="2310" max="2310" width="13.5703125" style="42" customWidth="1"/>
    <col min="2311" max="2311" width="14" style="42" customWidth="1"/>
    <col min="2312" max="2312" width="13.85546875" style="42" customWidth="1"/>
    <col min="2313" max="2313" width="12.5703125" style="42" customWidth="1"/>
    <col min="2314" max="2316" width="12.7109375" style="42" customWidth="1"/>
    <col min="2317" max="2322" width="0" style="42" hidden="1" customWidth="1"/>
    <col min="2323" max="2323" width="12.140625" style="42" customWidth="1"/>
    <col min="2324" max="2324" width="15.140625" style="42" customWidth="1"/>
    <col min="2325" max="2351" width="8" style="42" customWidth="1"/>
    <col min="2352" max="2559" width="8" style="42"/>
    <col min="2560" max="2560" width="19" style="42" customWidth="1"/>
    <col min="2561" max="2561" width="0" style="42" hidden="1" customWidth="1"/>
    <col min="2562" max="2562" width="6" style="42" customWidth="1"/>
    <col min="2563" max="2563" width="42.140625" style="42" customWidth="1"/>
    <col min="2564" max="2564" width="0" style="42" hidden="1" customWidth="1"/>
    <col min="2565" max="2565" width="12.7109375" style="42" customWidth="1"/>
    <col min="2566" max="2566" width="13.5703125" style="42" customWidth="1"/>
    <col min="2567" max="2567" width="14" style="42" customWidth="1"/>
    <col min="2568" max="2568" width="13.85546875" style="42" customWidth="1"/>
    <col min="2569" max="2569" width="12.5703125" style="42" customWidth="1"/>
    <col min="2570" max="2572" width="12.7109375" style="42" customWidth="1"/>
    <col min="2573" max="2578" width="0" style="42" hidden="1" customWidth="1"/>
    <col min="2579" max="2579" width="12.140625" style="42" customWidth="1"/>
    <col min="2580" max="2580" width="15.140625" style="42" customWidth="1"/>
    <col min="2581" max="2607" width="8" style="42" customWidth="1"/>
    <col min="2608" max="2815" width="8" style="42"/>
    <col min="2816" max="2816" width="19" style="42" customWidth="1"/>
    <col min="2817" max="2817" width="0" style="42" hidden="1" customWidth="1"/>
    <col min="2818" max="2818" width="6" style="42" customWidth="1"/>
    <col min="2819" max="2819" width="42.140625" style="42" customWidth="1"/>
    <col min="2820" max="2820" width="0" style="42" hidden="1" customWidth="1"/>
    <col min="2821" max="2821" width="12.7109375" style="42" customWidth="1"/>
    <col min="2822" max="2822" width="13.5703125" style="42" customWidth="1"/>
    <col min="2823" max="2823" width="14" style="42" customWidth="1"/>
    <col min="2824" max="2824" width="13.85546875" style="42" customWidth="1"/>
    <col min="2825" max="2825" width="12.5703125" style="42" customWidth="1"/>
    <col min="2826" max="2828" width="12.7109375" style="42" customWidth="1"/>
    <col min="2829" max="2834" width="0" style="42" hidden="1" customWidth="1"/>
    <col min="2835" max="2835" width="12.140625" style="42" customWidth="1"/>
    <col min="2836" max="2836" width="15.140625" style="42" customWidth="1"/>
    <col min="2837" max="2863" width="8" style="42" customWidth="1"/>
    <col min="2864" max="3071" width="8" style="42"/>
    <col min="3072" max="3072" width="19" style="42" customWidth="1"/>
    <col min="3073" max="3073" width="0" style="42" hidden="1" customWidth="1"/>
    <col min="3074" max="3074" width="6" style="42" customWidth="1"/>
    <col min="3075" max="3075" width="42.140625" style="42" customWidth="1"/>
    <col min="3076" max="3076" width="0" style="42" hidden="1" customWidth="1"/>
    <col min="3077" max="3077" width="12.7109375" style="42" customWidth="1"/>
    <col min="3078" max="3078" width="13.5703125" style="42" customWidth="1"/>
    <col min="3079" max="3079" width="14" style="42" customWidth="1"/>
    <col min="3080" max="3080" width="13.85546875" style="42" customWidth="1"/>
    <col min="3081" max="3081" width="12.5703125" style="42" customWidth="1"/>
    <col min="3082" max="3084" width="12.7109375" style="42" customWidth="1"/>
    <col min="3085" max="3090" width="0" style="42" hidden="1" customWidth="1"/>
    <col min="3091" max="3091" width="12.140625" style="42" customWidth="1"/>
    <col min="3092" max="3092" width="15.140625" style="42" customWidth="1"/>
    <col min="3093" max="3119" width="8" style="42" customWidth="1"/>
    <col min="3120" max="3327" width="8" style="42"/>
    <col min="3328" max="3328" width="19" style="42" customWidth="1"/>
    <col min="3329" max="3329" width="0" style="42" hidden="1" customWidth="1"/>
    <col min="3330" max="3330" width="6" style="42" customWidth="1"/>
    <col min="3331" max="3331" width="42.140625" style="42" customWidth="1"/>
    <col min="3332" max="3332" width="0" style="42" hidden="1" customWidth="1"/>
    <col min="3333" max="3333" width="12.7109375" style="42" customWidth="1"/>
    <col min="3334" max="3334" width="13.5703125" style="42" customWidth="1"/>
    <col min="3335" max="3335" width="14" style="42" customWidth="1"/>
    <col min="3336" max="3336" width="13.85546875" style="42" customWidth="1"/>
    <col min="3337" max="3337" width="12.5703125" style="42" customWidth="1"/>
    <col min="3338" max="3340" width="12.7109375" style="42" customWidth="1"/>
    <col min="3341" max="3346" width="0" style="42" hidden="1" customWidth="1"/>
    <col min="3347" max="3347" width="12.140625" style="42" customWidth="1"/>
    <col min="3348" max="3348" width="15.140625" style="42" customWidth="1"/>
    <col min="3349" max="3375" width="8" style="42" customWidth="1"/>
    <col min="3376" max="3583" width="8" style="42"/>
    <col min="3584" max="3584" width="19" style="42" customWidth="1"/>
    <col min="3585" max="3585" width="0" style="42" hidden="1" customWidth="1"/>
    <col min="3586" max="3586" width="6" style="42" customWidth="1"/>
    <col min="3587" max="3587" width="42.140625" style="42" customWidth="1"/>
    <col min="3588" max="3588" width="0" style="42" hidden="1" customWidth="1"/>
    <col min="3589" max="3589" width="12.7109375" style="42" customWidth="1"/>
    <col min="3590" max="3590" width="13.5703125" style="42" customWidth="1"/>
    <col min="3591" max="3591" width="14" style="42" customWidth="1"/>
    <col min="3592" max="3592" width="13.85546875" style="42" customWidth="1"/>
    <col min="3593" max="3593" width="12.5703125" style="42" customWidth="1"/>
    <col min="3594" max="3596" width="12.7109375" style="42" customWidth="1"/>
    <col min="3597" max="3602" width="0" style="42" hidden="1" customWidth="1"/>
    <col min="3603" max="3603" width="12.140625" style="42" customWidth="1"/>
    <col min="3604" max="3604" width="15.140625" style="42" customWidth="1"/>
    <col min="3605" max="3631" width="8" style="42" customWidth="1"/>
    <col min="3632" max="3839" width="8" style="42"/>
    <col min="3840" max="3840" width="19" style="42" customWidth="1"/>
    <col min="3841" max="3841" width="0" style="42" hidden="1" customWidth="1"/>
    <col min="3842" max="3842" width="6" style="42" customWidth="1"/>
    <col min="3843" max="3843" width="42.140625" style="42" customWidth="1"/>
    <col min="3844" max="3844" width="0" style="42" hidden="1" customWidth="1"/>
    <col min="3845" max="3845" width="12.7109375" style="42" customWidth="1"/>
    <col min="3846" max="3846" width="13.5703125" style="42" customWidth="1"/>
    <col min="3847" max="3847" width="14" style="42" customWidth="1"/>
    <col min="3848" max="3848" width="13.85546875" style="42" customWidth="1"/>
    <col min="3849" max="3849" width="12.5703125" style="42" customWidth="1"/>
    <col min="3850" max="3852" width="12.7109375" style="42" customWidth="1"/>
    <col min="3853" max="3858" width="0" style="42" hidden="1" customWidth="1"/>
    <col min="3859" max="3859" width="12.140625" style="42" customWidth="1"/>
    <col min="3860" max="3860" width="15.140625" style="42" customWidth="1"/>
    <col min="3861" max="3887" width="8" style="42" customWidth="1"/>
    <col min="3888" max="4095" width="8" style="42"/>
    <col min="4096" max="4096" width="19" style="42" customWidth="1"/>
    <col min="4097" max="4097" width="0" style="42" hidden="1" customWidth="1"/>
    <col min="4098" max="4098" width="6" style="42" customWidth="1"/>
    <col min="4099" max="4099" width="42.140625" style="42" customWidth="1"/>
    <col min="4100" max="4100" width="0" style="42" hidden="1" customWidth="1"/>
    <col min="4101" max="4101" width="12.7109375" style="42" customWidth="1"/>
    <col min="4102" max="4102" width="13.5703125" style="42" customWidth="1"/>
    <col min="4103" max="4103" width="14" style="42" customWidth="1"/>
    <col min="4104" max="4104" width="13.85546875" style="42" customWidth="1"/>
    <col min="4105" max="4105" width="12.5703125" style="42" customWidth="1"/>
    <col min="4106" max="4108" width="12.7109375" style="42" customWidth="1"/>
    <col min="4109" max="4114" width="0" style="42" hidden="1" customWidth="1"/>
    <col min="4115" max="4115" width="12.140625" style="42" customWidth="1"/>
    <col min="4116" max="4116" width="15.140625" style="42" customWidth="1"/>
    <col min="4117" max="4143" width="8" style="42" customWidth="1"/>
    <col min="4144" max="4351" width="8" style="42"/>
    <col min="4352" max="4352" width="19" style="42" customWidth="1"/>
    <col min="4353" max="4353" width="0" style="42" hidden="1" customWidth="1"/>
    <col min="4354" max="4354" width="6" style="42" customWidth="1"/>
    <col min="4355" max="4355" width="42.140625" style="42" customWidth="1"/>
    <col min="4356" max="4356" width="0" style="42" hidden="1" customWidth="1"/>
    <col min="4357" max="4357" width="12.7109375" style="42" customWidth="1"/>
    <col min="4358" max="4358" width="13.5703125" style="42" customWidth="1"/>
    <col min="4359" max="4359" width="14" style="42" customWidth="1"/>
    <col min="4360" max="4360" width="13.85546875" style="42" customWidth="1"/>
    <col min="4361" max="4361" width="12.5703125" style="42" customWidth="1"/>
    <col min="4362" max="4364" width="12.7109375" style="42" customWidth="1"/>
    <col min="4365" max="4370" width="0" style="42" hidden="1" customWidth="1"/>
    <col min="4371" max="4371" width="12.140625" style="42" customWidth="1"/>
    <col min="4372" max="4372" width="15.140625" style="42" customWidth="1"/>
    <col min="4373" max="4399" width="8" style="42" customWidth="1"/>
    <col min="4400" max="4607" width="8" style="42"/>
    <col min="4608" max="4608" width="19" style="42" customWidth="1"/>
    <col min="4609" max="4609" width="0" style="42" hidden="1" customWidth="1"/>
    <col min="4610" max="4610" width="6" style="42" customWidth="1"/>
    <col min="4611" max="4611" width="42.140625" style="42" customWidth="1"/>
    <col min="4612" max="4612" width="0" style="42" hidden="1" customWidth="1"/>
    <col min="4613" max="4613" width="12.7109375" style="42" customWidth="1"/>
    <col min="4614" max="4614" width="13.5703125" style="42" customWidth="1"/>
    <col min="4615" max="4615" width="14" style="42" customWidth="1"/>
    <col min="4616" max="4616" width="13.85546875" style="42" customWidth="1"/>
    <col min="4617" max="4617" width="12.5703125" style="42" customWidth="1"/>
    <col min="4618" max="4620" width="12.7109375" style="42" customWidth="1"/>
    <col min="4621" max="4626" width="0" style="42" hidden="1" customWidth="1"/>
    <col min="4627" max="4627" width="12.140625" style="42" customWidth="1"/>
    <col min="4628" max="4628" width="15.140625" style="42" customWidth="1"/>
    <col min="4629" max="4655" width="8" style="42" customWidth="1"/>
    <col min="4656" max="4863" width="8" style="42"/>
    <col min="4864" max="4864" width="19" style="42" customWidth="1"/>
    <col min="4865" max="4865" width="0" style="42" hidden="1" customWidth="1"/>
    <col min="4866" max="4866" width="6" style="42" customWidth="1"/>
    <col min="4867" max="4867" width="42.140625" style="42" customWidth="1"/>
    <col min="4868" max="4868" width="0" style="42" hidden="1" customWidth="1"/>
    <col min="4869" max="4869" width="12.7109375" style="42" customWidth="1"/>
    <col min="4870" max="4870" width="13.5703125" style="42" customWidth="1"/>
    <col min="4871" max="4871" width="14" style="42" customWidth="1"/>
    <col min="4872" max="4872" width="13.85546875" style="42" customWidth="1"/>
    <col min="4873" max="4873" width="12.5703125" style="42" customWidth="1"/>
    <col min="4874" max="4876" width="12.7109375" style="42" customWidth="1"/>
    <col min="4877" max="4882" width="0" style="42" hidden="1" customWidth="1"/>
    <col min="4883" max="4883" width="12.140625" style="42" customWidth="1"/>
    <col min="4884" max="4884" width="15.140625" style="42" customWidth="1"/>
    <col min="4885" max="4911" width="8" style="42" customWidth="1"/>
    <col min="4912" max="5119" width="8" style="42"/>
    <col min="5120" max="5120" width="19" style="42" customWidth="1"/>
    <col min="5121" max="5121" width="0" style="42" hidden="1" customWidth="1"/>
    <col min="5122" max="5122" width="6" style="42" customWidth="1"/>
    <col min="5123" max="5123" width="42.140625" style="42" customWidth="1"/>
    <col min="5124" max="5124" width="0" style="42" hidden="1" customWidth="1"/>
    <col min="5125" max="5125" width="12.7109375" style="42" customWidth="1"/>
    <col min="5126" max="5126" width="13.5703125" style="42" customWidth="1"/>
    <col min="5127" max="5127" width="14" style="42" customWidth="1"/>
    <col min="5128" max="5128" width="13.85546875" style="42" customWidth="1"/>
    <col min="5129" max="5129" width="12.5703125" style="42" customWidth="1"/>
    <col min="5130" max="5132" width="12.7109375" style="42" customWidth="1"/>
    <col min="5133" max="5138" width="0" style="42" hidden="1" customWidth="1"/>
    <col min="5139" max="5139" width="12.140625" style="42" customWidth="1"/>
    <col min="5140" max="5140" width="15.140625" style="42" customWidth="1"/>
    <col min="5141" max="5167" width="8" style="42" customWidth="1"/>
    <col min="5168" max="5375" width="8" style="42"/>
    <col min="5376" max="5376" width="19" style="42" customWidth="1"/>
    <col min="5377" max="5377" width="0" style="42" hidden="1" customWidth="1"/>
    <col min="5378" max="5378" width="6" style="42" customWidth="1"/>
    <col min="5379" max="5379" width="42.140625" style="42" customWidth="1"/>
    <col min="5380" max="5380" width="0" style="42" hidden="1" customWidth="1"/>
    <col min="5381" max="5381" width="12.7109375" style="42" customWidth="1"/>
    <col min="5382" max="5382" width="13.5703125" style="42" customWidth="1"/>
    <col min="5383" max="5383" width="14" style="42" customWidth="1"/>
    <col min="5384" max="5384" width="13.85546875" style="42" customWidth="1"/>
    <col min="5385" max="5385" width="12.5703125" style="42" customWidth="1"/>
    <col min="5386" max="5388" width="12.7109375" style="42" customWidth="1"/>
    <col min="5389" max="5394" width="0" style="42" hidden="1" customWidth="1"/>
    <col min="5395" max="5395" width="12.140625" style="42" customWidth="1"/>
    <col min="5396" max="5396" width="15.140625" style="42" customWidth="1"/>
    <col min="5397" max="5423" width="8" style="42" customWidth="1"/>
    <col min="5424" max="5631" width="8" style="42"/>
    <col min="5632" max="5632" width="19" style="42" customWidth="1"/>
    <col min="5633" max="5633" width="0" style="42" hidden="1" customWidth="1"/>
    <col min="5634" max="5634" width="6" style="42" customWidth="1"/>
    <col min="5635" max="5635" width="42.140625" style="42" customWidth="1"/>
    <col min="5636" max="5636" width="0" style="42" hidden="1" customWidth="1"/>
    <col min="5637" max="5637" width="12.7109375" style="42" customWidth="1"/>
    <col min="5638" max="5638" width="13.5703125" style="42" customWidth="1"/>
    <col min="5639" max="5639" width="14" style="42" customWidth="1"/>
    <col min="5640" max="5640" width="13.85546875" style="42" customWidth="1"/>
    <col min="5641" max="5641" width="12.5703125" style="42" customWidth="1"/>
    <col min="5642" max="5644" width="12.7109375" style="42" customWidth="1"/>
    <col min="5645" max="5650" width="0" style="42" hidden="1" customWidth="1"/>
    <col min="5651" max="5651" width="12.140625" style="42" customWidth="1"/>
    <col min="5652" max="5652" width="15.140625" style="42" customWidth="1"/>
    <col min="5653" max="5679" width="8" style="42" customWidth="1"/>
    <col min="5680" max="5887" width="8" style="42"/>
    <col min="5888" max="5888" width="19" style="42" customWidth="1"/>
    <col min="5889" max="5889" width="0" style="42" hidden="1" customWidth="1"/>
    <col min="5890" max="5890" width="6" style="42" customWidth="1"/>
    <col min="5891" max="5891" width="42.140625" style="42" customWidth="1"/>
    <col min="5892" max="5892" width="0" style="42" hidden="1" customWidth="1"/>
    <col min="5893" max="5893" width="12.7109375" style="42" customWidth="1"/>
    <col min="5894" max="5894" width="13.5703125" style="42" customWidth="1"/>
    <col min="5895" max="5895" width="14" style="42" customWidth="1"/>
    <col min="5896" max="5896" width="13.85546875" style="42" customWidth="1"/>
    <col min="5897" max="5897" width="12.5703125" style="42" customWidth="1"/>
    <col min="5898" max="5900" width="12.7109375" style="42" customWidth="1"/>
    <col min="5901" max="5906" width="0" style="42" hidden="1" customWidth="1"/>
    <col min="5907" max="5907" width="12.140625" style="42" customWidth="1"/>
    <col min="5908" max="5908" width="15.140625" style="42" customWidth="1"/>
    <col min="5909" max="5935" width="8" style="42" customWidth="1"/>
    <col min="5936" max="6143" width="8" style="42"/>
    <col min="6144" max="6144" width="19" style="42" customWidth="1"/>
    <col min="6145" max="6145" width="0" style="42" hidden="1" customWidth="1"/>
    <col min="6146" max="6146" width="6" style="42" customWidth="1"/>
    <col min="6147" max="6147" width="42.140625" style="42" customWidth="1"/>
    <col min="6148" max="6148" width="0" style="42" hidden="1" customWidth="1"/>
    <col min="6149" max="6149" width="12.7109375" style="42" customWidth="1"/>
    <col min="6150" max="6150" width="13.5703125" style="42" customWidth="1"/>
    <col min="6151" max="6151" width="14" style="42" customWidth="1"/>
    <col min="6152" max="6152" width="13.85546875" style="42" customWidth="1"/>
    <col min="6153" max="6153" width="12.5703125" style="42" customWidth="1"/>
    <col min="6154" max="6156" width="12.7109375" style="42" customWidth="1"/>
    <col min="6157" max="6162" width="0" style="42" hidden="1" customWidth="1"/>
    <col min="6163" max="6163" width="12.140625" style="42" customWidth="1"/>
    <col min="6164" max="6164" width="15.140625" style="42" customWidth="1"/>
    <col min="6165" max="6191" width="8" style="42" customWidth="1"/>
    <col min="6192" max="6399" width="8" style="42"/>
    <col min="6400" max="6400" width="19" style="42" customWidth="1"/>
    <col min="6401" max="6401" width="0" style="42" hidden="1" customWidth="1"/>
    <col min="6402" max="6402" width="6" style="42" customWidth="1"/>
    <col min="6403" max="6403" width="42.140625" style="42" customWidth="1"/>
    <col min="6404" max="6404" width="0" style="42" hidden="1" customWidth="1"/>
    <col min="6405" max="6405" width="12.7109375" style="42" customWidth="1"/>
    <col min="6406" max="6406" width="13.5703125" style="42" customWidth="1"/>
    <col min="6407" max="6407" width="14" style="42" customWidth="1"/>
    <col min="6408" max="6408" width="13.85546875" style="42" customWidth="1"/>
    <col min="6409" max="6409" width="12.5703125" style="42" customWidth="1"/>
    <col min="6410" max="6412" width="12.7109375" style="42" customWidth="1"/>
    <col min="6413" max="6418" width="0" style="42" hidden="1" customWidth="1"/>
    <col min="6419" max="6419" width="12.140625" style="42" customWidth="1"/>
    <col min="6420" max="6420" width="15.140625" style="42" customWidth="1"/>
    <col min="6421" max="6447" width="8" style="42" customWidth="1"/>
    <col min="6448" max="6655" width="8" style="42"/>
    <col min="6656" max="6656" width="19" style="42" customWidth="1"/>
    <col min="6657" max="6657" width="0" style="42" hidden="1" customWidth="1"/>
    <col min="6658" max="6658" width="6" style="42" customWidth="1"/>
    <col min="6659" max="6659" width="42.140625" style="42" customWidth="1"/>
    <col min="6660" max="6660" width="0" style="42" hidden="1" customWidth="1"/>
    <col min="6661" max="6661" width="12.7109375" style="42" customWidth="1"/>
    <col min="6662" max="6662" width="13.5703125" style="42" customWidth="1"/>
    <col min="6663" max="6663" width="14" style="42" customWidth="1"/>
    <col min="6664" max="6664" width="13.85546875" style="42" customWidth="1"/>
    <col min="6665" max="6665" width="12.5703125" style="42" customWidth="1"/>
    <col min="6666" max="6668" width="12.7109375" style="42" customWidth="1"/>
    <col min="6669" max="6674" width="0" style="42" hidden="1" customWidth="1"/>
    <col min="6675" max="6675" width="12.140625" style="42" customWidth="1"/>
    <col min="6676" max="6676" width="15.140625" style="42" customWidth="1"/>
    <col min="6677" max="6703" width="8" style="42" customWidth="1"/>
    <col min="6704" max="6911" width="8" style="42"/>
    <col min="6912" max="6912" width="19" style="42" customWidth="1"/>
    <col min="6913" max="6913" width="0" style="42" hidden="1" customWidth="1"/>
    <col min="6914" max="6914" width="6" style="42" customWidth="1"/>
    <col min="6915" max="6915" width="42.140625" style="42" customWidth="1"/>
    <col min="6916" max="6916" width="0" style="42" hidden="1" customWidth="1"/>
    <col min="6917" max="6917" width="12.7109375" style="42" customWidth="1"/>
    <col min="6918" max="6918" width="13.5703125" style="42" customWidth="1"/>
    <col min="6919" max="6919" width="14" style="42" customWidth="1"/>
    <col min="6920" max="6920" width="13.85546875" style="42" customWidth="1"/>
    <col min="6921" max="6921" width="12.5703125" style="42" customWidth="1"/>
    <col min="6922" max="6924" width="12.7109375" style="42" customWidth="1"/>
    <col min="6925" max="6930" width="0" style="42" hidden="1" customWidth="1"/>
    <col min="6931" max="6931" width="12.140625" style="42" customWidth="1"/>
    <col min="6932" max="6932" width="15.140625" style="42" customWidth="1"/>
    <col min="6933" max="6959" width="8" style="42" customWidth="1"/>
    <col min="6960" max="7167" width="8" style="42"/>
    <col min="7168" max="7168" width="19" style="42" customWidth="1"/>
    <col min="7169" max="7169" width="0" style="42" hidden="1" customWidth="1"/>
    <col min="7170" max="7170" width="6" style="42" customWidth="1"/>
    <col min="7171" max="7171" width="42.140625" style="42" customWidth="1"/>
    <col min="7172" max="7172" width="0" style="42" hidden="1" customWidth="1"/>
    <col min="7173" max="7173" width="12.7109375" style="42" customWidth="1"/>
    <col min="7174" max="7174" width="13.5703125" style="42" customWidth="1"/>
    <col min="7175" max="7175" width="14" style="42" customWidth="1"/>
    <col min="7176" max="7176" width="13.85546875" style="42" customWidth="1"/>
    <col min="7177" max="7177" width="12.5703125" style="42" customWidth="1"/>
    <col min="7178" max="7180" width="12.7109375" style="42" customWidth="1"/>
    <col min="7181" max="7186" width="0" style="42" hidden="1" customWidth="1"/>
    <col min="7187" max="7187" width="12.140625" style="42" customWidth="1"/>
    <col min="7188" max="7188" width="15.140625" style="42" customWidth="1"/>
    <col min="7189" max="7215" width="8" style="42" customWidth="1"/>
    <col min="7216" max="7423" width="8" style="42"/>
    <col min="7424" max="7424" width="19" style="42" customWidth="1"/>
    <col min="7425" max="7425" width="0" style="42" hidden="1" customWidth="1"/>
    <col min="7426" max="7426" width="6" style="42" customWidth="1"/>
    <col min="7427" max="7427" width="42.140625" style="42" customWidth="1"/>
    <col min="7428" max="7428" width="0" style="42" hidden="1" customWidth="1"/>
    <col min="7429" max="7429" width="12.7109375" style="42" customWidth="1"/>
    <col min="7430" max="7430" width="13.5703125" style="42" customWidth="1"/>
    <col min="7431" max="7431" width="14" style="42" customWidth="1"/>
    <col min="7432" max="7432" width="13.85546875" style="42" customWidth="1"/>
    <col min="7433" max="7433" width="12.5703125" style="42" customWidth="1"/>
    <col min="7434" max="7436" width="12.7109375" style="42" customWidth="1"/>
    <col min="7437" max="7442" width="0" style="42" hidden="1" customWidth="1"/>
    <col min="7443" max="7443" width="12.140625" style="42" customWidth="1"/>
    <col min="7444" max="7444" width="15.140625" style="42" customWidth="1"/>
    <col min="7445" max="7471" width="8" style="42" customWidth="1"/>
    <col min="7472" max="7679" width="8" style="42"/>
    <col min="7680" max="7680" width="19" style="42" customWidth="1"/>
    <col min="7681" max="7681" width="0" style="42" hidden="1" customWidth="1"/>
    <col min="7682" max="7682" width="6" style="42" customWidth="1"/>
    <col min="7683" max="7683" width="42.140625" style="42" customWidth="1"/>
    <col min="7684" max="7684" width="0" style="42" hidden="1" customWidth="1"/>
    <col min="7685" max="7685" width="12.7109375" style="42" customWidth="1"/>
    <col min="7686" max="7686" width="13.5703125" style="42" customWidth="1"/>
    <col min="7687" max="7687" width="14" style="42" customWidth="1"/>
    <col min="7688" max="7688" width="13.85546875" style="42" customWidth="1"/>
    <col min="7689" max="7689" width="12.5703125" style="42" customWidth="1"/>
    <col min="7690" max="7692" width="12.7109375" style="42" customWidth="1"/>
    <col min="7693" max="7698" width="0" style="42" hidden="1" customWidth="1"/>
    <col min="7699" max="7699" width="12.140625" style="42" customWidth="1"/>
    <col min="7700" max="7700" width="15.140625" style="42" customWidth="1"/>
    <col min="7701" max="7727" width="8" style="42" customWidth="1"/>
    <col min="7728" max="7935" width="8" style="42"/>
    <col min="7936" max="7936" width="19" style="42" customWidth="1"/>
    <col min="7937" max="7937" width="0" style="42" hidden="1" customWidth="1"/>
    <col min="7938" max="7938" width="6" style="42" customWidth="1"/>
    <col min="7939" max="7939" width="42.140625" style="42" customWidth="1"/>
    <col min="7940" max="7940" width="0" style="42" hidden="1" customWidth="1"/>
    <col min="7941" max="7941" width="12.7109375" style="42" customWidth="1"/>
    <col min="7942" max="7942" width="13.5703125" style="42" customWidth="1"/>
    <col min="7943" max="7943" width="14" style="42" customWidth="1"/>
    <col min="7944" max="7944" width="13.85546875" style="42" customWidth="1"/>
    <col min="7945" max="7945" width="12.5703125" style="42" customWidth="1"/>
    <col min="7946" max="7948" width="12.7109375" style="42" customWidth="1"/>
    <col min="7949" max="7954" width="0" style="42" hidden="1" customWidth="1"/>
    <col min="7955" max="7955" width="12.140625" style="42" customWidth="1"/>
    <col min="7956" max="7956" width="15.140625" style="42" customWidth="1"/>
    <col min="7957" max="7983" width="8" style="42" customWidth="1"/>
    <col min="7984" max="8191" width="8" style="42"/>
    <col min="8192" max="8192" width="19" style="42" customWidth="1"/>
    <col min="8193" max="8193" width="0" style="42" hidden="1" customWidth="1"/>
    <col min="8194" max="8194" width="6" style="42" customWidth="1"/>
    <col min="8195" max="8195" width="42.140625" style="42" customWidth="1"/>
    <col min="8196" max="8196" width="0" style="42" hidden="1" customWidth="1"/>
    <col min="8197" max="8197" width="12.7109375" style="42" customWidth="1"/>
    <col min="8198" max="8198" width="13.5703125" style="42" customWidth="1"/>
    <col min="8199" max="8199" width="14" style="42" customWidth="1"/>
    <col min="8200" max="8200" width="13.85546875" style="42" customWidth="1"/>
    <col min="8201" max="8201" width="12.5703125" style="42" customWidth="1"/>
    <col min="8202" max="8204" width="12.7109375" style="42" customWidth="1"/>
    <col min="8205" max="8210" width="0" style="42" hidden="1" customWidth="1"/>
    <col min="8211" max="8211" width="12.140625" style="42" customWidth="1"/>
    <col min="8212" max="8212" width="15.140625" style="42" customWidth="1"/>
    <col min="8213" max="8239" width="8" style="42" customWidth="1"/>
    <col min="8240" max="8447" width="8" style="42"/>
    <col min="8448" max="8448" width="19" style="42" customWidth="1"/>
    <col min="8449" max="8449" width="0" style="42" hidden="1" customWidth="1"/>
    <col min="8450" max="8450" width="6" style="42" customWidth="1"/>
    <col min="8451" max="8451" width="42.140625" style="42" customWidth="1"/>
    <col min="8452" max="8452" width="0" style="42" hidden="1" customWidth="1"/>
    <col min="8453" max="8453" width="12.7109375" style="42" customWidth="1"/>
    <col min="8454" max="8454" width="13.5703125" style="42" customWidth="1"/>
    <col min="8455" max="8455" width="14" style="42" customWidth="1"/>
    <col min="8456" max="8456" width="13.85546875" style="42" customWidth="1"/>
    <col min="8457" max="8457" width="12.5703125" style="42" customWidth="1"/>
    <col min="8458" max="8460" width="12.7109375" style="42" customWidth="1"/>
    <col min="8461" max="8466" width="0" style="42" hidden="1" customWidth="1"/>
    <col min="8467" max="8467" width="12.140625" style="42" customWidth="1"/>
    <col min="8468" max="8468" width="15.140625" style="42" customWidth="1"/>
    <col min="8469" max="8495" width="8" style="42" customWidth="1"/>
    <col min="8496" max="8703" width="8" style="42"/>
    <col min="8704" max="8704" width="19" style="42" customWidth="1"/>
    <col min="8705" max="8705" width="0" style="42" hidden="1" customWidth="1"/>
    <col min="8706" max="8706" width="6" style="42" customWidth="1"/>
    <col min="8707" max="8707" width="42.140625" style="42" customWidth="1"/>
    <col min="8708" max="8708" width="0" style="42" hidden="1" customWidth="1"/>
    <col min="8709" max="8709" width="12.7109375" style="42" customWidth="1"/>
    <col min="8710" max="8710" width="13.5703125" style="42" customWidth="1"/>
    <col min="8711" max="8711" width="14" style="42" customWidth="1"/>
    <col min="8712" max="8712" width="13.85546875" style="42" customWidth="1"/>
    <col min="8713" max="8713" width="12.5703125" style="42" customWidth="1"/>
    <col min="8714" max="8716" width="12.7109375" style="42" customWidth="1"/>
    <col min="8717" max="8722" width="0" style="42" hidden="1" customWidth="1"/>
    <col min="8723" max="8723" width="12.140625" style="42" customWidth="1"/>
    <col min="8724" max="8724" width="15.140625" style="42" customWidth="1"/>
    <col min="8725" max="8751" width="8" style="42" customWidth="1"/>
    <col min="8752" max="8959" width="8" style="42"/>
    <col min="8960" max="8960" width="19" style="42" customWidth="1"/>
    <col min="8961" max="8961" width="0" style="42" hidden="1" customWidth="1"/>
    <col min="8962" max="8962" width="6" style="42" customWidth="1"/>
    <col min="8963" max="8963" width="42.140625" style="42" customWidth="1"/>
    <col min="8964" max="8964" width="0" style="42" hidden="1" customWidth="1"/>
    <col min="8965" max="8965" width="12.7109375" style="42" customWidth="1"/>
    <col min="8966" max="8966" width="13.5703125" style="42" customWidth="1"/>
    <col min="8967" max="8967" width="14" style="42" customWidth="1"/>
    <col min="8968" max="8968" width="13.85546875" style="42" customWidth="1"/>
    <col min="8969" max="8969" width="12.5703125" style="42" customWidth="1"/>
    <col min="8970" max="8972" width="12.7109375" style="42" customWidth="1"/>
    <col min="8973" max="8978" width="0" style="42" hidden="1" customWidth="1"/>
    <col min="8979" max="8979" width="12.140625" style="42" customWidth="1"/>
    <col min="8980" max="8980" width="15.140625" style="42" customWidth="1"/>
    <col min="8981" max="9007" width="8" style="42" customWidth="1"/>
    <col min="9008" max="9215" width="8" style="42"/>
    <col min="9216" max="9216" width="19" style="42" customWidth="1"/>
    <col min="9217" max="9217" width="0" style="42" hidden="1" customWidth="1"/>
    <col min="9218" max="9218" width="6" style="42" customWidth="1"/>
    <col min="9219" max="9219" width="42.140625" style="42" customWidth="1"/>
    <col min="9220" max="9220" width="0" style="42" hidden="1" customWidth="1"/>
    <col min="9221" max="9221" width="12.7109375" style="42" customWidth="1"/>
    <col min="9222" max="9222" width="13.5703125" style="42" customWidth="1"/>
    <col min="9223" max="9223" width="14" style="42" customWidth="1"/>
    <col min="9224" max="9224" width="13.85546875" style="42" customWidth="1"/>
    <col min="9225" max="9225" width="12.5703125" style="42" customWidth="1"/>
    <col min="9226" max="9228" width="12.7109375" style="42" customWidth="1"/>
    <col min="9229" max="9234" width="0" style="42" hidden="1" customWidth="1"/>
    <col min="9235" max="9235" width="12.140625" style="42" customWidth="1"/>
    <col min="9236" max="9236" width="15.140625" style="42" customWidth="1"/>
    <col min="9237" max="9263" width="8" style="42" customWidth="1"/>
    <col min="9264" max="9471" width="8" style="42"/>
    <col min="9472" max="9472" width="19" style="42" customWidth="1"/>
    <col min="9473" max="9473" width="0" style="42" hidden="1" customWidth="1"/>
    <col min="9474" max="9474" width="6" style="42" customWidth="1"/>
    <col min="9475" max="9475" width="42.140625" style="42" customWidth="1"/>
    <col min="9476" max="9476" width="0" style="42" hidden="1" customWidth="1"/>
    <col min="9477" max="9477" width="12.7109375" style="42" customWidth="1"/>
    <col min="9478" max="9478" width="13.5703125" style="42" customWidth="1"/>
    <col min="9479" max="9479" width="14" style="42" customWidth="1"/>
    <col min="9480" max="9480" width="13.85546875" style="42" customWidth="1"/>
    <col min="9481" max="9481" width="12.5703125" style="42" customWidth="1"/>
    <col min="9482" max="9484" width="12.7109375" style="42" customWidth="1"/>
    <col min="9485" max="9490" width="0" style="42" hidden="1" customWidth="1"/>
    <col min="9491" max="9491" width="12.140625" style="42" customWidth="1"/>
    <col min="9492" max="9492" width="15.140625" style="42" customWidth="1"/>
    <col min="9493" max="9519" width="8" style="42" customWidth="1"/>
    <col min="9520" max="9727" width="8" style="42"/>
    <col min="9728" max="9728" width="19" style="42" customWidth="1"/>
    <col min="9729" max="9729" width="0" style="42" hidden="1" customWidth="1"/>
    <col min="9730" max="9730" width="6" style="42" customWidth="1"/>
    <col min="9731" max="9731" width="42.140625" style="42" customWidth="1"/>
    <col min="9732" max="9732" width="0" style="42" hidden="1" customWidth="1"/>
    <col min="9733" max="9733" width="12.7109375" style="42" customWidth="1"/>
    <col min="9734" max="9734" width="13.5703125" style="42" customWidth="1"/>
    <col min="9735" max="9735" width="14" style="42" customWidth="1"/>
    <col min="9736" max="9736" width="13.85546875" style="42" customWidth="1"/>
    <col min="9737" max="9737" width="12.5703125" style="42" customWidth="1"/>
    <col min="9738" max="9740" width="12.7109375" style="42" customWidth="1"/>
    <col min="9741" max="9746" width="0" style="42" hidden="1" customWidth="1"/>
    <col min="9747" max="9747" width="12.140625" style="42" customWidth="1"/>
    <col min="9748" max="9748" width="15.140625" style="42" customWidth="1"/>
    <col min="9749" max="9775" width="8" style="42" customWidth="1"/>
    <col min="9776" max="9983" width="8" style="42"/>
    <col min="9984" max="9984" width="19" style="42" customWidth="1"/>
    <col min="9985" max="9985" width="0" style="42" hidden="1" customWidth="1"/>
    <col min="9986" max="9986" width="6" style="42" customWidth="1"/>
    <col min="9987" max="9987" width="42.140625" style="42" customWidth="1"/>
    <col min="9988" max="9988" width="0" style="42" hidden="1" customWidth="1"/>
    <col min="9989" max="9989" width="12.7109375" style="42" customWidth="1"/>
    <col min="9990" max="9990" width="13.5703125" style="42" customWidth="1"/>
    <col min="9991" max="9991" width="14" style="42" customWidth="1"/>
    <col min="9992" max="9992" width="13.85546875" style="42" customWidth="1"/>
    <col min="9993" max="9993" width="12.5703125" style="42" customWidth="1"/>
    <col min="9994" max="9996" width="12.7109375" style="42" customWidth="1"/>
    <col min="9997" max="10002" width="0" style="42" hidden="1" customWidth="1"/>
    <col min="10003" max="10003" width="12.140625" style="42" customWidth="1"/>
    <col min="10004" max="10004" width="15.140625" style="42" customWidth="1"/>
    <col min="10005" max="10031" width="8" style="42" customWidth="1"/>
    <col min="10032" max="10239" width="8" style="42"/>
    <col min="10240" max="10240" width="19" style="42" customWidth="1"/>
    <col min="10241" max="10241" width="0" style="42" hidden="1" customWidth="1"/>
    <col min="10242" max="10242" width="6" style="42" customWidth="1"/>
    <col min="10243" max="10243" width="42.140625" style="42" customWidth="1"/>
    <col min="10244" max="10244" width="0" style="42" hidden="1" customWidth="1"/>
    <col min="10245" max="10245" width="12.7109375" style="42" customWidth="1"/>
    <col min="10246" max="10246" width="13.5703125" style="42" customWidth="1"/>
    <col min="10247" max="10247" width="14" style="42" customWidth="1"/>
    <col min="10248" max="10248" width="13.85546875" style="42" customWidth="1"/>
    <col min="10249" max="10249" width="12.5703125" style="42" customWidth="1"/>
    <col min="10250" max="10252" width="12.7109375" style="42" customWidth="1"/>
    <col min="10253" max="10258" width="0" style="42" hidden="1" customWidth="1"/>
    <col min="10259" max="10259" width="12.140625" style="42" customWidth="1"/>
    <col min="10260" max="10260" width="15.140625" style="42" customWidth="1"/>
    <col min="10261" max="10287" width="8" style="42" customWidth="1"/>
    <col min="10288" max="10495" width="8" style="42"/>
    <col min="10496" max="10496" width="19" style="42" customWidth="1"/>
    <col min="10497" max="10497" width="0" style="42" hidden="1" customWidth="1"/>
    <col min="10498" max="10498" width="6" style="42" customWidth="1"/>
    <col min="10499" max="10499" width="42.140625" style="42" customWidth="1"/>
    <col min="10500" max="10500" width="0" style="42" hidden="1" customWidth="1"/>
    <col min="10501" max="10501" width="12.7109375" style="42" customWidth="1"/>
    <col min="10502" max="10502" width="13.5703125" style="42" customWidth="1"/>
    <col min="10503" max="10503" width="14" style="42" customWidth="1"/>
    <col min="10504" max="10504" width="13.85546875" style="42" customWidth="1"/>
    <col min="10505" max="10505" width="12.5703125" style="42" customWidth="1"/>
    <col min="10506" max="10508" width="12.7109375" style="42" customWidth="1"/>
    <col min="10509" max="10514" width="0" style="42" hidden="1" customWidth="1"/>
    <col min="10515" max="10515" width="12.140625" style="42" customWidth="1"/>
    <col min="10516" max="10516" width="15.140625" style="42" customWidth="1"/>
    <col min="10517" max="10543" width="8" style="42" customWidth="1"/>
    <col min="10544" max="10751" width="8" style="42"/>
    <col min="10752" max="10752" width="19" style="42" customWidth="1"/>
    <col min="10753" max="10753" width="0" style="42" hidden="1" customWidth="1"/>
    <col min="10754" max="10754" width="6" style="42" customWidth="1"/>
    <col min="10755" max="10755" width="42.140625" style="42" customWidth="1"/>
    <col min="10756" max="10756" width="0" style="42" hidden="1" customWidth="1"/>
    <col min="10757" max="10757" width="12.7109375" style="42" customWidth="1"/>
    <col min="10758" max="10758" width="13.5703125" style="42" customWidth="1"/>
    <col min="10759" max="10759" width="14" style="42" customWidth="1"/>
    <col min="10760" max="10760" width="13.85546875" style="42" customWidth="1"/>
    <col min="10761" max="10761" width="12.5703125" style="42" customWidth="1"/>
    <col min="10762" max="10764" width="12.7109375" style="42" customWidth="1"/>
    <col min="10765" max="10770" width="0" style="42" hidden="1" customWidth="1"/>
    <col min="10771" max="10771" width="12.140625" style="42" customWidth="1"/>
    <col min="10772" max="10772" width="15.140625" style="42" customWidth="1"/>
    <col min="10773" max="10799" width="8" style="42" customWidth="1"/>
    <col min="10800" max="11007" width="8" style="42"/>
    <col min="11008" max="11008" width="19" style="42" customWidth="1"/>
    <col min="11009" max="11009" width="0" style="42" hidden="1" customWidth="1"/>
    <col min="11010" max="11010" width="6" style="42" customWidth="1"/>
    <col min="11011" max="11011" width="42.140625" style="42" customWidth="1"/>
    <col min="11012" max="11012" width="0" style="42" hidden="1" customWidth="1"/>
    <col min="11013" max="11013" width="12.7109375" style="42" customWidth="1"/>
    <col min="11014" max="11014" width="13.5703125" style="42" customWidth="1"/>
    <col min="11015" max="11015" width="14" style="42" customWidth="1"/>
    <col min="11016" max="11016" width="13.85546875" style="42" customWidth="1"/>
    <col min="11017" max="11017" width="12.5703125" style="42" customWidth="1"/>
    <col min="11018" max="11020" width="12.7109375" style="42" customWidth="1"/>
    <col min="11021" max="11026" width="0" style="42" hidden="1" customWidth="1"/>
    <col min="11027" max="11027" width="12.140625" style="42" customWidth="1"/>
    <col min="11028" max="11028" width="15.140625" style="42" customWidth="1"/>
    <col min="11029" max="11055" width="8" style="42" customWidth="1"/>
    <col min="11056" max="11263" width="8" style="42"/>
    <col min="11264" max="11264" width="19" style="42" customWidth="1"/>
    <col min="11265" max="11265" width="0" style="42" hidden="1" customWidth="1"/>
    <col min="11266" max="11266" width="6" style="42" customWidth="1"/>
    <col min="11267" max="11267" width="42.140625" style="42" customWidth="1"/>
    <col min="11268" max="11268" width="0" style="42" hidden="1" customWidth="1"/>
    <col min="11269" max="11269" width="12.7109375" style="42" customWidth="1"/>
    <col min="11270" max="11270" width="13.5703125" style="42" customWidth="1"/>
    <col min="11271" max="11271" width="14" style="42" customWidth="1"/>
    <col min="11272" max="11272" width="13.85546875" style="42" customWidth="1"/>
    <col min="11273" max="11273" width="12.5703125" style="42" customWidth="1"/>
    <col min="11274" max="11276" width="12.7109375" style="42" customWidth="1"/>
    <col min="11277" max="11282" width="0" style="42" hidden="1" customWidth="1"/>
    <col min="11283" max="11283" width="12.140625" style="42" customWidth="1"/>
    <col min="11284" max="11284" width="15.140625" style="42" customWidth="1"/>
    <col min="11285" max="11311" width="8" style="42" customWidth="1"/>
    <col min="11312" max="11519" width="8" style="42"/>
    <col min="11520" max="11520" width="19" style="42" customWidth="1"/>
    <col min="11521" max="11521" width="0" style="42" hidden="1" customWidth="1"/>
    <col min="11522" max="11522" width="6" style="42" customWidth="1"/>
    <col min="11523" max="11523" width="42.140625" style="42" customWidth="1"/>
    <col min="11524" max="11524" width="0" style="42" hidden="1" customWidth="1"/>
    <col min="11525" max="11525" width="12.7109375" style="42" customWidth="1"/>
    <col min="11526" max="11526" width="13.5703125" style="42" customWidth="1"/>
    <col min="11527" max="11527" width="14" style="42" customWidth="1"/>
    <col min="11528" max="11528" width="13.85546875" style="42" customWidth="1"/>
    <col min="11529" max="11529" width="12.5703125" style="42" customWidth="1"/>
    <col min="11530" max="11532" width="12.7109375" style="42" customWidth="1"/>
    <col min="11533" max="11538" width="0" style="42" hidden="1" customWidth="1"/>
    <col min="11539" max="11539" width="12.140625" style="42" customWidth="1"/>
    <col min="11540" max="11540" width="15.140625" style="42" customWidth="1"/>
    <col min="11541" max="11567" width="8" style="42" customWidth="1"/>
    <col min="11568" max="11775" width="8" style="42"/>
    <col min="11776" max="11776" width="19" style="42" customWidth="1"/>
    <col min="11777" max="11777" width="0" style="42" hidden="1" customWidth="1"/>
    <col min="11778" max="11778" width="6" style="42" customWidth="1"/>
    <col min="11779" max="11779" width="42.140625" style="42" customWidth="1"/>
    <col min="11780" max="11780" width="0" style="42" hidden="1" customWidth="1"/>
    <col min="11781" max="11781" width="12.7109375" style="42" customWidth="1"/>
    <col min="11782" max="11782" width="13.5703125" style="42" customWidth="1"/>
    <col min="11783" max="11783" width="14" style="42" customWidth="1"/>
    <col min="11784" max="11784" width="13.85546875" style="42" customWidth="1"/>
    <col min="11785" max="11785" width="12.5703125" style="42" customWidth="1"/>
    <col min="11786" max="11788" width="12.7109375" style="42" customWidth="1"/>
    <col min="11789" max="11794" width="0" style="42" hidden="1" customWidth="1"/>
    <col min="11795" max="11795" width="12.140625" style="42" customWidth="1"/>
    <col min="11796" max="11796" width="15.140625" style="42" customWidth="1"/>
    <col min="11797" max="11823" width="8" style="42" customWidth="1"/>
    <col min="11824" max="12031" width="8" style="42"/>
    <col min="12032" max="12032" width="19" style="42" customWidth="1"/>
    <col min="12033" max="12033" width="0" style="42" hidden="1" customWidth="1"/>
    <col min="12034" max="12034" width="6" style="42" customWidth="1"/>
    <col min="12035" max="12035" width="42.140625" style="42" customWidth="1"/>
    <col min="12036" max="12036" width="0" style="42" hidden="1" customWidth="1"/>
    <col min="12037" max="12037" width="12.7109375" style="42" customWidth="1"/>
    <col min="12038" max="12038" width="13.5703125" style="42" customWidth="1"/>
    <col min="12039" max="12039" width="14" style="42" customWidth="1"/>
    <col min="12040" max="12040" width="13.85546875" style="42" customWidth="1"/>
    <col min="12041" max="12041" width="12.5703125" style="42" customWidth="1"/>
    <col min="12042" max="12044" width="12.7109375" style="42" customWidth="1"/>
    <col min="12045" max="12050" width="0" style="42" hidden="1" customWidth="1"/>
    <col min="12051" max="12051" width="12.140625" style="42" customWidth="1"/>
    <col min="12052" max="12052" width="15.140625" style="42" customWidth="1"/>
    <col min="12053" max="12079" width="8" style="42" customWidth="1"/>
    <col min="12080" max="12287" width="8" style="42"/>
    <col min="12288" max="12288" width="19" style="42" customWidth="1"/>
    <col min="12289" max="12289" width="0" style="42" hidden="1" customWidth="1"/>
    <col min="12290" max="12290" width="6" style="42" customWidth="1"/>
    <col min="12291" max="12291" width="42.140625" style="42" customWidth="1"/>
    <col min="12292" max="12292" width="0" style="42" hidden="1" customWidth="1"/>
    <col min="12293" max="12293" width="12.7109375" style="42" customWidth="1"/>
    <col min="12294" max="12294" width="13.5703125" style="42" customWidth="1"/>
    <col min="12295" max="12295" width="14" style="42" customWidth="1"/>
    <col min="12296" max="12296" width="13.85546875" style="42" customWidth="1"/>
    <col min="12297" max="12297" width="12.5703125" style="42" customWidth="1"/>
    <col min="12298" max="12300" width="12.7109375" style="42" customWidth="1"/>
    <col min="12301" max="12306" width="0" style="42" hidden="1" customWidth="1"/>
    <col min="12307" max="12307" width="12.140625" style="42" customWidth="1"/>
    <col min="12308" max="12308" width="15.140625" style="42" customWidth="1"/>
    <col min="12309" max="12335" width="8" style="42" customWidth="1"/>
    <col min="12336" max="12543" width="8" style="42"/>
    <col min="12544" max="12544" width="19" style="42" customWidth="1"/>
    <col min="12545" max="12545" width="0" style="42" hidden="1" customWidth="1"/>
    <col min="12546" max="12546" width="6" style="42" customWidth="1"/>
    <col min="12547" max="12547" width="42.140625" style="42" customWidth="1"/>
    <col min="12548" max="12548" width="0" style="42" hidden="1" customWidth="1"/>
    <col min="12549" max="12549" width="12.7109375" style="42" customWidth="1"/>
    <col min="12550" max="12550" width="13.5703125" style="42" customWidth="1"/>
    <col min="12551" max="12551" width="14" style="42" customWidth="1"/>
    <col min="12552" max="12552" width="13.85546875" style="42" customWidth="1"/>
    <col min="12553" max="12553" width="12.5703125" style="42" customWidth="1"/>
    <col min="12554" max="12556" width="12.7109375" style="42" customWidth="1"/>
    <col min="12557" max="12562" width="0" style="42" hidden="1" customWidth="1"/>
    <col min="12563" max="12563" width="12.140625" style="42" customWidth="1"/>
    <col min="12564" max="12564" width="15.140625" style="42" customWidth="1"/>
    <col min="12565" max="12591" width="8" style="42" customWidth="1"/>
    <col min="12592" max="12799" width="8" style="42"/>
    <col min="12800" max="12800" width="19" style="42" customWidth="1"/>
    <col min="12801" max="12801" width="0" style="42" hidden="1" customWidth="1"/>
    <col min="12802" max="12802" width="6" style="42" customWidth="1"/>
    <col min="12803" max="12803" width="42.140625" style="42" customWidth="1"/>
    <col min="12804" max="12804" width="0" style="42" hidden="1" customWidth="1"/>
    <col min="12805" max="12805" width="12.7109375" style="42" customWidth="1"/>
    <col min="12806" max="12806" width="13.5703125" style="42" customWidth="1"/>
    <col min="12807" max="12807" width="14" style="42" customWidth="1"/>
    <col min="12808" max="12808" width="13.85546875" style="42" customWidth="1"/>
    <col min="12809" max="12809" width="12.5703125" style="42" customWidth="1"/>
    <col min="12810" max="12812" width="12.7109375" style="42" customWidth="1"/>
    <col min="12813" max="12818" width="0" style="42" hidden="1" customWidth="1"/>
    <col min="12819" max="12819" width="12.140625" style="42" customWidth="1"/>
    <col min="12820" max="12820" width="15.140625" style="42" customWidth="1"/>
    <col min="12821" max="12847" width="8" style="42" customWidth="1"/>
    <col min="12848" max="13055" width="8" style="42"/>
    <col min="13056" max="13056" width="19" style="42" customWidth="1"/>
    <col min="13057" max="13057" width="0" style="42" hidden="1" customWidth="1"/>
    <col min="13058" max="13058" width="6" style="42" customWidth="1"/>
    <col min="13059" max="13059" width="42.140625" style="42" customWidth="1"/>
    <col min="13060" max="13060" width="0" style="42" hidden="1" customWidth="1"/>
    <col min="13061" max="13061" width="12.7109375" style="42" customWidth="1"/>
    <col min="13062" max="13062" width="13.5703125" style="42" customWidth="1"/>
    <col min="13063" max="13063" width="14" style="42" customWidth="1"/>
    <col min="13064" max="13064" width="13.85546875" style="42" customWidth="1"/>
    <col min="13065" max="13065" width="12.5703125" style="42" customWidth="1"/>
    <col min="13066" max="13068" width="12.7109375" style="42" customWidth="1"/>
    <col min="13069" max="13074" width="0" style="42" hidden="1" customWidth="1"/>
    <col min="13075" max="13075" width="12.140625" style="42" customWidth="1"/>
    <col min="13076" max="13076" width="15.140625" style="42" customWidth="1"/>
    <col min="13077" max="13103" width="8" style="42" customWidth="1"/>
    <col min="13104" max="13311" width="8" style="42"/>
    <col min="13312" max="13312" width="19" style="42" customWidth="1"/>
    <col min="13313" max="13313" width="0" style="42" hidden="1" customWidth="1"/>
    <col min="13314" max="13314" width="6" style="42" customWidth="1"/>
    <col min="13315" max="13315" width="42.140625" style="42" customWidth="1"/>
    <col min="13316" max="13316" width="0" style="42" hidden="1" customWidth="1"/>
    <col min="13317" max="13317" width="12.7109375" style="42" customWidth="1"/>
    <col min="13318" max="13318" width="13.5703125" style="42" customWidth="1"/>
    <col min="13319" max="13319" width="14" style="42" customWidth="1"/>
    <col min="13320" max="13320" width="13.85546875" style="42" customWidth="1"/>
    <col min="13321" max="13321" width="12.5703125" style="42" customWidth="1"/>
    <col min="13322" max="13324" width="12.7109375" style="42" customWidth="1"/>
    <col min="13325" max="13330" width="0" style="42" hidden="1" customWidth="1"/>
    <col min="13331" max="13331" width="12.140625" style="42" customWidth="1"/>
    <col min="13332" max="13332" width="15.140625" style="42" customWidth="1"/>
    <col min="13333" max="13359" width="8" style="42" customWidth="1"/>
    <col min="13360" max="13567" width="8" style="42"/>
    <col min="13568" max="13568" width="19" style="42" customWidth="1"/>
    <col min="13569" max="13569" width="0" style="42" hidden="1" customWidth="1"/>
    <col min="13570" max="13570" width="6" style="42" customWidth="1"/>
    <col min="13571" max="13571" width="42.140625" style="42" customWidth="1"/>
    <col min="13572" max="13572" width="0" style="42" hidden="1" customWidth="1"/>
    <col min="13573" max="13573" width="12.7109375" style="42" customWidth="1"/>
    <col min="13574" max="13574" width="13.5703125" style="42" customWidth="1"/>
    <col min="13575" max="13575" width="14" style="42" customWidth="1"/>
    <col min="13576" max="13576" width="13.85546875" style="42" customWidth="1"/>
    <col min="13577" max="13577" width="12.5703125" style="42" customWidth="1"/>
    <col min="13578" max="13580" width="12.7109375" style="42" customWidth="1"/>
    <col min="13581" max="13586" width="0" style="42" hidden="1" customWidth="1"/>
    <col min="13587" max="13587" width="12.140625" style="42" customWidth="1"/>
    <col min="13588" max="13588" width="15.140625" style="42" customWidth="1"/>
    <col min="13589" max="13615" width="8" style="42" customWidth="1"/>
    <col min="13616" max="13823" width="8" style="42"/>
    <col min="13824" max="13824" width="19" style="42" customWidth="1"/>
    <col min="13825" max="13825" width="0" style="42" hidden="1" customWidth="1"/>
    <col min="13826" max="13826" width="6" style="42" customWidth="1"/>
    <col min="13827" max="13827" width="42.140625" style="42" customWidth="1"/>
    <col min="13828" max="13828" width="0" style="42" hidden="1" customWidth="1"/>
    <col min="13829" max="13829" width="12.7109375" style="42" customWidth="1"/>
    <col min="13830" max="13830" width="13.5703125" style="42" customWidth="1"/>
    <col min="13831" max="13831" width="14" style="42" customWidth="1"/>
    <col min="13832" max="13832" width="13.85546875" style="42" customWidth="1"/>
    <col min="13833" max="13833" width="12.5703125" style="42" customWidth="1"/>
    <col min="13834" max="13836" width="12.7109375" style="42" customWidth="1"/>
    <col min="13837" max="13842" width="0" style="42" hidden="1" customWidth="1"/>
    <col min="13843" max="13843" width="12.140625" style="42" customWidth="1"/>
    <col min="13844" max="13844" width="15.140625" style="42" customWidth="1"/>
    <col min="13845" max="13871" width="8" style="42" customWidth="1"/>
    <col min="13872" max="14079" width="8" style="42"/>
    <col min="14080" max="14080" width="19" style="42" customWidth="1"/>
    <col min="14081" max="14081" width="0" style="42" hidden="1" customWidth="1"/>
    <col min="14082" max="14082" width="6" style="42" customWidth="1"/>
    <col min="14083" max="14083" width="42.140625" style="42" customWidth="1"/>
    <col min="14084" max="14084" width="0" style="42" hidden="1" customWidth="1"/>
    <col min="14085" max="14085" width="12.7109375" style="42" customWidth="1"/>
    <col min="14086" max="14086" width="13.5703125" style="42" customWidth="1"/>
    <col min="14087" max="14087" width="14" style="42" customWidth="1"/>
    <col min="14088" max="14088" width="13.85546875" style="42" customWidth="1"/>
    <col min="14089" max="14089" width="12.5703125" style="42" customWidth="1"/>
    <col min="14090" max="14092" width="12.7109375" style="42" customWidth="1"/>
    <col min="14093" max="14098" width="0" style="42" hidden="1" customWidth="1"/>
    <col min="14099" max="14099" width="12.140625" style="42" customWidth="1"/>
    <col min="14100" max="14100" width="15.140625" style="42" customWidth="1"/>
    <col min="14101" max="14127" width="8" style="42" customWidth="1"/>
    <col min="14128" max="14335" width="8" style="42"/>
    <col min="14336" max="14336" width="19" style="42" customWidth="1"/>
    <col min="14337" max="14337" width="0" style="42" hidden="1" customWidth="1"/>
    <col min="14338" max="14338" width="6" style="42" customWidth="1"/>
    <col min="14339" max="14339" width="42.140625" style="42" customWidth="1"/>
    <col min="14340" max="14340" width="0" style="42" hidden="1" customWidth="1"/>
    <col min="14341" max="14341" width="12.7109375" style="42" customWidth="1"/>
    <col min="14342" max="14342" width="13.5703125" style="42" customWidth="1"/>
    <col min="14343" max="14343" width="14" style="42" customWidth="1"/>
    <col min="14344" max="14344" width="13.85546875" style="42" customWidth="1"/>
    <col min="14345" max="14345" width="12.5703125" style="42" customWidth="1"/>
    <col min="14346" max="14348" width="12.7109375" style="42" customWidth="1"/>
    <col min="14349" max="14354" width="0" style="42" hidden="1" customWidth="1"/>
    <col min="14355" max="14355" width="12.140625" style="42" customWidth="1"/>
    <col min="14356" max="14356" width="15.140625" style="42" customWidth="1"/>
    <col min="14357" max="14383" width="8" style="42" customWidth="1"/>
    <col min="14384" max="14591" width="8" style="42"/>
    <col min="14592" max="14592" width="19" style="42" customWidth="1"/>
    <col min="14593" max="14593" width="0" style="42" hidden="1" customWidth="1"/>
    <col min="14594" max="14594" width="6" style="42" customWidth="1"/>
    <col min="14595" max="14595" width="42.140625" style="42" customWidth="1"/>
    <col min="14596" max="14596" width="0" style="42" hidden="1" customWidth="1"/>
    <col min="14597" max="14597" width="12.7109375" style="42" customWidth="1"/>
    <col min="14598" max="14598" width="13.5703125" style="42" customWidth="1"/>
    <col min="14599" max="14599" width="14" style="42" customWidth="1"/>
    <col min="14600" max="14600" width="13.85546875" style="42" customWidth="1"/>
    <col min="14601" max="14601" width="12.5703125" style="42" customWidth="1"/>
    <col min="14602" max="14604" width="12.7109375" style="42" customWidth="1"/>
    <col min="14605" max="14610" width="0" style="42" hidden="1" customWidth="1"/>
    <col min="14611" max="14611" width="12.140625" style="42" customWidth="1"/>
    <col min="14612" max="14612" width="15.140625" style="42" customWidth="1"/>
    <col min="14613" max="14639" width="8" style="42" customWidth="1"/>
    <col min="14640" max="14847" width="8" style="42"/>
    <col min="14848" max="14848" width="19" style="42" customWidth="1"/>
    <col min="14849" max="14849" width="0" style="42" hidden="1" customWidth="1"/>
    <col min="14850" max="14850" width="6" style="42" customWidth="1"/>
    <col min="14851" max="14851" width="42.140625" style="42" customWidth="1"/>
    <col min="14852" max="14852" width="0" style="42" hidden="1" customWidth="1"/>
    <col min="14853" max="14853" width="12.7109375" style="42" customWidth="1"/>
    <col min="14854" max="14854" width="13.5703125" style="42" customWidth="1"/>
    <col min="14855" max="14855" width="14" style="42" customWidth="1"/>
    <col min="14856" max="14856" width="13.85546875" style="42" customWidth="1"/>
    <col min="14857" max="14857" width="12.5703125" style="42" customWidth="1"/>
    <col min="14858" max="14860" width="12.7109375" style="42" customWidth="1"/>
    <col min="14861" max="14866" width="0" style="42" hidden="1" customWidth="1"/>
    <col min="14867" max="14867" width="12.140625" style="42" customWidth="1"/>
    <col min="14868" max="14868" width="15.140625" style="42" customWidth="1"/>
    <col min="14869" max="14895" width="8" style="42" customWidth="1"/>
    <col min="14896" max="15103" width="8" style="42"/>
    <col min="15104" max="15104" width="19" style="42" customWidth="1"/>
    <col min="15105" max="15105" width="0" style="42" hidden="1" customWidth="1"/>
    <col min="15106" max="15106" width="6" style="42" customWidth="1"/>
    <col min="15107" max="15107" width="42.140625" style="42" customWidth="1"/>
    <col min="15108" max="15108" width="0" style="42" hidden="1" customWidth="1"/>
    <col min="15109" max="15109" width="12.7109375" style="42" customWidth="1"/>
    <col min="15110" max="15110" width="13.5703125" style="42" customWidth="1"/>
    <col min="15111" max="15111" width="14" style="42" customWidth="1"/>
    <col min="15112" max="15112" width="13.85546875" style="42" customWidth="1"/>
    <col min="15113" max="15113" width="12.5703125" style="42" customWidth="1"/>
    <col min="15114" max="15116" width="12.7109375" style="42" customWidth="1"/>
    <col min="15117" max="15122" width="0" style="42" hidden="1" customWidth="1"/>
    <col min="15123" max="15123" width="12.140625" style="42" customWidth="1"/>
    <col min="15124" max="15124" width="15.140625" style="42" customWidth="1"/>
    <col min="15125" max="15151" width="8" style="42" customWidth="1"/>
    <col min="15152" max="15359" width="8" style="42"/>
    <col min="15360" max="15360" width="19" style="42" customWidth="1"/>
    <col min="15361" max="15361" width="0" style="42" hidden="1" customWidth="1"/>
    <col min="15362" max="15362" width="6" style="42" customWidth="1"/>
    <col min="15363" max="15363" width="42.140625" style="42" customWidth="1"/>
    <col min="15364" max="15364" width="0" style="42" hidden="1" customWidth="1"/>
    <col min="15365" max="15365" width="12.7109375" style="42" customWidth="1"/>
    <col min="15366" max="15366" width="13.5703125" style="42" customWidth="1"/>
    <col min="15367" max="15367" width="14" style="42" customWidth="1"/>
    <col min="15368" max="15368" width="13.85546875" style="42" customWidth="1"/>
    <col min="15369" max="15369" width="12.5703125" style="42" customWidth="1"/>
    <col min="15370" max="15372" width="12.7109375" style="42" customWidth="1"/>
    <col min="15373" max="15378" width="0" style="42" hidden="1" customWidth="1"/>
    <col min="15379" max="15379" width="12.140625" style="42" customWidth="1"/>
    <col min="15380" max="15380" width="15.140625" style="42" customWidth="1"/>
    <col min="15381" max="15407" width="8" style="42" customWidth="1"/>
    <col min="15408" max="15615" width="8" style="42"/>
    <col min="15616" max="15616" width="19" style="42" customWidth="1"/>
    <col min="15617" max="15617" width="0" style="42" hidden="1" customWidth="1"/>
    <col min="15618" max="15618" width="6" style="42" customWidth="1"/>
    <col min="15619" max="15619" width="42.140625" style="42" customWidth="1"/>
    <col min="15620" max="15620" width="0" style="42" hidden="1" customWidth="1"/>
    <col min="15621" max="15621" width="12.7109375" style="42" customWidth="1"/>
    <col min="15622" max="15622" width="13.5703125" style="42" customWidth="1"/>
    <col min="15623" max="15623" width="14" style="42" customWidth="1"/>
    <col min="15624" max="15624" width="13.85546875" style="42" customWidth="1"/>
    <col min="15625" max="15625" width="12.5703125" style="42" customWidth="1"/>
    <col min="15626" max="15628" width="12.7109375" style="42" customWidth="1"/>
    <col min="15629" max="15634" width="0" style="42" hidden="1" customWidth="1"/>
    <col min="15635" max="15635" width="12.140625" style="42" customWidth="1"/>
    <col min="15636" max="15636" width="15.140625" style="42" customWidth="1"/>
    <col min="15637" max="15663" width="8" style="42" customWidth="1"/>
    <col min="15664" max="15871" width="8" style="42"/>
    <col min="15872" max="15872" width="19" style="42" customWidth="1"/>
    <col min="15873" max="15873" width="0" style="42" hidden="1" customWidth="1"/>
    <col min="15874" max="15874" width="6" style="42" customWidth="1"/>
    <col min="15875" max="15875" width="42.140625" style="42" customWidth="1"/>
    <col min="15876" max="15876" width="0" style="42" hidden="1" customWidth="1"/>
    <col min="15877" max="15877" width="12.7109375" style="42" customWidth="1"/>
    <col min="15878" max="15878" width="13.5703125" style="42" customWidth="1"/>
    <col min="15879" max="15879" width="14" style="42" customWidth="1"/>
    <col min="15880" max="15880" width="13.85546875" style="42" customWidth="1"/>
    <col min="15881" max="15881" width="12.5703125" style="42" customWidth="1"/>
    <col min="15882" max="15884" width="12.7109375" style="42" customWidth="1"/>
    <col min="15885" max="15890" width="0" style="42" hidden="1" customWidth="1"/>
    <col min="15891" max="15891" width="12.140625" style="42" customWidth="1"/>
    <col min="15892" max="15892" width="15.140625" style="42" customWidth="1"/>
    <col min="15893" max="15919" width="8" style="42" customWidth="1"/>
    <col min="15920" max="16127" width="8" style="42"/>
    <col min="16128" max="16128" width="19" style="42" customWidth="1"/>
    <col min="16129" max="16129" width="0" style="42" hidden="1" customWidth="1"/>
    <col min="16130" max="16130" width="6" style="42" customWidth="1"/>
    <col min="16131" max="16131" width="42.140625" style="42" customWidth="1"/>
    <col min="16132" max="16132" width="0" style="42" hidden="1" customWidth="1"/>
    <col min="16133" max="16133" width="12.7109375" style="42" customWidth="1"/>
    <col min="16134" max="16134" width="13.5703125" style="42" customWidth="1"/>
    <col min="16135" max="16135" width="14" style="42" customWidth="1"/>
    <col min="16136" max="16136" width="13.85546875" style="42" customWidth="1"/>
    <col min="16137" max="16137" width="12.5703125" style="42" customWidth="1"/>
    <col min="16138" max="16140" width="12.7109375" style="42" customWidth="1"/>
    <col min="16141" max="16146" width="0" style="42" hidden="1" customWidth="1"/>
    <col min="16147" max="16147" width="12.140625" style="42" customWidth="1"/>
    <col min="16148" max="16148" width="15.140625" style="42" customWidth="1"/>
    <col min="16149" max="16175" width="8" style="42" customWidth="1"/>
    <col min="16176" max="16384" width="8" style="42"/>
  </cols>
  <sheetData>
    <row r="1" spans="1:47" customFormat="1" ht="15.75" customHeight="1" x14ac:dyDescent="0.25">
      <c r="A1" s="19"/>
      <c r="B1" s="19"/>
      <c r="C1" s="166"/>
      <c r="D1" s="167"/>
      <c r="E1" s="17"/>
      <c r="F1" s="45"/>
      <c r="G1" s="45"/>
      <c r="H1" s="45"/>
      <c r="I1" s="45"/>
      <c r="L1" s="362" t="s">
        <v>398</v>
      </c>
      <c r="M1" s="356"/>
      <c r="N1" s="356"/>
    </row>
    <row r="2" spans="1:47" customFormat="1" ht="61.5" customHeight="1" x14ac:dyDescent="0.2">
      <c r="A2" s="19"/>
      <c r="B2" s="19"/>
      <c r="C2" s="17"/>
      <c r="D2" s="17"/>
      <c r="E2" s="17"/>
      <c r="F2" s="45"/>
      <c r="G2" s="45"/>
      <c r="H2" s="45"/>
      <c r="I2" s="45"/>
      <c r="L2" s="362" t="s">
        <v>560</v>
      </c>
      <c r="M2" s="378"/>
      <c r="N2" s="378"/>
      <c r="O2" s="378"/>
    </row>
    <row r="3" spans="1:47" customFormat="1" x14ac:dyDescent="0.2">
      <c r="A3" s="19"/>
      <c r="B3" s="19"/>
      <c r="C3" s="17"/>
      <c r="D3" s="17"/>
      <c r="E3" s="17"/>
      <c r="F3" s="45"/>
      <c r="G3" s="45"/>
      <c r="H3" s="45"/>
      <c r="I3" s="45"/>
      <c r="L3" s="168"/>
      <c r="M3" s="167"/>
      <c r="N3" s="167"/>
      <c r="O3" s="167"/>
    </row>
    <row r="4" spans="1:47" s="35" customFormat="1" ht="19.5" customHeight="1" x14ac:dyDescent="0.2">
      <c r="B4" s="37"/>
      <c r="C4" s="383" t="s">
        <v>370</v>
      </c>
      <c r="D4" s="383"/>
      <c r="E4" s="383"/>
      <c r="F4" s="383"/>
      <c r="G4" s="383"/>
      <c r="H4" s="383"/>
      <c r="I4" s="383"/>
      <c r="J4" s="383"/>
      <c r="K4" s="383"/>
      <c r="L4" s="383"/>
      <c r="M4" s="356"/>
      <c r="N4" s="356"/>
      <c r="O4" s="356"/>
    </row>
    <row r="5" spans="1:47" s="35" customFormat="1" ht="16.5" thickBot="1" x14ac:dyDescent="0.3">
      <c r="C5" s="39"/>
      <c r="D5" s="40"/>
      <c r="E5" s="41"/>
      <c r="F5" s="41"/>
      <c r="G5" s="41"/>
      <c r="H5" s="41"/>
      <c r="I5" s="41"/>
      <c r="J5" s="41"/>
      <c r="K5" s="41"/>
      <c r="L5" s="73"/>
      <c r="M5" s="38"/>
      <c r="N5" s="38"/>
      <c r="O5" s="38" t="s">
        <v>35</v>
      </c>
    </row>
    <row r="6" spans="1:47" s="81" customFormat="1" ht="22.5" customHeight="1" thickBot="1" x14ac:dyDescent="0.35">
      <c r="A6" s="86"/>
      <c r="B6" s="79"/>
      <c r="C6" s="389" t="s">
        <v>23</v>
      </c>
      <c r="D6" s="384" t="s">
        <v>53</v>
      </c>
      <c r="E6" s="386" t="s">
        <v>37</v>
      </c>
      <c r="F6" s="388" t="s">
        <v>285</v>
      </c>
      <c r="G6" s="388"/>
      <c r="H6" s="388"/>
      <c r="I6" s="388"/>
      <c r="J6" s="388"/>
      <c r="K6" s="388"/>
      <c r="L6" s="388"/>
      <c r="M6" s="388"/>
      <c r="N6" s="388"/>
      <c r="O6" s="388"/>
      <c r="P6" s="207"/>
      <c r="Q6" s="80"/>
      <c r="R6" s="7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77" customFormat="1" ht="37.5" customHeight="1" thickBot="1" x14ac:dyDescent="0.3">
      <c r="A7" s="88"/>
      <c r="B7" s="74"/>
      <c r="C7" s="390"/>
      <c r="D7" s="385"/>
      <c r="E7" s="387"/>
      <c r="F7" s="209" t="s">
        <v>286</v>
      </c>
      <c r="G7" s="209" t="s">
        <v>287</v>
      </c>
      <c r="H7" s="209" t="s">
        <v>288</v>
      </c>
      <c r="I7" s="209" t="s">
        <v>289</v>
      </c>
      <c r="J7" s="209" t="s">
        <v>290</v>
      </c>
      <c r="K7" s="209" t="s">
        <v>291</v>
      </c>
      <c r="L7" s="209" t="s">
        <v>292</v>
      </c>
      <c r="M7" s="209" t="s">
        <v>293</v>
      </c>
      <c r="N7" s="209" t="s">
        <v>294</v>
      </c>
      <c r="O7" s="209" t="s">
        <v>295</v>
      </c>
      <c r="P7" s="208"/>
      <c r="Q7" s="75"/>
      <c r="R7" s="74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s="181" customFormat="1" ht="11.25" x14ac:dyDescent="0.2">
      <c r="A8" s="177"/>
      <c r="B8" s="178"/>
      <c r="C8" s="179" t="s">
        <v>54</v>
      </c>
      <c r="D8" s="180">
        <f>C8+1</f>
        <v>2</v>
      </c>
      <c r="E8" s="180" t="s">
        <v>25</v>
      </c>
      <c r="F8" s="180">
        <f t="shared" ref="F8:O8" si="0">E8+1</f>
        <v>4</v>
      </c>
      <c r="G8" s="180">
        <f t="shared" si="0"/>
        <v>5</v>
      </c>
      <c r="H8" s="180">
        <f t="shared" si="0"/>
        <v>6</v>
      </c>
      <c r="I8" s="180">
        <f t="shared" si="0"/>
        <v>7</v>
      </c>
      <c r="J8" s="180">
        <f t="shared" si="0"/>
        <v>8</v>
      </c>
      <c r="K8" s="180">
        <f t="shared" si="0"/>
        <v>9</v>
      </c>
      <c r="L8" s="180">
        <f t="shared" si="0"/>
        <v>10</v>
      </c>
      <c r="M8" s="180">
        <f t="shared" si="0"/>
        <v>11</v>
      </c>
      <c r="N8" s="180">
        <f t="shared" si="0"/>
        <v>12</v>
      </c>
      <c r="O8" s="180">
        <f t="shared" si="0"/>
        <v>13</v>
      </c>
      <c r="R8" s="178"/>
      <c r="S8" s="182"/>
      <c r="T8" s="182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95" customFormat="1" ht="15.75" x14ac:dyDescent="0.25">
      <c r="A9" s="92"/>
      <c r="B9" s="93"/>
      <c r="C9" s="222" t="s">
        <v>54</v>
      </c>
      <c r="D9" s="162" t="s">
        <v>351</v>
      </c>
      <c r="E9" s="164">
        <f t="shared" ref="E9:E30" si="1">SUM(F9:O9)</f>
        <v>517.19999999999993</v>
      </c>
      <c r="F9" s="164">
        <f>F10</f>
        <v>63.5</v>
      </c>
      <c r="G9" s="164">
        <f t="shared" ref="G9:O10" si="2">G10</f>
        <v>87.2</v>
      </c>
      <c r="H9" s="164">
        <f t="shared" si="2"/>
        <v>47.9</v>
      </c>
      <c r="I9" s="164">
        <f t="shared" si="2"/>
        <v>63.5</v>
      </c>
      <c r="J9" s="164">
        <f t="shared" si="2"/>
        <v>47.9</v>
      </c>
      <c r="K9" s="164">
        <f t="shared" si="2"/>
        <v>47.9</v>
      </c>
      <c r="L9" s="164">
        <f t="shared" si="2"/>
        <v>47.9</v>
      </c>
      <c r="M9" s="164">
        <f t="shared" si="2"/>
        <v>47.9</v>
      </c>
      <c r="N9" s="164">
        <f t="shared" si="2"/>
        <v>63.5</v>
      </c>
      <c r="O9" s="164">
        <f t="shared" si="2"/>
        <v>0</v>
      </c>
      <c r="P9" s="108"/>
      <c r="Q9" s="108"/>
      <c r="R9" s="109"/>
      <c r="S9" s="94"/>
      <c r="T9" s="46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</row>
    <row r="10" spans="1:47" s="95" customFormat="1" ht="16.5" thickBot="1" x14ac:dyDescent="0.3">
      <c r="A10" s="92"/>
      <c r="B10" s="93"/>
      <c r="C10" s="222" t="s">
        <v>353</v>
      </c>
      <c r="D10" s="162" t="s">
        <v>352</v>
      </c>
      <c r="E10" s="343">
        <f t="shared" si="1"/>
        <v>517.19999999999993</v>
      </c>
      <c r="F10" s="164">
        <f>F11</f>
        <v>63.5</v>
      </c>
      <c r="G10" s="164">
        <f t="shared" si="2"/>
        <v>87.2</v>
      </c>
      <c r="H10" s="164">
        <f t="shared" si="2"/>
        <v>47.9</v>
      </c>
      <c r="I10" s="164">
        <f t="shared" si="2"/>
        <v>63.5</v>
      </c>
      <c r="J10" s="164">
        <f t="shared" si="2"/>
        <v>47.9</v>
      </c>
      <c r="K10" s="164">
        <f t="shared" si="2"/>
        <v>47.9</v>
      </c>
      <c r="L10" s="164">
        <f t="shared" si="2"/>
        <v>47.9</v>
      </c>
      <c r="M10" s="164">
        <f t="shared" si="2"/>
        <v>47.9</v>
      </c>
      <c r="N10" s="164">
        <f t="shared" si="2"/>
        <v>63.5</v>
      </c>
      <c r="O10" s="164">
        <f t="shared" si="2"/>
        <v>0</v>
      </c>
      <c r="P10" s="107" t="e">
        <f>#REF!+P11</f>
        <v>#REF!</v>
      </c>
      <c r="Q10" s="107" t="e">
        <f>#REF!+Q11</f>
        <v>#REF!</v>
      </c>
      <c r="R10" s="107" t="e">
        <f>#REF!+R11</f>
        <v>#REF!</v>
      </c>
      <c r="S10" s="94"/>
      <c r="T10" s="46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</row>
    <row r="11" spans="1:47" s="85" customFormat="1" ht="96" thickBot="1" x14ac:dyDescent="0.35">
      <c r="A11" s="87"/>
      <c r="B11" s="84"/>
      <c r="C11" s="222" t="s">
        <v>301</v>
      </c>
      <c r="D11" s="185" t="s">
        <v>354</v>
      </c>
      <c r="E11" s="164">
        <f t="shared" si="1"/>
        <v>517.19999999999993</v>
      </c>
      <c r="F11" s="186">
        <f>57.1+6.4</f>
        <v>63.5</v>
      </c>
      <c r="G11" s="186">
        <f>78.4+8.8</f>
        <v>87.2</v>
      </c>
      <c r="H11" s="186">
        <f>43.1+4.8</f>
        <v>47.9</v>
      </c>
      <c r="I11" s="186">
        <f>57.1+6.4</f>
        <v>63.5</v>
      </c>
      <c r="J11" s="186">
        <f>43.1+4.8</f>
        <v>47.9</v>
      </c>
      <c r="K11" s="186">
        <f>43.1+4.8</f>
        <v>47.9</v>
      </c>
      <c r="L11" s="186">
        <f>43.1+4.8</f>
        <v>47.9</v>
      </c>
      <c r="M11" s="186">
        <f>43.1+4.8</f>
        <v>47.9</v>
      </c>
      <c r="N11" s="186">
        <f>57.1+6.4</f>
        <v>63.5</v>
      </c>
      <c r="O11" s="186"/>
      <c r="P11" s="112"/>
      <c r="Q11" s="112"/>
      <c r="R11" s="83"/>
      <c r="S11" s="78"/>
      <c r="T11" s="8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s="95" customFormat="1" ht="39.75" customHeight="1" x14ac:dyDescent="0.25">
      <c r="A12" s="92"/>
      <c r="B12" s="93"/>
      <c r="C12" s="222" t="s">
        <v>355</v>
      </c>
      <c r="D12" s="162" t="s">
        <v>371</v>
      </c>
      <c r="E12" s="164">
        <f t="shared" si="1"/>
        <v>25487</v>
      </c>
      <c r="F12" s="219">
        <f>SUM(F13:F14)</f>
        <v>2656.7</v>
      </c>
      <c r="G12" s="219">
        <f t="shared" ref="G12:O12" si="3">SUM(G13:G14)</f>
        <v>2852.9</v>
      </c>
      <c r="H12" s="219">
        <f t="shared" si="3"/>
        <v>1938</v>
      </c>
      <c r="I12" s="219">
        <f t="shared" si="3"/>
        <v>3009.2999999999997</v>
      </c>
      <c r="J12" s="219">
        <f t="shared" si="3"/>
        <v>2225</v>
      </c>
      <c r="K12" s="219">
        <f t="shared" si="3"/>
        <v>2160</v>
      </c>
      <c r="L12" s="219">
        <f t="shared" si="3"/>
        <v>1904.5</v>
      </c>
      <c r="M12" s="219">
        <f t="shared" si="3"/>
        <v>2653.5</v>
      </c>
      <c r="N12" s="219">
        <f t="shared" si="3"/>
        <v>3962.3</v>
      </c>
      <c r="O12" s="219">
        <f t="shared" si="3"/>
        <v>2124.8000000000002</v>
      </c>
      <c r="P12" s="165" t="e">
        <f>P13+#REF!</f>
        <v>#REF!</v>
      </c>
      <c r="Q12" s="165" t="e">
        <f>Q13+#REF!</f>
        <v>#REF!</v>
      </c>
      <c r="R12" s="165" t="e">
        <f>R13+#REF!</f>
        <v>#REF!</v>
      </c>
      <c r="S12" s="94"/>
      <c r="T12" s="46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</row>
    <row r="13" spans="1:47" s="95" customFormat="1" ht="101.25" customHeight="1" thickBot="1" x14ac:dyDescent="0.3">
      <c r="A13" s="92"/>
      <c r="B13" s="93"/>
      <c r="C13" s="222" t="s">
        <v>356</v>
      </c>
      <c r="D13" s="268" t="s">
        <v>364</v>
      </c>
      <c r="E13" s="343">
        <f t="shared" si="1"/>
        <v>20857</v>
      </c>
      <c r="F13" s="220">
        <v>2150</v>
      </c>
      <c r="G13" s="220">
        <v>2719</v>
      </c>
      <c r="H13" s="220">
        <v>1690.2</v>
      </c>
      <c r="I13" s="220">
        <v>2621.6</v>
      </c>
      <c r="J13" s="220">
        <v>1967.9</v>
      </c>
      <c r="K13" s="220">
        <v>1599.7</v>
      </c>
      <c r="L13" s="220">
        <v>1479</v>
      </c>
      <c r="M13" s="221">
        <v>1957</v>
      </c>
      <c r="N13" s="221">
        <v>2547.8000000000002</v>
      </c>
      <c r="O13" s="221">
        <v>2124.8000000000002</v>
      </c>
      <c r="P13" s="113"/>
      <c r="Q13" s="113"/>
      <c r="R13" s="114"/>
      <c r="S13" s="97"/>
      <c r="T13" s="46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47" s="95" customFormat="1" ht="78.75" customHeight="1" thickBot="1" x14ac:dyDescent="0.3">
      <c r="A14" s="92"/>
      <c r="B14" s="93"/>
      <c r="C14" s="222" t="s">
        <v>357</v>
      </c>
      <c r="D14" s="351" t="s">
        <v>376</v>
      </c>
      <c r="E14" s="343">
        <f t="shared" si="1"/>
        <v>4630</v>
      </c>
      <c r="F14" s="183">
        <v>506.7</v>
      </c>
      <c r="G14" s="183">
        <v>133.9</v>
      </c>
      <c r="H14" s="183">
        <v>247.8</v>
      </c>
      <c r="I14" s="183">
        <v>387.7</v>
      </c>
      <c r="J14" s="183">
        <v>257.10000000000002</v>
      </c>
      <c r="K14" s="184">
        <v>560.29999999999995</v>
      </c>
      <c r="L14" s="184">
        <v>425.5</v>
      </c>
      <c r="M14" s="184">
        <v>696.5</v>
      </c>
      <c r="N14" s="184">
        <v>1414.5</v>
      </c>
      <c r="O14" s="183"/>
      <c r="P14" s="110"/>
      <c r="Q14" s="111"/>
      <c r="R14" s="96"/>
      <c r="S14" s="94"/>
      <c r="T14" s="46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</row>
    <row r="15" spans="1:47" s="95" customFormat="1" ht="37.5" customHeight="1" thickBot="1" x14ac:dyDescent="0.3">
      <c r="A15" s="92"/>
      <c r="B15" s="93"/>
      <c r="C15" s="222" t="s">
        <v>372</v>
      </c>
      <c r="D15" s="162" t="s">
        <v>375</v>
      </c>
      <c r="E15" s="343">
        <f>SUM(F15:O15)</f>
        <v>9759.9499999999989</v>
      </c>
      <c r="F15" s="219">
        <f>SUM(F16:F20)+F29+F30</f>
        <v>1211.83</v>
      </c>
      <c r="G15" s="219">
        <f t="shared" ref="G15:O15" si="4">SUM(G16:G20)+G29+G30</f>
        <v>796.54899999999998</v>
      </c>
      <c r="H15" s="219">
        <f t="shared" si="4"/>
        <v>688.83999999999992</v>
      </c>
      <c r="I15" s="219">
        <f t="shared" si="4"/>
        <v>309.14</v>
      </c>
      <c r="J15" s="219">
        <f t="shared" si="4"/>
        <v>218.99</v>
      </c>
      <c r="K15" s="219">
        <f t="shared" si="4"/>
        <v>649.04</v>
      </c>
      <c r="L15" s="219">
        <f t="shared" si="4"/>
        <v>316.27</v>
      </c>
      <c r="M15" s="219">
        <f t="shared" si="4"/>
        <v>718.06700000000001</v>
      </c>
      <c r="N15" s="219">
        <f t="shared" si="4"/>
        <v>1825.7939999999999</v>
      </c>
      <c r="O15" s="219">
        <f t="shared" si="4"/>
        <v>3025.43</v>
      </c>
      <c r="P15" s="165" t="e">
        <f>P16+#REF!</f>
        <v>#REF!</v>
      </c>
      <c r="Q15" s="165" t="e">
        <f>Q16+#REF!</f>
        <v>#REF!</v>
      </c>
      <c r="R15" s="165" t="e">
        <f>R16+#REF!</f>
        <v>#REF!</v>
      </c>
      <c r="S15" s="94"/>
      <c r="T15" s="46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</row>
    <row r="16" spans="1:47" s="95" customFormat="1" ht="16.5" thickBot="1" x14ac:dyDescent="0.3">
      <c r="A16" s="92"/>
      <c r="B16" s="93"/>
      <c r="C16" s="222" t="s">
        <v>373</v>
      </c>
      <c r="D16" s="163" t="s">
        <v>333</v>
      </c>
      <c r="E16" s="343">
        <f>SUM(F16:O16)</f>
        <v>2529.9839999999999</v>
      </c>
      <c r="F16" s="220">
        <f>250+50-79+182-122</f>
        <v>281</v>
      </c>
      <c r="G16" s="220">
        <f>172-132+126+107.039-66</f>
        <v>207.03899999999999</v>
      </c>
      <c r="H16" s="220">
        <f>55-15+103+93+16.87+230-59.87</f>
        <v>423</v>
      </c>
      <c r="I16" s="220">
        <f>44-4+65+40-5</f>
        <v>140</v>
      </c>
      <c r="J16" s="220">
        <f>64-24+69+3.1-12.1</f>
        <v>100</v>
      </c>
      <c r="K16" s="220">
        <f>67-27+80+130-20</f>
        <v>230</v>
      </c>
      <c r="L16" s="220">
        <f>44-4+65-5</f>
        <v>100</v>
      </c>
      <c r="M16" s="221">
        <f>126-86+68+108+31.51+48+177.945+20-79.51</f>
        <v>413.94499999999999</v>
      </c>
      <c r="N16" s="221">
        <f>494-400+262+418.35-620.35+150</f>
        <v>304</v>
      </c>
      <c r="O16" s="221">
        <f>1500-1229+1219.1+479.17-1638.27</f>
        <v>331</v>
      </c>
      <c r="P16" s="115"/>
      <c r="Q16" s="111"/>
      <c r="R16" s="96"/>
      <c r="S16" s="97"/>
      <c r="T16" s="46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</row>
    <row r="17" spans="1:47" s="95" customFormat="1" ht="48" thickBot="1" x14ac:dyDescent="0.3">
      <c r="A17" s="92"/>
      <c r="B17" s="93"/>
      <c r="C17" s="222" t="s">
        <v>399</v>
      </c>
      <c r="D17" s="9" t="s">
        <v>427</v>
      </c>
      <c r="E17" s="343">
        <f>SUM(F17:O17)</f>
        <v>2264.48</v>
      </c>
      <c r="F17" s="220">
        <f>396.53+302.32</f>
        <v>698.84999999999991</v>
      </c>
      <c r="G17" s="220">
        <v>423</v>
      </c>
      <c r="H17" s="220">
        <v>80</v>
      </c>
      <c r="I17" s="220">
        <v>80</v>
      </c>
      <c r="J17" s="220">
        <v>50</v>
      </c>
      <c r="K17" s="220">
        <v>50</v>
      </c>
      <c r="L17" s="220">
        <v>80</v>
      </c>
      <c r="M17" s="221">
        <v>80</v>
      </c>
      <c r="N17" s="221">
        <v>522.63</v>
      </c>
      <c r="O17" s="221">
        <v>200</v>
      </c>
      <c r="P17" s="111"/>
      <c r="Q17" s="111"/>
      <c r="R17" s="96"/>
      <c r="S17" s="97"/>
      <c r="T17" s="46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</row>
    <row r="18" spans="1:47" s="95" customFormat="1" ht="46.5" customHeight="1" thickBot="1" x14ac:dyDescent="0.3">
      <c r="A18" s="92"/>
      <c r="B18" s="93"/>
      <c r="C18" s="222" t="s">
        <v>474</v>
      </c>
      <c r="D18" s="242" t="s">
        <v>476</v>
      </c>
      <c r="E18" s="343">
        <f t="shared" si="1"/>
        <v>386.36</v>
      </c>
      <c r="F18" s="220"/>
      <c r="G18" s="220"/>
      <c r="H18" s="220"/>
      <c r="I18" s="220">
        <v>32.43</v>
      </c>
      <c r="J18" s="220"/>
      <c r="K18" s="220">
        <v>288.79000000000002</v>
      </c>
      <c r="L18" s="220"/>
      <c r="M18" s="221"/>
      <c r="N18" s="221">
        <v>65.14</v>
      </c>
      <c r="O18" s="221"/>
      <c r="P18" s="111"/>
      <c r="Q18" s="111"/>
      <c r="R18" s="96"/>
      <c r="S18" s="97"/>
      <c r="T18" s="46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</row>
    <row r="19" spans="1:47" s="95" customFormat="1" ht="16.5" thickBot="1" x14ac:dyDescent="0.3">
      <c r="A19" s="92"/>
      <c r="B19" s="93"/>
      <c r="C19" s="222" t="s">
        <v>475</v>
      </c>
      <c r="D19" s="242" t="s">
        <v>466</v>
      </c>
      <c r="E19" s="164">
        <f t="shared" si="1"/>
        <v>126.48599999999999</v>
      </c>
      <c r="F19" s="220"/>
      <c r="G19" s="220"/>
      <c r="H19" s="220">
        <v>15</v>
      </c>
      <c r="I19" s="220"/>
      <c r="J19" s="220"/>
      <c r="K19" s="220"/>
      <c r="L19" s="220">
        <f>30+20</f>
        <v>50</v>
      </c>
      <c r="M19" s="221">
        <v>39.951999999999998</v>
      </c>
      <c r="N19" s="221">
        <f>10+11.534</f>
        <v>21.533999999999999</v>
      </c>
      <c r="O19" s="221"/>
      <c r="P19" s="111"/>
      <c r="Q19" s="111"/>
      <c r="R19" s="96"/>
      <c r="S19" s="97"/>
      <c r="T19" s="46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</row>
    <row r="20" spans="1:47" s="95" customFormat="1" ht="48" thickBot="1" x14ac:dyDescent="0.3">
      <c r="A20" s="92"/>
      <c r="B20" s="93"/>
      <c r="C20" s="222" t="s">
        <v>485</v>
      </c>
      <c r="D20" s="255" t="s">
        <v>478</v>
      </c>
      <c r="E20" s="164">
        <f>SUM(F20:O20)</f>
        <v>4333.5599999999995</v>
      </c>
      <c r="F20" s="220">
        <f>21.87+F27+40</f>
        <v>231.98000000000002</v>
      </c>
      <c r="G20" s="220">
        <f>63.55+G27+25</f>
        <v>166.51</v>
      </c>
      <c r="H20" s="220">
        <f>19.48+H27+25</f>
        <v>170.83999999999997</v>
      </c>
      <c r="I20" s="220">
        <f>26.71+I27+25</f>
        <v>56.71</v>
      </c>
      <c r="J20" s="220">
        <f>22.29+J27+25</f>
        <v>68.989999999999995</v>
      </c>
      <c r="K20" s="220">
        <f>24.46+K27+25</f>
        <v>80.25</v>
      </c>
      <c r="L20" s="220">
        <f>34.33+L27+40</f>
        <v>86.27</v>
      </c>
      <c r="M20" s="221">
        <f>34.53+M27+30</f>
        <v>184.17000000000002</v>
      </c>
      <c r="N20" s="221">
        <f>71.74+N27+40</f>
        <v>912.49</v>
      </c>
      <c r="O20" s="221">
        <f>O27+O28</f>
        <v>2375.35</v>
      </c>
      <c r="P20" s="111"/>
      <c r="Q20" s="111"/>
      <c r="R20" s="96"/>
      <c r="S20" s="97"/>
      <c r="T20" s="46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</row>
    <row r="21" spans="1:47" s="281" customFormat="1" ht="66.75" hidden="1" customHeight="1" thickBot="1" x14ac:dyDescent="0.3">
      <c r="A21" s="269"/>
      <c r="B21" s="270"/>
      <c r="C21" s="271"/>
      <c r="D21" s="272" t="s">
        <v>479</v>
      </c>
      <c r="E21" s="164">
        <f t="shared" ref="E21:E28" si="5">SUM(F21:O21)</f>
        <v>6191</v>
      </c>
      <c r="F21" s="273">
        <v>869</v>
      </c>
      <c r="G21" s="273">
        <v>1203</v>
      </c>
      <c r="H21" s="273">
        <v>512</v>
      </c>
      <c r="I21" s="273">
        <v>708</v>
      </c>
      <c r="J21" s="273">
        <v>353</v>
      </c>
      <c r="K21" s="273">
        <v>492</v>
      </c>
      <c r="L21" s="273">
        <v>363</v>
      </c>
      <c r="M21" s="274">
        <v>560</v>
      </c>
      <c r="N21" s="274">
        <v>1131</v>
      </c>
      <c r="O21" s="275"/>
      <c r="P21" s="276"/>
      <c r="Q21" s="276"/>
      <c r="R21" s="277"/>
      <c r="S21" s="278"/>
      <c r="T21" s="279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</row>
    <row r="22" spans="1:47" s="281" customFormat="1" ht="66.75" hidden="1" customHeight="1" thickBot="1" x14ac:dyDescent="0.3">
      <c r="A22" s="269"/>
      <c r="B22" s="270"/>
      <c r="C22" s="271"/>
      <c r="D22" s="282" t="s">
        <v>480</v>
      </c>
      <c r="E22" s="164">
        <f t="shared" si="5"/>
        <v>260000</v>
      </c>
      <c r="F22" s="273">
        <v>15000</v>
      </c>
      <c r="G22" s="273">
        <v>50000</v>
      </c>
      <c r="H22" s="273">
        <v>15000</v>
      </c>
      <c r="I22" s="273">
        <v>20000</v>
      </c>
      <c r="J22" s="273">
        <v>20000</v>
      </c>
      <c r="K22" s="273">
        <v>20000</v>
      </c>
      <c r="L22" s="273">
        <v>30000</v>
      </c>
      <c r="M22" s="274">
        <v>30000</v>
      </c>
      <c r="N22" s="274">
        <v>60000</v>
      </c>
      <c r="O22" s="275"/>
      <c r="P22" s="276"/>
      <c r="Q22" s="276"/>
      <c r="R22" s="277"/>
      <c r="S22" s="278"/>
      <c r="T22" s="279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</row>
    <row r="23" spans="1:47" s="281" customFormat="1" ht="66.75" hidden="1" customHeight="1" thickBot="1" x14ac:dyDescent="0.3">
      <c r="A23" s="269"/>
      <c r="B23" s="270"/>
      <c r="C23" s="271"/>
      <c r="D23" s="282" t="s">
        <v>481</v>
      </c>
      <c r="E23" s="164">
        <f t="shared" si="5"/>
        <v>26000</v>
      </c>
      <c r="F23" s="273">
        <v>2900</v>
      </c>
      <c r="G23" s="273">
        <v>6200</v>
      </c>
      <c r="H23" s="273">
        <v>1900</v>
      </c>
      <c r="I23" s="273">
        <v>2900</v>
      </c>
      <c r="J23" s="273">
        <v>900</v>
      </c>
      <c r="K23" s="273">
        <v>1900</v>
      </c>
      <c r="L23" s="273">
        <v>1900</v>
      </c>
      <c r="M23" s="274">
        <v>1900</v>
      </c>
      <c r="N23" s="274">
        <v>5500</v>
      </c>
      <c r="O23" s="275"/>
      <c r="P23" s="276"/>
      <c r="Q23" s="276"/>
      <c r="R23" s="277"/>
      <c r="S23" s="278"/>
      <c r="T23" s="279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</row>
    <row r="24" spans="1:47" s="281" customFormat="1" ht="66.75" hidden="1" customHeight="1" thickBot="1" x14ac:dyDescent="0.3">
      <c r="A24" s="269"/>
      <c r="B24" s="270"/>
      <c r="C24" s="271"/>
      <c r="D24" s="282" t="s">
        <v>482</v>
      </c>
      <c r="E24" s="164">
        <f t="shared" si="5"/>
        <v>10588</v>
      </c>
      <c r="F24" s="273">
        <v>1241</v>
      </c>
      <c r="G24" s="273">
        <v>2397</v>
      </c>
      <c r="H24" s="273">
        <v>828</v>
      </c>
      <c r="I24" s="273">
        <v>1241</v>
      </c>
      <c r="J24" s="273">
        <v>414</v>
      </c>
      <c r="K24" s="273">
        <v>828</v>
      </c>
      <c r="L24" s="273">
        <v>828</v>
      </c>
      <c r="M24" s="274">
        <v>828</v>
      </c>
      <c r="N24" s="274">
        <v>1983</v>
      </c>
      <c r="O24" s="275"/>
      <c r="P24" s="276"/>
      <c r="Q24" s="276"/>
      <c r="R24" s="277"/>
      <c r="S24" s="278"/>
      <c r="T24" s="279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</row>
    <row r="25" spans="1:47" s="281" customFormat="1" ht="66.75" hidden="1" customHeight="1" thickBot="1" x14ac:dyDescent="0.3">
      <c r="A25" s="269"/>
      <c r="B25" s="270"/>
      <c r="C25" s="271"/>
      <c r="D25" s="282" t="s">
        <v>483</v>
      </c>
      <c r="E25" s="164">
        <f t="shared" si="5"/>
        <v>7126</v>
      </c>
      <c r="F25" s="273">
        <v>828</v>
      </c>
      <c r="G25" s="273">
        <v>1631</v>
      </c>
      <c r="H25" s="273">
        <v>552</v>
      </c>
      <c r="I25" s="273">
        <v>828</v>
      </c>
      <c r="J25" s="273">
        <v>276</v>
      </c>
      <c r="K25" s="273">
        <v>552</v>
      </c>
      <c r="L25" s="273">
        <v>552</v>
      </c>
      <c r="M25" s="274">
        <v>552</v>
      </c>
      <c r="N25" s="274">
        <v>1355</v>
      </c>
      <c r="O25" s="275"/>
      <c r="P25" s="276"/>
      <c r="Q25" s="276"/>
      <c r="R25" s="277"/>
      <c r="S25" s="278"/>
      <c r="T25" s="279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</row>
    <row r="26" spans="1:47" s="281" customFormat="1" ht="66.75" hidden="1" customHeight="1" thickBot="1" x14ac:dyDescent="0.3">
      <c r="A26" s="269"/>
      <c r="B26" s="270"/>
      <c r="C26" s="271"/>
      <c r="D26" s="282" t="s">
        <v>484</v>
      </c>
      <c r="E26" s="164">
        <f t="shared" si="5"/>
        <v>9056</v>
      </c>
      <c r="F26" s="273">
        <v>1034</v>
      </c>
      <c r="G26" s="273">
        <v>2114</v>
      </c>
      <c r="H26" s="273">
        <v>690</v>
      </c>
      <c r="I26" s="273">
        <v>1034</v>
      </c>
      <c r="J26" s="273">
        <v>345</v>
      </c>
      <c r="K26" s="273">
        <v>690</v>
      </c>
      <c r="L26" s="273">
        <v>690</v>
      </c>
      <c r="M26" s="274">
        <v>690</v>
      </c>
      <c r="N26" s="274">
        <v>1769</v>
      </c>
      <c r="O26" s="275"/>
      <c r="P26" s="276"/>
      <c r="Q26" s="276"/>
      <c r="R26" s="277"/>
      <c r="S26" s="278"/>
      <c r="T26" s="279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</row>
    <row r="27" spans="1:47" s="254" customFormat="1" ht="33.75" customHeight="1" thickBot="1" x14ac:dyDescent="0.3">
      <c r="A27" s="248"/>
      <c r="B27" s="249"/>
      <c r="C27" s="222"/>
      <c r="D27" s="283" t="s">
        <v>520</v>
      </c>
      <c r="E27" s="284">
        <f t="shared" si="5"/>
        <v>3714.6</v>
      </c>
      <c r="F27" s="285">
        <f>122+48.11</f>
        <v>170.11</v>
      </c>
      <c r="G27" s="285">
        <f>66+11.96</f>
        <v>77.960000000000008</v>
      </c>
      <c r="H27" s="285">
        <f>59.87+66.49</f>
        <v>126.35999999999999</v>
      </c>
      <c r="I27" s="285">
        <f>5</f>
        <v>5</v>
      </c>
      <c r="J27" s="285">
        <f>12.1+9.6</f>
        <v>21.7</v>
      </c>
      <c r="K27" s="285">
        <f>20+10.79</f>
        <v>30.79</v>
      </c>
      <c r="L27" s="285">
        <f>5+6.94</f>
        <v>11.940000000000001</v>
      </c>
      <c r="M27" s="224">
        <f>79.51+40.13</f>
        <v>119.64000000000001</v>
      </c>
      <c r="N27" s="224">
        <f>620.35+180.4</f>
        <v>800.75</v>
      </c>
      <c r="O27" s="224">
        <f>1638.27+712.08</f>
        <v>2350.35</v>
      </c>
      <c r="P27" s="250"/>
      <c r="Q27" s="250"/>
      <c r="R27" s="251"/>
      <c r="S27" s="252"/>
      <c r="T27" s="253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</row>
    <row r="28" spans="1:47" s="254" customFormat="1" ht="33.75" customHeight="1" thickBot="1" x14ac:dyDescent="0.3">
      <c r="A28" s="248"/>
      <c r="B28" s="249"/>
      <c r="C28" s="222"/>
      <c r="D28" s="283" t="s">
        <v>555</v>
      </c>
      <c r="E28" s="284">
        <f t="shared" si="5"/>
        <v>300</v>
      </c>
      <c r="F28" s="285">
        <v>40</v>
      </c>
      <c r="G28" s="285">
        <v>25</v>
      </c>
      <c r="H28" s="285">
        <v>25</v>
      </c>
      <c r="I28" s="285">
        <v>25</v>
      </c>
      <c r="J28" s="285">
        <v>25</v>
      </c>
      <c r="K28" s="285">
        <v>25</v>
      </c>
      <c r="L28" s="285">
        <v>40</v>
      </c>
      <c r="M28" s="224">
        <v>30</v>
      </c>
      <c r="N28" s="224">
        <v>40</v>
      </c>
      <c r="O28" s="224">
        <v>25</v>
      </c>
      <c r="P28" s="250"/>
      <c r="Q28" s="250"/>
      <c r="R28" s="251"/>
      <c r="S28" s="252"/>
      <c r="T28" s="253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</row>
    <row r="29" spans="1:47" s="95" customFormat="1" ht="34.5" customHeight="1" thickBot="1" x14ac:dyDescent="0.3">
      <c r="A29" s="92"/>
      <c r="B29" s="93"/>
      <c r="C29" s="222" t="s">
        <v>486</v>
      </c>
      <c r="D29" s="9" t="s">
        <v>452</v>
      </c>
      <c r="E29" s="164">
        <f t="shared" si="1"/>
        <v>52.08</v>
      </c>
      <c r="F29" s="220"/>
      <c r="G29" s="220"/>
      <c r="H29" s="220"/>
      <c r="I29" s="220"/>
      <c r="J29" s="220"/>
      <c r="K29" s="220"/>
      <c r="L29" s="220"/>
      <c r="M29" s="221"/>
      <c r="N29" s="221"/>
      <c r="O29" s="221">
        <v>52.08</v>
      </c>
      <c r="P29" s="111"/>
      <c r="Q29" s="111"/>
      <c r="R29" s="96"/>
      <c r="S29" s="97"/>
      <c r="T29" s="46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</row>
    <row r="30" spans="1:47" s="95" customFormat="1" ht="51" customHeight="1" thickBot="1" x14ac:dyDescent="0.3">
      <c r="A30" s="92"/>
      <c r="B30" s="93"/>
      <c r="C30" s="222" t="s">
        <v>514</v>
      </c>
      <c r="D30" s="263" t="s">
        <v>517</v>
      </c>
      <c r="E30" s="164">
        <f t="shared" si="1"/>
        <v>67</v>
      </c>
      <c r="F30" s="220"/>
      <c r="G30" s="220"/>
      <c r="H30" s="220"/>
      <c r="I30" s="220"/>
      <c r="J30" s="220"/>
      <c r="K30" s="220"/>
      <c r="L30" s="220"/>
      <c r="M30" s="221"/>
      <c r="N30" s="221"/>
      <c r="O30" s="221">
        <v>67</v>
      </c>
      <c r="P30" s="111"/>
      <c r="Q30" s="111"/>
      <c r="R30" s="96"/>
      <c r="S30" s="97"/>
      <c r="T30" s="46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</row>
    <row r="31" spans="1:47" s="195" customFormat="1" ht="39.75" customHeight="1" thickBot="1" x14ac:dyDescent="0.25">
      <c r="A31" s="187"/>
      <c r="B31" s="188"/>
      <c r="C31" s="223"/>
      <c r="D31" s="189" t="s">
        <v>374</v>
      </c>
      <c r="E31" s="164">
        <f>E9+E12+E15</f>
        <v>35764.15</v>
      </c>
      <c r="F31" s="164">
        <f t="shared" ref="F31:O31" si="6">F9+F12+F15</f>
        <v>3932.0299999999997</v>
      </c>
      <c r="G31" s="164">
        <f t="shared" si="6"/>
        <v>3736.6489999999999</v>
      </c>
      <c r="H31" s="164">
        <f t="shared" si="6"/>
        <v>2674.74</v>
      </c>
      <c r="I31" s="164">
        <f t="shared" si="6"/>
        <v>3381.9399999999996</v>
      </c>
      <c r="J31" s="164">
        <f t="shared" si="6"/>
        <v>2491.8900000000003</v>
      </c>
      <c r="K31" s="164">
        <f t="shared" si="6"/>
        <v>2856.94</v>
      </c>
      <c r="L31" s="164">
        <f t="shared" si="6"/>
        <v>2268.67</v>
      </c>
      <c r="M31" s="164">
        <f t="shared" si="6"/>
        <v>3419.4670000000001</v>
      </c>
      <c r="N31" s="164">
        <f t="shared" si="6"/>
        <v>5851.5940000000001</v>
      </c>
      <c r="O31" s="164">
        <f t="shared" si="6"/>
        <v>5150.2299999999996</v>
      </c>
      <c r="P31" s="190"/>
      <c r="Q31" s="190"/>
      <c r="R31" s="191"/>
      <c r="S31" s="192"/>
      <c r="T31" s="193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</row>
    <row r="32" spans="1:47" x14ac:dyDescent="0.2">
      <c r="E32" s="45">
        <v>35464.147879999997</v>
      </c>
    </row>
    <row r="33" spans="5:5" x14ac:dyDescent="0.2">
      <c r="E33" s="341">
        <f>E31-E32</f>
        <v>300.00212000000465</v>
      </c>
    </row>
    <row r="35" spans="5:5" x14ac:dyDescent="0.2">
      <c r="E35" s="45">
        <f>34155.65+1308.5</f>
        <v>35464.15</v>
      </c>
    </row>
    <row r="36" spans="5:5" x14ac:dyDescent="0.2">
      <c r="E36" s="341">
        <f>E31-E35</f>
        <v>300</v>
      </c>
    </row>
  </sheetData>
  <mergeCells count="7">
    <mergeCell ref="L1:N1"/>
    <mergeCell ref="L2:O2"/>
    <mergeCell ref="C4:O4"/>
    <mergeCell ref="D6:D7"/>
    <mergeCell ref="E6:E7"/>
    <mergeCell ref="F6:O6"/>
    <mergeCell ref="C6:C7"/>
  </mergeCells>
  <pageMargins left="0.39370078740157483" right="0" top="0" bottom="0" header="0" footer="0"/>
  <pageSetup paperSize="9" scale="60" firstPageNumber="150" pageOrder="overThenDown" orientation="landscape" useFirstPageNumber="1" r:id="rId1"/>
  <headerFooter alignWithMargins="0"/>
  <colBreaks count="1" manualBreakCount="1">
    <brk id="4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4"/>
  <sheetViews>
    <sheetView zoomScaleSheetLayoutView="110" workbookViewId="0">
      <selection activeCell="E30" sqref="E30"/>
    </sheetView>
  </sheetViews>
  <sheetFormatPr defaultRowHeight="12.75" x14ac:dyDescent="0.2"/>
  <cols>
    <col min="1" max="1" width="22.140625" customWidth="1"/>
    <col min="2" max="2" width="25.5703125" customWidth="1"/>
    <col min="3" max="3" width="18.140625" customWidth="1"/>
    <col min="4" max="4" width="16.5703125" customWidth="1"/>
    <col min="5" max="5" width="13.140625" customWidth="1"/>
    <col min="6" max="6" width="8.85546875" customWidth="1"/>
    <col min="7" max="7" width="31.5703125" customWidth="1"/>
  </cols>
  <sheetData>
    <row r="1" spans="1:8" ht="102" customHeight="1" x14ac:dyDescent="0.25">
      <c r="A1" s="49"/>
      <c r="F1" s="391" t="s">
        <v>76</v>
      </c>
      <c r="G1" s="391"/>
    </row>
    <row r="3" spans="1:8" ht="21.75" customHeight="1" x14ac:dyDescent="0.25">
      <c r="E3" s="2"/>
      <c r="F3" s="398"/>
      <c r="G3" s="398"/>
      <c r="H3" s="398"/>
    </row>
    <row r="4" spans="1:8" s="6" customFormat="1" ht="54.6" customHeight="1" x14ac:dyDescent="0.3">
      <c r="A4" s="365" t="s">
        <v>36</v>
      </c>
      <c r="B4" s="365"/>
      <c r="C4" s="365"/>
      <c r="D4" s="365"/>
      <c r="E4" s="365"/>
      <c r="F4" s="365"/>
      <c r="G4" s="365"/>
    </row>
    <row r="5" spans="1:8" s="6" customFormat="1" ht="21" customHeight="1" x14ac:dyDescent="0.3">
      <c r="E5" s="7"/>
      <c r="F5" s="7"/>
      <c r="G5" s="7"/>
    </row>
    <row r="6" spans="1:8" s="6" customFormat="1" ht="44.25" customHeight="1" x14ac:dyDescent="0.3">
      <c r="A6" s="400" t="s">
        <v>60</v>
      </c>
      <c r="B6" s="400"/>
      <c r="C6" s="400"/>
      <c r="D6" s="400"/>
      <c r="E6" s="400"/>
      <c r="F6" s="400"/>
      <c r="G6" s="400"/>
    </row>
    <row r="7" spans="1:8" s="1" customFormat="1" ht="38.25" customHeight="1" x14ac:dyDescent="0.25">
      <c r="A7" s="399" t="s">
        <v>1</v>
      </c>
      <c r="B7" s="399" t="s">
        <v>56</v>
      </c>
      <c r="C7" s="399" t="s">
        <v>57</v>
      </c>
      <c r="D7" s="399" t="s">
        <v>8</v>
      </c>
      <c r="E7" s="392" t="s">
        <v>58</v>
      </c>
      <c r="F7" s="393"/>
      <c r="G7" s="399" t="s">
        <v>59</v>
      </c>
    </row>
    <row r="8" spans="1:8" s="1" customFormat="1" ht="64.900000000000006" customHeight="1" x14ac:dyDescent="0.25">
      <c r="A8" s="399"/>
      <c r="B8" s="399"/>
      <c r="C8" s="399"/>
      <c r="D8" s="399"/>
      <c r="E8" s="394"/>
      <c r="F8" s="395"/>
      <c r="G8" s="399"/>
    </row>
    <row r="9" spans="1:8" s="1" customFormat="1" ht="15.75" x14ac:dyDescent="0.25">
      <c r="A9" s="8"/>
      <c r="B9" s="9"/>
      <c r="C9" s="10"/>
      <c r="D9" s="10"/>
      <c r="E9" s="396"/>
      <c r="F9" s="397"/>
      <c r="G9" s="8"/>
    </row>
    <row r="10" spans="1:8" s="1" customFormat="1" ht="15" customHeight="1" x14ac:dyDescent="0.25">
      <c r="A10" s="8"/>
      <c r="B10" s="9"/>
      <c r="C10" s="10"/>
      <c r="D10" s="10"/>
      <c r="E10" s="396"/>
      <c r="F10" s="397"/>
      <c r="G10" s="8"/>
    </row>
    <row r="11" spans="1:8" s="1" customFormat="1" ht="15.75" x14ac:dyDescent="0.25">
      <c r="A11" s="11" t="s">
        <v>64</v>
      </c>
      <c r="B11" s="9"/>
      <c r="C11" s="10"/>
      <c r="D11" s="10"/>
      <c r="E11" s="396"/>
      <c r="F11" s="397"/>
      <c r="G11" s="9"/>
    </row>
    <row r="12" spans="1:8" s="1" customFormat="1" ht="15.75" x14ac:dyDescent="0.25"/>
    <row r="13" spans="1:8" s="1" customFormat="1" ht="50.25" customHeight="1" x14ac:dyDescent="0.25">
      <c r="A13" s="365" t="s">
        <v>38</v>
      </c>
      <c r="B13" s="365"/>
      <c r="C13" s="365"/>
      <c r="D13" s="365"/>
      <c r="E13" s="365"/>
      <c r="F13" s="365"/>
      <c r="G13" s="365"/>
    </row>
    <row r="14" spans="1:8" s="1" customFormat="1" ht="15.75" x14ac:dyDescent="0.25"/>
    <row r="15" spans="1:8" s="1" customFormat="1" ht="12.75" customHeight="1" x14ac:dyDescent="0.25">
      <c r="A15" s="399" t="s">
        <v>61</v>
      </c>
      <c r="B15" s="399"/>
      <c r="C15" s="399"/>
      <c r="D15" s="399" t="s">
        <v>62</v>
      </c>
      <c r="E15" s="399"/>
      <c r="F15" s="399"/>
      <c r="G15" s="399"/>
    </row>
    <row r="16" spans="1:8" s="1" customFormat="1" ht="19.5" customHeight="1" x14ac:dyDescent="0.25">
      <c r="A16" s="399"/>
      <c r="B16" s="399"/>
      <c r="C16" s="399"/>
      <c r="D16" s="399"/>
      <c r="E16" s="399"/>
      <c r="F16" s="399"/>
      <c r="G16" s="399"/>
    </row>
    <row r="17" spans="1:8" s="1" customFormat="1" ht="37.9" hidden="1" customHeight="1" x14ac:dyDescent="0.25">
      <c r="A17" s="401" t="s">
        <v>6</v>
      </c>
      <c r="B17" s="401"/>
      <c r="C17" s="401"/>
      <c r="D17" s="405">
        <v>0</v>
      </c>
      <c r="E17" s="405"/>
      <c r="F17" s="405"/>
      <c r="G17" s="405"/>
    </row>
    <row r="18" spans="1:8" s="1" customFormat="1" ht="33" customHeight="1" x14ac:dyDescent="0.25">
      <c r="A18" s="401" t="s">
        <v>7</v>
      </c>
      <c r="B18" s="401"/>
      <c r="C18" s="401"/>
      <c r="D18" s="406"/>
      <c r="E18" s="406"/>
      <c r="F18" s="406"/>
      <c r="G18" s="406"/>
    </row>
    <row r="19" spans="1:8" s="3" customFormat="1" ht="21.6" customHeight="1" x14ac:dyDescent="0.2">
      <c r="A19" s="402" t="s">
        <v>4</v>
      </c>
      <c r="B19" s="403"/>
      <c r="C19" s="403"/>
      <c r="D19" s="404"/>
      <c r="E19" s="404"/>
      <c r="F19" s="404"/>
      <c r="G19" s="404"/>
      <c r="H19" s="12"/>
    </row>
    <row r="20" spans="1:8" s="1" customFormat="1" ht="15.75" x14ac:dyDescent="0.25"/>
    <row r="21" spans="1:8" s="1" customFormat="1" ht="15.75" x14ac:dyDescent="0.25"/>
    <row r="22" spans="1:8" s="1" customFormat="1" ht="15.75" x14ac:dyDescent="0.25"/>
    <row r="23" spans="1:8" s="1" customFormat="1" ht="15.75" x14ac:dyDescent="0.25"/>
    <row r="24" spans="1:8" s="1" customFormat="1" ht="15.75" x14ac:dyDescent="0.25"/>
    <row r="25" spans="1:8" s="1" customFormat="1" ht="15.75" x14ac:dyDescent="0.25"/>
    <row r="26" spans="1:8" s="1" customFormat="1" ht="15.75" x14ac:dyDescent="0.25"/>
    <row r="27" spans="1:8" s="1" customFormat="1" ht="15.75" x14ac:dyDescent="0.25"/>
    <row r="28" spans="1:8" s="1" customFormat="1" ht="15.75" x14ac:dyDescent="0.25"/>
    <row r="29" spans="1:8" s="1" customFormat="1" ht="15.75" x14ac:dyDescent="0.25"/>
    <row r="30" spans="1:8" s="3" customFormat="1" x14ac:dyDescent="0.2"/>
    <row r="31" spans="1:8" s="3" customFormat="1" x14ac:dyDescent="0.2"/>
    <row r="32" spans="1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</sheetData>
  <mergeCells count="22">
    <mergeCell ref="A19:C19"/>
    <mergeCell ref="D19:G19"/>
    <mergeCell ref="A18:C18"/>
    <mergeCell ref="D17:G17"/>
    <mergeCell ref="D18:G18"/>
    <mergeCell ref="A13:G13"/>
    <mergeCell ref="D15:G16"/>
    <mergeCell ref="A15:C16"/>
    <mergeCell ref="A17:C17"/>
    <mergeCell ref="E11:F11"/>
    <mergeCell ref="F1:G1"/>
    <mergeCell ref="E7:F8"/>
    <mergeCell ref="E9:F9"/>
    <mergeCell ref="E10:F10"/>
    <mergeCell ref="A4:G4"/>
    <mergeCell ref="F3:H3"/>
    <mergeCell ref="G7:G8"/>
    <mergeCell ref="B7:B8"/>
    <mergeCell ref="A7:A8"/>
    <mergeCell ref="A6:G6"/>
    <mergeCell ref="C7:C8"/>
    <mergeCell ref="D7:D8"/>
  </mergeCells>
  <phoneticPr fontId="9" type="noConversion"/>
  <pageMargins left="0.75" right="0.75" top="0.57999999999999996" bottom="0.66" header="0.22" footer="0.37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zoomScaleSheetLayoutView="110" workbookViewId="0">
      <selection activeCell="D16" sqref="D16"/>
    </sheetView>
  </sheetViews>
  <sheetFormatPr defaultRowHeight="12.75" x14ac:dyDescent="0.2"/>
  <cols>
    <col min="1" max="1" width="26.140625" style="14" customWidth="1"/>
    <col min="2" max="2" width="27" style="14" customWidth="1"/>
    <col min="3" max="3" width="17.42578125" style="14" customWidth="1"/>
    <col min="4" max="4" width="13.28515625" style="14" customWidth="1"/>
    <col min="5" max="5" width="13.85546875" style="14" customWidth="1"/>
    <col min="6" max="6" width="15.7109375" style="14" customWidth="1"/>
    <col min="7" max="7" width="16.5703125" style="14" customWidth="1"/>
    <col min="8" max="8" width="26.5703125" style="14" customWidth="1"/>
    <col min="9" max="16384" width="9.140625" style="14"/>
  </cols>
  <sheetData>
    <row r="1" spans="1:8" ht="97.5" customHeight="1" x14ac:dyDescent="0.25">
      <c r="A1" s="50"/>
      <c r="G1" s="391" t="s">
        <v>75</v>
      </c>
      <c r="H1" s="391"/>
    </row>
    <row r="5" spans="1:8" ht="39.75" customHeight="1" x14ac:dyDescent="0.2">
      <c r="A5" s="365" t="s">
        <v>63</v>
      </c>
      <c r="B5" s="365"/>
      <c r="C5" s="365"/>
      <c r="D5" s="365"/>
      <c r="E5" s="365"/>
      <c r="F5" s="365"/>
      <c r="G5" s="365"/>
      <c r="H5" s="365"/>
    </row>
    <row r="6" spans="1:8" ht="21" customHeight="1" x14ac:dyDescent="0.25">
      <c r="F6" s="2"/>
      <c r="G6" s="2"/>
      <c r="H6" s="2"/>
    </row>
    <row r="7" spans="1:8" ht="15.75" x14ac:dyDescent="0.25">
      <c r="A7" s="18" t="s">
        <v>65</v>
      </c>
    </row>
    <row r="8" spans="1:8" ht="14.25" x14ac:dyDescent="0.2">
      <c r="A8" s="51"/>
    </row>
    <row r="9" spans="1:8" ht="14.25" x14ac:dyDescent="0.2">
      <c r="A9" s="51"/>
      <c r="H9" s="15"/>
    </row>
    <row r="10" spans="1:8" s="16" customFormat="1" ht="38.25" customHeight="1" x14ac:dyDescent="0.2">
      <c r="A10" s="399" t="s">
        <v>1</v>
      </c>
      <c r="B10" s="399" t="s">
        <v>56</v>
      </c>
      <c r="C10" s="412" t="s">
        <v>57</v>
      </c>
      <c r="D10" s="413"/>
      <c r="E10" s="414"/>
      <c r="F10" s="392" t="s">
        <v>8</v>
      </c>
      <c r="G10" s="392"/>
      <c r="H10" s="399" t="s">
        <v>59</v>
      </c>
    </row>
    <row r="11" spans="1:8" s="16" customFormat="1" ht="27.75" customHeight="1" x14ac:dyDescent="0.25">
      <c r="A11" s="399"/>
      <c r="B11" s="399"/>
      <c r="C11" s="47" t="s">
        <v>2</v>
      </c>
      <c r="D11" s="47" t="s">
        <v>32</v>
      </c>
      <c r="E11" s="47" t="s">
        <v>31</v>
      </c>
      <c r="F11" s="407"/>
      <c r="G11" s="407"/>
      <c r="H11" s="399"/>
    </row>
    <row r="12" spans="1:8" s="16" customFormat="1" x14ac:dyDescent="0.2">
      <c r="A12" s="4"/>
      <c r="B12" s="4"/>
      <c r="C12" s="4"/>
      <c r="D12" s="4"/>
      <c r="E12" s="4"/>
      <c r="F12" s="4"/>
      <c r="G12" s="4"/>
      <c r="H12" s="4"/>
    </row>
    <row r="13" spans="1:8" s="16" customFormat="1" x14ac:dyDescent="0.2">
      <c r="A13" s="4"/>
      <c r="B13" s="4"/>
      <c r="C13" s="4"/>
      <c r="D13" s="4"/>
      <c r="E13" s="4"/>
      <c r="F13" s="4"/>
      <c r="G13" s="4"/>
      <c r="H13" s="4"/>
    </row>
    <row r="14" spans="1:8" s="16" customFormat="1" x14ac:dyDescent="0.2">
      <c r="A14" s="4"/>
      <c r="B14" s="4"/>
      <c r="C14" s="4"/>
      <c r="D14" s="4"/>
      <c r="E14" s="4"/>
      <c r="F14" s="48"/>
      <c r="G14" s="53"/>
      <c r="H14" s="4"/>
    </row>
    <row r="15" spans="1:8" s="16" customFormat="1" ht="15.75" x14ac:dyDescent="0.25">
      <c r="A15" s="54" t="s">
        <v>64</v>
      </c>
      <c r="B15" s="4"/>
      <c r="C15" s="4"/>
      <c r="D15" s="4"/>
      <c r="E15" s="4"/>
      <c r="F15" s="48"/>
      <c r="G15" s="53"/>
      <c r="H15" s="4"/>
    </row>
    <row r="16" spans="1:8" s="16" customFormat="1" x14ac:dyDescent="0.2"/>
    <row r="17" spans="1:9" s="16" customFormat="1" ht="35.25" customHeight="1" x14ac:dyDescent="0.25">
      <c r="A17" s="415" t="s">
        <v>66</v>
      </c>
      <c r="B17" s="415"/>
      <c r="C17" s="415"/>
      <c r="D17" s="415"/>
      <c r="E17" s="415"/>
      <c r="F17" s="415"/>
      <c r="G17" s="415"/>
      <c r="H17" s="415"/>
    </row>
    <row r="18" spans="1:9" s="16" customFormat="1" x14ac:dyDescent="0.2">
      <c r="I18" s="5"/>
    </row>
    <row r="19" spans="1:9" s="16" customFormat="1" ht="35.25" customHeight="1" x14ac:dyDescent="0.2">
      <c r="A19" s="392" t="s">
        <v>67</v>
      </c>
      <c r="B19" s="416"/>
      <c r="C19" s="393"/>
      <c r="D19" s="412" t="s">
        <v>70</v>
      </c>
      <c r="E19" s="427"/>
      <c r="F19" s="427"/>
      <c r="G19" s="425"/>
      <c r="H19" s="426"/>
      <c r="I19" s="5"/>
    </row>
    <row r="20" spans="1:9" s="16" customFormat="1" ht="20.25" customHeight="1" x14ac:dyDescent="0.2">
      <c r="A20" s="417"/>
      <c r="B20" s="418"/>
      <c r="C20" s="419"/>
      <c r="D20" s="412" t="s">
        <v>68</v>
      </c>
      <c r="E20" s="425"/>
      <c r="F20" s="426"/>
      <c r="G20" s="412" t="s">
        <v>69</v>
      </c>
      <c r="H20" s="426"/>
      <c r="I20" s="5"/>
    </row>
    <row r="21" spans="1:9" s="16" customFormat="1" ht="15.75" x14ac:dyDescent="0.25">
      <c r="A21" s="411" t="s">
        <v>5</v>
      </c>
      <c r="B21" s="411"/>
      <c r="C21" s="411"/>
      <c r="D21" s="422"/>
      <c r="E21" s="422"/>
      <c r="F21" s="422"/>
      <c r="G21" s="423"/>
      <c r="H21" s="424"/>
    </row>
    <row r="22" spans="1:9" s="16" customFormat="1" ht="21.6" customHeight="1" x14ac:dyDescent="0.25">
      <c r="A22" s="408" t="s">
        <v>4</v>
      </c>
      <c r="B22" s="409"/>
      <c r="C22" s="410"/>
      <c r="D22" s="420"/>
      <c r="E22" s="420"/>
      <c r="F22" s="420"/>
      <c r="G22" s="421"/>
      <c r="H22" s="421"/>
    </row>
    <row r="23" spans="1:9" x14ac:dyDescent="0.2">
      <c r="D23" s="52"/>
    </row>
  </sheetData>
  <mergeCells count="19">
    <mergeCell ref="A22:C22"/>
    <mergeCell ref="A21:C21"/>
    <mergeCell ref="H10:H11"/>
    <mergeCell ref="C10:E10"/>
    <mergeCell ref="A17:H17"/>
    <mergeCell ref="A19:C20"/>
    <mergeCell ref="D22:F22"/>
    <mergeCell ref="G22:H22"/>
    <mergeCell ref="D21:F21"/>
    <mergeCell ref="G21:H21"/>
    <mergeCell ref="D20:F20"/>
    <mergeCell ref="G20:H20"/>
    <mergeCell ref="D19:H19"/>
    <mergeCell ref="A5:H5"/>
    <mergeCell ref="A10:A11"/>
    <mergeCell ref="B10:B11"/>
    <mergeCell ref="G1:H1"/>
    <mergeCell ref="F10:F11"/>
    <mergeCell ref="G10:G11"/>
  </mergeCells>
  <phoneticPr fontId="9" type="noConversion"/>
  <pageMargins left="0.75" right="0.75" top="0.55000000000000004" bottom="1" header="0.5" footer="0.5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прил10МП</vt:lpstr>
      <vt:lpstr>прил 14  Пр, КЦСР,КВР</vt:lpstr>
      <vt:lpstr>18БИ </vt:lpstr>
      <vt:lpstr>прил 21ДФ</vt:lpstr>
      <vt:lpstr>прил23 МБТ</vt:lpstr>
      <vt:lpstr>33</vt:lpstr>
      <vt:lpstr>34</vt:lpstr>
      <vt:lpstr>Лист3</vt:lpstr>
      <vt:lpstr>'прил 14  Пр, КЦСР,КВР'!Заголовки_для_печати</vt:lpstr>
      <vt:lpstr>'прил23 МБТ'!Заголовки_для_печати</vt:lpstr>
      <vt:lpstr>'18БИ '!Область_печати</vt:lpstr>
      <vt:lpstr>'33'!Область_печати</vt:lpstr>
      <vt:lpstr>'прил 14  Пр, КЦСР,КВР'!Область_печати</vt:lpstr>
      <vt:lpstr>'прил 21ДФ'!Область_печати</vt:lpstr>
      <vt:lpstr>прил10МП!Область_печати</vt:lpstr>
      <vt:lpstr>'прил23 МБТ'!Область_печати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finOtdeL</cp:lastModifiedBy>
  <cp:lastPrinted>2015-12-24T06:51:42Z</cp:lastPrinted>
  <dcterms:created xsi:type="dcterms:W3CDTF">2007-09-12T09:25:25Z</dcterms:created>
  <dcterms:modified xsi:type="dcterms:W3CDTF">2015-12-29T04:23:03Z</dcterms:modified>
</cp:coreProperties>
</file>