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155" windowWidth="1980" windowHeight="1110" activeTab="13"/>
  </bookViews>
  <sheets>
    <sheet name="НДФЛ 2019" sheetId="1" r:id="rId1"/>
    <sheet name="нио" sheetId="2" r:id="rId2"/>
    <sheet name="усн" sheetId="3" r:id="rId3"/>
    <sheet name="енвд" sheetId="4" r:id="rId4"/>
    <sheet name="есхн" sheetId="5" r:id="rId5"/>
    <sheet name="аренда ЗУ" sheetId="6" state="hidden" r:id="rId6"/>
    <sheet name="аренда помещения" sheetId="7" r:id="rId7"/>
    <sheet name="статистика" sheetId="8" state="hidden" r:id="rId8"/>
    <sheet name="штрафы" sheetId="9" state="hidden" r:id="rId9"/>
    <sheet name="Лист2" sheetId="10" state="hidden" r:id="rId10"/>
    <sheet name="район" sheetId="11" state="hidden" r:id="rId11"/>
    <sheet name="консолидация" sheetId="12" state="hidden" r:id="rId12"/>
    <sheet name="Лист1" sheetId="13" state="hidden" r:id="rId13"/>
    <sheet name="2020-2021" sheetId="14" r:id="rId14"/>
  </sheets>
  <externalReferences>
    <externalReference r:id="rId17"/>
  </externalReferences>
  <definedNames>
    <definedName name="_xlnm.Print_Titles" localSheetId="11">'консолидация'!$A:$A</definedName>
    <definedName name="_xlnm.Print_Area" localSheetId="5">'аренда ЗУ'!$A$1:$D$52</definedName>
    <definedName name="_xlnm.Print_Area" localSheetId="4">'есхн'!$A$1:$F$28</definedName>
    <definedName name="_xlnm.Print_Area" localSheetId="0">'НДФЛ 2019'!#REF!</definedName>
    <definedName name="_xlnm.Print_Area" localSheetId="1">'нио'!$A$1:$C$56</definedName>
    <definedName name="_xlnm.Print_Area" localSheetId="2">'усн'!$A$1:$J$32</definedName>
  </definedNames>
  <calcPr fullCalcOnLoad="1"/>
</workbook>
</file>

<file path=xl/sharedStrings.xml><?xml version="1.0" encoding="utf-8"?>
<sst xmlns="http://schemas.openxmlformats.org/spreadsheetml/2006/main" count="945" uniqueCount="685">
  <si>
    <t>Показатели</t>
  </si>
  <si>
    <t>Облагаемая сумма дохода</t>
  </si>
  <si>
    <t>Дополнительные поступления налога на доходы физических лиц</t>
  </si>
  <si>
    <t xml:space="preserve">Сумма исчисленного налога на доходы физических лиц </t>
  </si>
  <si>
    <t xml:space="preserve">Общая сумма необлагаемых доходов и налоговых вычетов, предоставленных налоговыми агентами, уменьшающих общую сумму дохода </t>
  </si>
  <si>
    <t>1. Налог на доходы физических лиц с доходов, облагаемых по ставке 13%, полученных физическими лицами, источниками которых являются налоговые агенты</t>
  </si>
  <si>
    <t>Итого сумма налога на доходы физических лиц с доходов, облагаемых по ставке 13%, полученных физическими лицами, источниками  которых являются налоговые агенты</t>
  </si>
  <si>
    <t xml:space="preserve">к пояснительной записке </t>
  </si>
  <si>
    <t xml:space="preserve">Сумма перечисленного налога на доходы физических лиц </t>
  </si>
  <si>
    <t>Фонд оплаты труда для целей налогообложения (общая сумма дохода)</t>
  </si>
  <si>
    <t>№ п/п</t>
  </si>
  <si>
    <t>в том числе:</t>
  </si>
  <si>
    <t>Уровень собираемости налога на имущество организаций, %</t>
  </si>
  <si>
    <t>Дополнительные поступления налога на имущество организаций, тыс. руб.</t>
  </si>
  <si>
    <t>Приложение 1</t>
  </si>
  <si>
    <t>Наименование показателя</t>
  </si>
  <si>
    <t>Код дохода по КД</t>
  </si>
  <si>
    <t>Темп роста, %</t>
  </si>
  <si>
    <t>2016г к 2015г</t>
  </si>
  <si>
    <t>НАЛОГОВЫЕ И НЕНАЛОГОВЫЕ ДОХОДЫ</t>
  </si>
  <si>
    <t>000  1  00  00000  00  0000  000</t>
  </si>
  <si>
    <t>НАЛОГОВЫЕ  ДОХОДЫ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</si>
  <si>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</si>
  <si>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</si>
  <si>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</si>
  <si>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</si>
  <si>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Единый налог на вмененный доход для отдельных видов деятельности</t>
  </si>
  <si>
    <t>182  1  05  02000  00  0000  110</t>
  </si>
  <si>
    <t>Единый сельскохозяйственный налог</t>
  </si>
  <si>
    <t>182  1  05  03000  00  0000  110</t>
  </si>
  <si>
    <t>НАЛОГИ НА ИМУЩЕСТВО</t>
  </si>
  <si>
    <t>000  1  06  00000  00  0000  000</t>
  </si>
  <si>
    <t>Налог на имущество организаций</t>
  </si>
  <si>
    <t>000  1  06  02000  02  0000  110</t>
  </si>
  <si>
    <t>Налог на имущество организаций по имуществу, не входящему в Единую систему газоснабжения</t>
  </si>
  <si>
    <t>182  1  06  02010  02  0000  110</t>
  </si>
  <si>
    <t>Налог на имущество организаций по имуществу, входящему в Единую систему газоснабжения</t>
  </si>
  <si>
    <t>182  1  06  02020  02  0000  110</t>
  </si>
  <si>
    <t>Транспортный налог</t>
  </si>
  <si>
    <t>000  1  06  04000  02  0000  110</t>
  </si>
  <si>
    <t>Транспортный налог с организаций</t>
  </si>
  <si>
    <t>000  1  06  04011  02  0000  110</t>
  </si>
  <si>
    <t>Транспортный налог с физических лиц</t>
  </si>
  <si>
    <t>000  1  06  04012  02  0000  110</t>
  </si>
  <si>
    <t>НАЛОГИ, СБОРЫ И РЕГУЛЯРНЫЕ ПЛАТЕЖИ ЗА ПОЛЬЗОВАНИЕ ПРИРОДНЫМИ РЕСУРСАМИ</t>
  </si>
  <si>
    <t>000  1  07  00000  00  0000  000</t>
  </si>
  <si>
    <t>Налог на добычу полезных ископаемых</t>
  </si>
  <si>
    <t>000  1  07  01000  01  0000  110</t>
  </si>
  <si>
    <t>Налог на добычу общераспространенных полезных ископаемых</t>
  </si>
  <si>
    <t>182  1  07  01020  01  0000  110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</si>
  <si>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</si>
  <si>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</si>
  <si>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</si>
  <si>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</si>
  <si>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</si>
  <si>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</si>
  <si>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</si>
  <si>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</si>
  <si>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</si>
  <si>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000  1  08  07080  01  1000  110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</si>
  <si>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</si>
  <si>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092  1  08  07084  01  0000  110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</si>
  <si>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</si>
  <si>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920  1  08  07140  01  0000  110</t>
  </si>
  <si>
    <t>Государственная пошлина за выдачу разрешения на установку рекламной конструкции</t>
  </si>
  <si>
    <t>092  1  08  07150  01  1000  110</t>
  </si>
  <si>
    <t xml:space="preserve"> НЕНАЛОГОВЫЕ ДОХОДЫ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</si>
  <si>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</si>
  <si>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</si>
  <si>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Проценты, полученные от предоставления бюджетных кредитов внутри страны за счет средств бюджетов муниципальных районов</t>
  </si>
  <si>
    <t>092  1  11  03050  05  0000  120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</si>
  <si>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</si>
  <si>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</si>
  <si>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092  1  11  05035  05  0000  120</t>
  </si>
  <si>
    <t>ПЛАТЕЖИ ПРИ ПОЛЬЗОВАНИИ ПРИРОДНЫМИ РЕСУРСАМИ</t>
  </si>
  <si>
    <t>000  1  12  00000  00  0000  000</t>
  </si>
  <si>
    <t>ДОХОДЫ ОТ ОКАЗАНИЯ ПЛАТНЫХ УСЛУГ И КОМПЕНСАЦИИ ЗАТРАТ ГОСУДАРСТВА</t>
  </si>
  <si>
    <t>000  1  13  00000  00  0000  000</t>
  </si>
  <si>
    <t>ДОХОДЫ ОТ ПРОДАЖИ МАТЕРИАЛЬНЫХ И НЕМАТЕРИАЛЬНЫХ АКТИВОВ</t>
  </si>
  <si>
    <t>000  1  14  00000  00  0000  000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</si>
  <si>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</si>
  <si>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000  1  14  02052  05  0000  410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</si>
  <si>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</si>
  <si>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000  1  14  06013  10  0000  430</t>
  </si>
  <si>
    <t>АДМИНИСТРАТИВНЫЕ ПЛАТЕЖИ И СБОРЫ</t>
  </si>
  <si>
    <t>000  1  15  00000  00  0000  000</t>
  </si>
  <si>
    <t>Платежи, взимаемые государственными и муниципальными организациями за выполнение определенных функций</t>
  </si>
  <si>
    <t>000  1  15  02000  00  0000  140</t>
  </si>
  <si>
    <t>Платежи, взимаемые организациями муниципальных районов за выполнение определенных функций</t>
  </si>
  <si>
    <t>000  1  15  02050  05  0000  140</t>
  </si>
  <si>
    <t>ШТРАФЫ, САНКЦИИ, ВОЗМЕЩЕНИЕ УЩЕРБА</t>
  </si>
  <si>
    <t>000  1  16  00000  00  0000  000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</si>
  <si>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</si>
  <si>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182  1  16  03010  01  0000  140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</si>
  <si>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</si>
  <si>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</si>
  <si>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</si>
  <si>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</si>
  <si>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</si>
  <si>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188  1  16  08010  01  0000  140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</si>
  <si>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</si>
  <si>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</si>
  <si>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Денежные взыскания (штрафы) за нарушение законодательства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</si>
  <si>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</si>
  <si>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</si>
  <si>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321  1  16  25060  01  0000  140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</si>
  <si>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</si>
  <si>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141  1  16  28000  01  0000  140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</si>
  <si>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</si>
  <si>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161  1  16  33050  05  0000  140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</si>
  <si>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</si>
  <si>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</si>
  <si>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НЕНАЛОГОВЫЕ ДОХОДЫ</t>
  </si>
  <si>
    <t>000  1  17  00000  00  0000  000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</si>
  <si>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</si>
  <si>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</si>
  <si>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</si>
  <si>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092  1  11  05025  05  0000  120</t>
  </si>
  <si>
    <t>000  1  16  25050  01  0000  140</t>
  </si>
  <si>
    <t>000  1  01  02000  00  0000  000</t>
  </si>
  <si>
    <t>000  1  01  03000  01  0000  110</t>
  </si>
  <si>
    <t>НАЛОГИ НА ТОВАРЫ (РАБОТЫ, УСЛУГИ), РЕАЛИЗУЕМЫЕ НА ТЕРРИТОЛРИИ РОССИЙСКОЙ ФЕДЕРАЦИИ</t>
  </si>
  <si>
    <t>188  1  16  08020  01  0000  140</t>
  </si>
  <si>
    <t>000  1  16  30030  01  0000  140</t>
  </si>
  <si>
    <t xml:space="preserve">Наименование показателей </t>
  </si>
  <si>
    <t>2013 год</t>
  </si>
  <si>
    <t>Сумма доходов (тыс.руб.)</t>
  </si>
  <si>
    <t>Сумма расходов (тыс.руб.)</t>
  </si>
  <si>
    <t>Ставка налога, %</t>
  </si>
  <si>
    <t>Сумма исчисленного налога</t>
  </si>
  <si>
    <t>2011год</t>
  </si>
  <si>
    <t>ожидаемое поступление за 2012 год</t>
  </si>
  <si>
    <t xml:space="preserve">2011 г </t>
  </si>
  <si>
    <t>ожидаемое  поступление на  2012 год</t>
  </si>
  <si>
    <t>доходы</t>
  </si>
  <si>
    <t>доходы, уменьшенные на величину расходов</t>
  </si>
  <si>
    <t>Налоговая ставка (%.)</t>
  </si>
  <si>
    <t>налога с доходов</t>
  </si>
  <si>
    <t>налога с доходов, уменьшенных на величину расходов</t>
  </si>
  <si>
    <t>№ п\п</t>
  </si>
  <si>
    <t>Арендатор</t>
  </si>
  <si>
    <t>Сумма арендной платы за 1 месяц, руб.</t>
  </si>
  <si>
    <t>Срок аренды</t>
  </si>
  <si>
    <t>Поступления на 01.10.10</t>
  </si>
  <si>
    <t>Задолж.</t>
  </si>
  <si>
    <t>Суркашева А.М</t>
  </si>
  <si>
    <t>Территориальный орган Федеральной службы государственной статистики по Республике Алтай</t>
  </si>
  <si>
    <t>Приложение 7</t>
  </si>
  <si>
    <t xml:space="preserve">Наименование </t>
  </si>
  <si>
    <t>земли под ИЖС</t>
  </si>
  <si>
    <t>земли    сельхозназначения</t>
  </si>
  <si>
    <t>земли несельхозназначения</t>
  </si>
  <si>
    <t>земли для рекреационной деятельности</t>
  </si>
  <si>
    <t>ИТОГО</t>
  </si>
  <si>
    <t>Лепетова С.В.</t>
  </si>
  <si>
    <t>Прочие денежные взыскания (штрафы) за правонарушения в области дорожного движения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</si>
  <si>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</si>
  <si>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за нарушение законодательства в области охраны окружающей среды</t>
  </si>
  <si>
    <t>Занятость и заработная плата</t>
  </si>
  <si>
    <t>Ед. измерения</t>
  </si>
  <si>
    <t>Фонд заработной платы всех работников организаций</t>
  </si>
  <si>
    <t>Всего</t>
  </si>
  <si>
    <t>январь-март</t>
  </si>
  <si>
    <t>тысяча рублей</t>
  </si>
  <si>
    <t>январь-июнь</t>
  </si>
  <si>
    <t>январь-сентябрь</t>
  </si>
  <si>
    <t>январь-декабрь</t>
  </si>
  <si>
    <t>Раздел А Сельское хозяйство, охота и лесное хозяйство</t>
  </si>
  <si>
    <t>6405.1</t>
  </si>
  <si>
    <t>7231.5</t>
  </si>
  <si>
    <t>14335.2</t>
  </si>
  <si>
    <t>15449.6</t>
  </si>
  <si>
    <t>22646.9</t>
  </si>
  <si>
    <t>34404.7</t>
  </si>
  <si>
    <t>Раздел D Обрабатывающие производства</t>
  </si>
  <si>
    <t>1070.2</t>
  </si>
  <si>
    <t>940.7</t>
  </si>
  <si>
    <t>2267.8</t>
  </si>
  <si>
    <t>3491.7</t>
  </si>
  <si>
    <t>4990.4</t>
  </si>
  <si>
    <t>Раздел Е Производство и распределение электроэнергии, газа и воды</t>
  </si>
  <si>
    <t>6028.8</t>
  </si>
  <si>
    <t>6334.9</t>
  </si>
  <si>
    <t>10794.1</t>
  </si>
  <si>
    <t>11525.4</t>
  </si>
  <si>
    <t>15375.4</t>
  </si>
  <si>
    <t>21629.1</t>
  </si>
  <si>
    <t>Раздел F Строительство</t>
  </si>
  <si>
    <t>36.6</t>
  </si>
  <si>
    <t>642.2</t>
  </si>
  <si>
    <t>768.5</t>
  </si>
  <si>
    <t>Раздел G Оптовая и розничная торговля; ремонт автотранспортных средств, мотоциклов, бытовых изделий и предметов личного пользования</t>
  </si>
  <si>
    <t>1754.6</t>
  </si>
  <si>
    <t>1720.2</t>
  </si>
  <si>
    <t>3651.1</t>
  </si>
  <si>
    <t>7328.7</t>
  </si>
  <si>
    <t>Раздел Н Гостиницы и рестораны</t>
  </si>
  <si>
    <t>709.9</t>
  </si>
  <si>
    <t>1445.9</t>
  </si>
  <si>
    <t>2344.6</t>
  </si>
  <si>
    <t>3092.6</t>
  </si>
  <si>
    <t>Раздел I Транспорт и связь</t>
  </si>
  <si>
    <t>13088.3</t>
  </si>
  <si>
    <t>14470.1</t>
  </si>
  <si>
    <t>27318.2</t>
  </si>
  <si>
    <t>28817.8</t>
  </si>
  <si>
    <t>40366.4</t>
  </si>
  <si>
    <t>54209.6</t>
  </si>
  <si>
    <t>Раздел J Финансовая деятельность</t>
  </si>
  <si>
    <t>1100.9</t>
  </si>
  <si>
    <t>2493.2</t>
  </si>
  <si>
    <t>3687.7</t>
  </si>
  <si>
    <t>Раздел K Операции с недвижимым имуществом, аренда и предоставление услуг</t>
  </si>
  <si>
    <t>1850.9</t>
  </si>
  <si>
    <t>3771.5</t>
  </si>
  <si>
    <t>11667.8</t>
  </si>
  <si>
    <t>7636.6</t>
  </si>
  <si>
    <t>Раздел L Государственное управление и обеспечение военной безопасности; социальное страхование</t>
  </si>
  <si>
    <t>44067.3</t>
  </si>
  <si>
    <t>38837.1</t>
  </si>
  <si>
    <t>91322.9</t>
  </si>
  <si>
    <t>81968.3</t>
  </si>
  <si>
    <t>135746.5</t>
  </si>
  <si>
    <t>187488.4</t>
  </si>
  <si>
    <t>Раздел M Образование</t>
  </si>
  <si>
    <t>37005.2</t>
  </si>
  <si>
    <t>37835.8</t>
  </si>
  <si>
    <t>80386.3</t>
  </si>
  <si>
    <t>86367.2</t>
  </si>
  <si>
    <t>108357.3</t>
  </si>
  <si>
    <t>Раздел N Здравоохранение и предоставление социальных услуг</t>
  </si>
  <si>
    <t>25942.5</t>
  </si>
  <si>
    <t>28148.9</t>
  </si>
  <si>
    <t>56638.6</t>
  </si>
  <si>
    <t>58282.3</t>
  </si>
  <si>
    <t>86339.6</t>
  </si>
  <si>
    <t>118783.4</t>
  </si>
  <si>
    <t>Раздел O Предоставление прочих коммунальных, социальных и персональных услуг</t>
  </si>
  <si>
    <t>5671.9</t>
  </si>
  <si>
    <t>6161.7</t>
  </si>
  <si>
    <t>10715.1</t>
  </si>
  <si>
    <t>12653.4</t>
  </si>
  <si>
    <t>15960.7</t>
  </si>
  <si>
    <t>23401.9</t>
  </si>
  <si>
    <t>БД ПМО Республики Алтай</t>
  </si>
  <si>
    <t>ПОКАЗАТЕЛИ,</t>
  </si>
  <si>
    <t>ХАРАКТЕРИЗУЮЩИЕ СОСТОЯНИЕ ЭКОНОМИКИ И</t>
  </si>
  <si>
    <t>СОЦИАЛЬНОЙ СФЕРЫ МУНИЦИПАЛЬНОГО ОБРАЗОВАНИЯ</t>
  </si>
  <si>
    <t>Онгудайский муниципальный район</t>
  </si>
  <si>
    <t>Муниципальный район</t>
  </si>
  <si>
    <t>за 2014, 2015 годы</t>
  </si>
  <si>
    <t>средне зачение за полугодие</t>
  </si>
  <si>
    <t>среднее значение за месяц</t>
  </si>
  <si>
    <t>среднее зачение за 2015 год</t>
  </si>
  <si>
    <t>среднее значение</t>
  </si>
  <si>
    <t>Налог на доходы с физических лиц</t>
  </si>
  <si>
    <t>2017год</t>
  </si>
  <si>
    <t>2018год</t>
  </si>
  <si>
    <t>2019год</t>
  </si>
  <si>
    <t>Прогнозируемая сумма , тыс.руб</t>
  </si>
  <si>
    <t>Налог, взимаемый в связи с применением патентной системы налогообложения, зачисляемый в бюджеты муниципальных районов</t>
  </si>
  <si>
    <t>2017г к 2016г</t>
  </si>
  <si>
    <t>2018г к 2017г</t>
  </si>
  <si>
    <t>2019г к 2018г</t>
  </si>
  <si>
    <t>Администратор дохода</t>
  </si>
  <si>
    <t>Поступление за 2014 год</t>
  </si>
  <si>
    <t>Поступление за 2015 год</t>
  </si>
  <si>
    <t>Поступление на 01.11.2016год</t>
  </si>
  <si>
    <t>Прогноз на      2017 год</t>
  </si>
  <si>
    <t>Темп роста (снижения )</t>
  </si>
  <si>
    <t>Министерство внутренних дел Российской Федерации</t>
  </si>
  <si>
    <t>Федеральная  налоговая служба</t>
  </si>
  <si>
    <t>Федеральная миграционная служба</t>
  </si>
  <si>
    <t>Федеральная служба  по ветеринарному и фитосанитарному надзору</t>
  </si>
  <si>
    <t>081</t>
  </si>
  <si>
    <t>Федеральная служба по надзору в сфере природопользования</t>
  </si>
  <si>
    <t>048</t>
  </si>
  <si>
    <t>Федеральная служба по надзору в сфере защиты прав потребителей</t>
  </si>
  <si>
    <t>Федеральная служба государственной регистрации, кадастра и картографии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</si>
  <si>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</si>
  <si>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Управление по экономике и финансам Онгудайского района</t>
  </si>
  <si>
    <t>092</t>
  </si>
  <si>
    <t>Федеральная антимонопольная служба</t>
  </si>
  <si>
    <t>Министерство природных ресурсов, экологии  и имущественных отношений Республики Алтай</t>
  </si>
  <si>
    <t>919</t>
  </si>
  <si>
    <t>Комитет по охране, использованию и воспроизводству объектов животного мира Республики Алтай</t>
  </si>
  <si>
    <t>925</t>
  </si>
  <si>
    <t>Расчет поступлений в доход муниципального образования "Онгудайский район"  за аренду земльных участков на 2017 год.</t>
  </si>
  <si>
    <t>177</t>
  </si>
  <si>
    <t>№п/п</t>
  </si>
  <si>
    <t>Сумма по договору</t>
  </si>
  <si>
    <t>Сумма на 2017 год</t>
  </si>
  <si>
    <t>1.</t>
  </si>
  <si>
    <t>Суммы по действующим договорам</t>
  </si>
  <si>
    <t>1.1.</t>
  </si>
  <si>
    <t>Ининское СП</t>
  </si>
  <si>
    <t>1.2.</t>
  </si>
  <si>
    <t>Купчегеньское СП</t>
  </si>
  <si>
    <t>1.3.</t>
  </si>
  <si>
    <t>Хабаровское СП</t>
  </si>
  <si>
    <t>1.4.</t>
  </si>
  <si>
    <t>Онгудайское СП</t>
  </si>
  <si>
    <t>1.5.</t>
  </si>
  <si>
    <t>Шашикманское СП</t>
  </si>
  <si>
    <t>1.6.</t>
  </si>
  <si>
    <t>Нижне-Талдинское СП</t>
  </si>
  <si>
    <t>1.7.</t>
  </si>
  <si>
    <t>Каракольское СП</t>
  </si>
  <si>
    <t>1.8.</t>
  </si>
  <si>
    <t>Куладинское СП</t>
  </si>
  <si>
    <t>1.9.</t>
  </si>
  <si>
    <t>Теньгинское СП</t>
  </si>
  <si>
    <t>1.10.</t>
  </si>
  <si>
    <t>Елинское СП</t>
  </si>
  <si>
    <t>1.11.</t>
  </si>
  <si>
    <t>ОКС Онгудайского района</t>
  </si>
  <si>
    <t>2.</t>
  </si>
  <si>
    <t>РЕКРЕАЦИОНАЯ ДЕЯТЕЛЬНОСТЬ</t>
  </si>
  <si>
    <t>ООО "Алтайское подворье" Калашник С.П.</t>
  </si>
  <si>
    <t>Бабий Екатерина Александровна</t>
  </si>
  <si>
    <t>Перевал Семинский Шаповалова АБ</t>
  </si>
  <si>
    <t>Региональный Фонд "Алтай Куреш"Текенов С.Э</t>
  </si>
  <si>
    <t>Урочище Кара Суу Шинжин С.М.</t>
  </si>
  <si>
    <t>Урочище Айры Таш Чуруков В.Н.</t>
  </si>
  <si>
    <t>Урочище Сата-Кулар, по правой стороне автодороги М-52 Хабаров В.Е.</t>
  </si>
  <si>
    <t>3.</t>
  </si>
  <si>
    <t>ГОСУДАРСТВЕННАЯ СОБСТВЕННОСТЬ</t>
  </si>
  <si>
    <t>Чеснаков Владимир Анатольевич</t>
  </si>
  <si>
    <t>Поносов Михаил Александрович</t>
  </si>
  <si>
    <t>Шахов Валерий Васильевич, до 2016г</t>
  </si>
  <si>
    <t>Суркашев Айдар Юзлаевич</t>
  </si>
  <si>
    <t>Манышев Виктор Язулович, до 2017г</t>
  </si>
  <si>
    <t>Темеев Байзын Ялабыевич</t>
  </si>
  <si>
    <t>КХ "Таян", Мампина Надежда Николаевна, до 2017г</t>
  </si>
  <si>
    <t>КХ "Калбак_Таш", Такин Александр Сергеевич</t>
  </si>
  <si>
    <t>КХ Аткунов Игорь Егорович</t>
  </si>
  <si>
    <t>4.</t>
  </si>
  <si>
    <t>ЭКСПЛИКАЦИЯ ЗЕМЕЛЬ РФП</t>
  </si>
  <si>
    <t>КХ "Аржан" Тобоев СК</t>
  </si>
  <si>
    <t>КХ "Кара-Тонош" Чугин ВН</t>
  </si>
  <si>
    <t>КХ "Звезда" Кулиш В.П.</t>
  </si>
  <si>
    <t>КХ "Искра" Туткушакова АИ</t>
  </si>
  <si>
    <t>ООО "Шашикман-АгроХимСервис" Кергилов СВ</t>
  </si>
  <si>
    <t>КХ "Боро" Боронов АЕ</t>
  </si>
  <si>
    <t xml:space="preserve">ИТОГО  </t>
  </si>
  <si>
    <t>Суммы по действующим договрам, заключенных до 2015 года</t>
  </si>
  <si>
    <t>6.</t>
  </si>
  <si>
    <t>Суммы по планируемым договорам</t>
  </si>
  <si>
    <t>6.1.</t>
  </si>
  <si>
    <t>6.2.</t>
  </si>
  <si>
    <t>6.3.</t>
  </si>
  <si>
    <t>6.4.</t>
  </si>
  <si>
    <t xml:space="preserve">Коды бюджетной      </t>
  </si>
  <si>
    <t xml:space="preserve">классификации доходов и  </t>
  </si>
  <si>
    <t>расходов</t>
  </si>
  <si>
    <t>Плановые</t>
  </si>
  <si>
    <t>назначения</t>
  </si>
  <si>
    <t xml:space="preserve">на   текущий   </t>
  </si>
  <si>
    <t>год,</t>
  </si>
  <si>
    <t>тыс.  руб</t>
  </si>
  <si>
    <t>Оценка</t>
  </si>
  <si>
    <t>ожидаемого</t>
  </si>
  <si>
    <t>исполнения</t>
  </si>
  <si>
    <t xml:space="preserve">на    текущий   </t>
  </si>
  <si>
    <t>Выполнение</t>
  </si>
  <si>
    <t xml:space="preserve">плановых   </t>
  </si>
  <si>
    <t>назначений,</t>
  </si>
  <si>
    <t>%</t>
  </si>
  <si>
    <t>Плановые назначения на очередной финансовый год, тыс.руб.</t>
  </si>
  <si>
    <t>Темп роста плановых назначений очередного финансового года к оценке ожидаемого исполнения текущего года, %</t>
  </si>
  <si>
    <t xml:space="preserve">Доходы бюджета - Итого               </t>
  </si>
  <si>
    <t>Налоговые и неналоговые доходы, всего</t>
  </si>
  <si>
    <t>в том числе налоговые  и  неналоговые</t>
  </si>
  <si>
    <t xml:space="preserve">доходы по следующим подгруппам:      </t>
  </si>
  <si>
    <t>Налог на доходы физических лиц</t>
  </si>
  <si>
    <t>000 1 01 02000 01 0000 110</t>
  </si>
  <si>
    <t>Налоги на товары (работы, услуги), реализуемые на территории Российской Федерации</t>
  </si>
  <si>
    <t>000  1 03 00000 00 0000 000</t>
  </si>
  <si>
    <t xml:space="preserve">Налоги на совокупный доход           </t>
  </si>
  <si>
    <t>000 1 05 00000 00 0000 000</t>
  </si>
  <si>
    <t>Налог,   взимаемый   в связи  с   применением упрощенной  системы</t>
  </si>
  <si>
    <t xml:space="preserve">налогообложения       </t>
  </si>
  <si>
    <t>000 1 05 01000 00 0000 110</t>
  </si>
  <si>
    <t xml:space="preserve">Единый  налог  на вмененный  доход   для отдельных   видов деятельности          </t>
  </si>
  <si>
    <t>000 1 05 02000 02 0000 110</t>
  </si>
  <si>
    <t xml:space="preserve">Единый сельскохозяйственный  </t>
  </si>
  <si>
    <t xml:space="preserve">налог                 </t>
  </si>
  <si>
    <t>000 1 05 03000 01 0000 110</t>
  </si>
  <si>
    <t>Налог, взимаемый в связи с применением патентной системы налогообложения</t>
  </si>
  <si>
    <t>000 1 05 04000 02 0000 110</t>
  </si>
  <si>
    <t xml:space="preserve">Налоги на имущество                  </t>
  </si>
  <si>
    <t>000 1 06 00000 00 0000 000</t>
  </si>
  <si>
    <t xml:space="preserve">Налог   на   имущество организаций           </t>
  </si>
  <si>
    <t>000 1 06 02000 02 0000 110</t>
  </si>
  <si>
    <t>Налоги, сборы и регулярные платежи за пользование природными ресурсами</t>
  </si>
  <si>
    <t>000 1 07 00000 00 0000 000</t>
  </si>
  <si>
    <t xml:space="preserve">Государственная пошлина              </t>
  </si>
  <si>
    <t>000 1 08 00000 00 0000 000</t>
  </si>
  <si>
    <t>Доходы  от  использования  имущества,</t>
  </si>
  <si>
    <t>находящегося   в  государственной   и</t>
  </si>
  <si>
    <t xml:space="preserve">муниципальной собственности          </t>
  </si>
  <si>
    <t>000 1 11 00000 00 0000 000</t>
  </si>
  <si>
    <t>Платежи  при  пользовании  природными</t>
  </si>
  <si>
    <t xml:space="preserve">ресурсами                            </t>
  </si>
  <si>
    <t>000 1 12 00000 00 0000 000</t>
  </si>
  <si>
    <t>Прочие доходы от компенсации затрат государства</t>
  </si>
  <si>
    <t>000  1 13 00000 00 0000 000</t>
  </si>
  <si>
    <t>Доходы  от  продажи  материальных   и</t>
  </si>
  <si>
    <t xml:space="preserve">нематериальных активов               </t>
  </si>
  <si>
    <t>000 1 14 00000 00 0000 000</t>
  </si>
  <si>
    <t xml:space="preserve">Штрафы, санкции, возмещение ущерба   </t>
  </si>
  <si>
    <t>000 1 16 00000 00 0000 000</t>
  </si>
  <si>
    <t xml:space="preserve">Прочие неналоговые доходы            </t>
  </si>
  <si>
    <t>000 1 17 00000 00 0000 000</t>
  </si>
  <si>
    <t>-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</si>
  <si>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</si>
  <si>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</si>
  <si>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</si>
  <si>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</si>
  <si>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000 2 02 01000 00 0000 151</t>
  </si>
  <si>
    <t>000 2 02 02000 00 0000 151</t>
  </si>
  <si>
    <t>Субвенции бюджетам субъектов Российской Федерации и муниципальных образований</t>
  </si>
  <si>
    <t>000 2 02 03000 00 0000 151</t>
  </si>
  <si>
    <t>000 2 02 04000 00 0000 151</t>
  </si>
  <si>
    <t>Возврат остатков субсидий, субвенций и и иных межбюджетных трансфертов, имеющих целевое назначение, прошлых лет</t>
  </si>
  <si>
    <t>2 19 00000 00 0000 000</t>
  </si>
  <si>
    <t>Расходы бюджета - ИТОГО</t>
  </si>
  <si>
    <t>000  9600  0000000  000  000</t>
  </si>
  <si>
    <t>Общегосударственные вопросы</t>
  </si>
  <si>
    <t>000  0100  0000000  000  000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</si>
  <si>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</si>
  <si>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</si>
  <si>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</si>
  <si>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000  0103  0000000  000  000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</si>
  <si>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</si>
  <si>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000  0104  0000000  000  000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</si>
  <si>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</si>
  <si>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000  0106  0000000  000  000</t>
  </si>
  <si>
    <t>Проведение выборов</t>
  </si>
  <si>
    <t>000  0107  0000000  000  000</t>
  </si>
  <si>
    <t>Резервные фонды</t>
  </si>
  <si>
    <t>000  0111  0000000  000  000</t>
  </si>
  <si>
    <t>Другие общегосударственные вопросы</t>
  </si>
  <si>
    <t>000  0113  0000000  000  000</t>
  </si>
  <si>
    <t>Национальная оборона</t>
  </si>
  <si>
    <t>000  0200  0000000  000  000</t>
  </si>
  <si>
    <t>Мобилизационная и вневойсковая подготовка</t>
  </si>
  <si>
    <t>000  0203  0000000  000  000</t>
  </si>
  <si>
    <t>Национальная безопасность и правоохранительная деятельность</t>
  </si>
  <si>
    <t>000  0300  0000000  000  000</t>
  </si>
  <si>
    <t>Защита населения и территории от чрезвычайных ситуаций природного и техногенного характера, гражданская оборона</t>
  </si>
  <si>
    <t>000  0309  0000000  000  000</t>
  </si>
  <si>
    <t>Другие вопросы в области  национальной  безопасности и правоохранительной деятельности</t>
  </si>
  <si>
    <t>000  0314  0000000  000  000</t>
  </si>
  <si>
    <t>Национальная экономика</t>
  </si>
  <si>
    <t>000  0400  0000000  000  000</t>
  </si>
  <si>
    <t>Сельское хозяйство и рыболовство</t>
  </si>
  <si>
    <t>000  0405  0000000  000  000</t>
  </si>
  <si>
    <t>Дорожное хозяйство (дорожные фонды)</t>
  </si>
  <si>
    <t>000  0409  0000000  000  000</t>
  </si>
  <si>
    <t>Другие вопросы в области национальной экономики</t>
  </si>
  <si>
    <t>000  0412  0000000  000  000</t>
  </si>
  <si>
    <t>Жилищно-коммунальное хозяйство</t>
  </si>
  <si>
    <t>000  0500  0000000  000  000</t>
  </si>
  <si>
    <t>Коммунальное хозяйство</t>
  </si>
  <si>
    <t>000  0502  0000000  000  000</t>
  </si>
  <si>
    <t>Благоустройство</t>
  </si>
  <si>
    <t>000  0503  0000000  000  000</t>
  </si>
  <si>
    <t>Охрана окружающей среды</t>
  </si>
  <si>
    <t>000  0600  0000000  000  000</t>
  </si>
  <si>
    <t>000  0605  0000000  000  000</t>
  </si>
  <si>
    <t>Образование</t>
  </si>
  <si>
    <t>000  0700  0000000  000  000</t>
  </si>
  <si>
    <t>Дошкольное образование</t>
  </si>
  <si>
    <t>000  0701  0000000  000  000</t>
  </si>
  <si>
    <t>Общее образование</t>
  </si>
  <si>
    <t>000  0702  0000000  000  000</t>
  </si>
  <si>
    <t>Профессиональная подготовка, переподготовка и повышение квалификации</t>
  </si>
  <si>
    <t>000  0705  0000000  000  000</t>
  </si>
  <si>
    <t>Молодежная политика и оздоровление детей</t>
  </si>
  <si>
    <t>000  0707  0000000  000  000</t>
  </si>
  <si>
    <t>Другие вопросы в области образования</t>
  </si>
  <si>
    <t>000  0709  0000000  000  000</t>
  </si>
  <si>
    <t>Культура, кинематография, средства массовой информации</t>
  </si>
  <si>
    <t>000  0800  0000000  000  000</t>
  </si>
  <si>
    <t>Культура</t>
  </si>
  <si>
    <t>000  0801  0000000  000  000</t>
  </si>
  <si>
    <t>Периодическая печать и издательства</t>
  </si>
  <si>
    <t>000  0804  0000000  000  000</t>
  </si>
  <si>
    <t>Здравоохранение</t>
  </si>
  <si>
    <t>000  0900  0000000  000  000</t>
  </si>
  <si>
    <t>000  0901  0000000  000  000</t>
  </si>
  <si>
    <t>Другие вопросы в области здравоохранения</t>
  </si>
  <si>
    <t>000  0909  0000000  000  000</t>
  </si>
  <si>
    <t>Социальная политика</t>
  </si>
  <si>
    <t>000  1000  0000000  000  000</t>
  </si>
  <si>
    <t>Пенсионное обеспечение</t>
  </si>
  <si>
    <t>000  1001  0000000  000  000</t>
  </si>
  <si>
    <t>Социальное обеспечение населения</t>
  </si>
  <si>
    <t>000  1003  0000000  000  000</t>
  </si>
  <si>
    <t>Охрана семьи и детства</t>
  </si>
  <si>
    <t>000  1004  0000000  000  000</t>
  </si>
  <si>
    <t>Другие вопросы в области социальной политики</t>
  </si>
  <si>
    <t>000  1006  0000000  000  000</t>
  </si>
  <si>
    <t>Физическая культура и спорт</t>
  </si>
  <si>
    <t>000  1100  0000000  000  000</t>
  </si>
  <si>
    <t>Физическая культура</t>
  </si>
  <si>
    <t>000  1101  0000000  000  000</t>
  </si>
  <si>
    <t>000  1105  0000000  000  000</t>
  </si>
  <si>
    <t>Средства массовой информации</t>
  </si>
  <si>
    <t>000  1200  0000000  000  000</t>
  </si>
  <si>
    <t>Периодическая  печать и издательства</t>
  </si>
  <si>
    <t>000  1202  0000000  000  000</t>
  </si>
  <si>
    <t>Обслуживание государственного и муниципального долга</t>
  </si>
  <si>
    <t>000  1300  0000000  000  000</t>
  </si>
  <si>
    <t xml:space="preserve"> Обслуживание государственного внутреннего и муниципального долга</t>
  </si>
  <si>
    <t>000  1301  0000000  000  000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</si>
  <si>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</si>
  <si>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000  1400  0000000  000  000</t>
  </si>
  <si>
    <t>Дотация на выравнивание уровня бюджетной обеспеченности  субъектов Российской Федерации и муниципальных образований</t>
  </si>
  <si>
    <t>000  1401  0000000  000  000</t>
  </si>
  <si>
    <t>Прочие межбюджетные трансферты общего характера</t>
  </si>
  <si>
    <t>000  1403  0000000  000  000</t>
  </si>
  <si>
    <t>Результат исполнения бюджета (дефицит "--", профицит "+")</t>
  </si>
  <si>
    <t>000  7900  0000000  000  000</t>
  </si>
  <si>
    <t xml:space="preserve">к Пояснительной записке к проекту  решения "О бюджете муниципального образования "Онгудайский район" на 2017 год и на плановый период 2018-2019 годов ." </t>
  </si>
  <si>
    <t xml:space="preserve"> ПОСТУПЛЕНИЯ ДОХОДОВ В РАЙОННЫЙ БЮДЖЕТ МУНИЦИПАЛЬНОГО ОБРАЗОВАНИЯ "ОНГУДАЙСКИЙ РАЙОН"  ЗА 2015-2020ГОДЫ                    </t>
  </si>
  <si>
    <t>2016 год</t>
  </si>
  <si>
    <t>на 01.07., тыс.руб.</t>
  </si>
  <si>
    <t>за год</t>
  </si>
  <si>
    <t xml:space="preserve"> ожидаемое за год</t>
  </si>
  <si>
    <t>2020год</t>
  </si>
  <si>
    <t>2020 г к 2019г</t>
  </si>
  <si>
    <t xml:space="preserve">Утвержденный план </t>
  </si>
  <si>
    <t>01.07.2017 к 01.07.2016</t>
  </si>
  <si>
    <t>2015 год</t>
  </si>
  <si>
    <t>% исполнения утвержденного  плана</t>
  </si>
  <si>
    <t xml:space="preserve"> ПОСТУПЛЕНИЯ ДОХОДОВ В КОНСОЛИДИРОВАННЫЙ  БЮДЖЕТ МУНИЦИПАЛЬНОГО ОБРАЗОВАНИЯ "ОНГУДАЙСКИЙ РАЙОН"  ЗА 2015-2020ГОДЫ                    </t>
  </si>
  <si>
    <t>Земельный налог</t>
  </si>
  <si>
    <t>Налог на имущество физических лиц</t>
  </si>
  <si>
    <t>ЗАДОЛЖЕННОСТЬ И ПЕРЕРАСЧЕТЫ ПО ОТМЕНЕННЫМ НАЛОГАМ, СБОРАМ И ИНЫМ ОБЯЗАТЕЛЬНЫМ ПЛАТЕЖАМ</t>
  </si>
  <si>
    <t>01.07.2016 к 01.07.2015</t>
  </si>
  <si>
    <t>2016 к2015</t>
  </si>
  <si>
    <t>2017 к 2016</t>
  </si>
  <si>
    <t>2019 г к 2018</t>
  </si>
  <si>
    <t>2020 к 2019</t>
  </si>
  <si>
    <t>разовое поступление от продажи недвижимости</t>
  </si>
  <si>
    <t>Кол-во выданных патентов уменьшается</t>
  </si>
  <si>
    <t>За счет увеличения плательщиков</t>
  </si>
  <si>
    <t>Кол-во выданных лицензий уменьшается</t>
  </si>
  <si>
    <t>Водится в эксп. Солнечная энергия</t>
  </si>
  <si>
    <t>Н.база почти не изменилась (основание Отчеты №5 за 2015годи за 2016год)</t>
  </si>
  <si>
    <t>Прогноз поступлений  налога на доходы физических лиц на 2018 год, тыс. рублей</t>
  </si>
  <si>
    <t>Прогноз поступлений  налога на доходы физических лиц на 2019год, тыс. рублей</t>
  </si>
  <si>
    <t>Прогноз поступлений  налога на доходы физических лиц на 2020 год, тыс. рублей</t>
  </si>
  <si>
    <t>Поступление в районный бюджет</t>
  </si>
  <si>
    <t>Расчет поступлений налога на доходы физических лиц в  бюджет муниципального образования "Онгудайский район" на 2018-2020 годы</t>
  </si>
  <si>
    <t>Плановое поступление на 2017 год</t>
  </si>
  <si>
    <t>фактическое поступление на 01.10.2017г</t>
  </si>
  <si>
    <t>фактическое поступление за 2016 год</t>
  </si>
  <si>
    <t>Налоговая база для исчисления налога на имущество организаций за 2018 год, тыс.руб.</t>
  </si>
  <si>
    <t>Налоговая база для исчисления налога на имущество организаций за 2019 год, тыс.руб.</t>
  </si>
  <si>
    <t>Сумма налога на имущество организаций за 2019 год, тыс.руб.</t>
  </si>
  <si>
    <t>к пояснительной записке к проекту решения           " О бюджете муниципального образования "Онгудайский район" на 2019 год и на плановый период 2020-2021 годов"</t>
  </si>
  <si>
    <t>Расчет поступлений налога,взимаемый в связи с применением упрощенной системы налогообложения в бюджет муниципального образования "Онгудайский район"  на 2019-2021 годы</t>
  </si>
  <si>
    <t>Норматив отчисления в бюджет муниципального образования, %</t>
  </si>
  <si>
    <t>Приложение 3</t>
  </si>
  <si>
    <t>Налоговая база</t>
  </si>
  <si>
    <t>Сумма исчисленного  налога за налоговый период</t>
  </si>
  <si>
    <t xml:space="preserve">Налоговая база </t>
  </si>
  <si>
    <t>Налоговая ставка, %</t>
  </si>
  <si>
    <t>Норматив отчисления в бюджет муниципального образования,  %</t>
  </si>
  <si>
    <t xml:space="preserve">Сумма исчисленного налога </t>
  </si>
  <si>
    <t>Приложение 4</t>
  </si>
  <si>
    <t>Расчет поступлений единого сельскохозяйственного налога  в бюджет муниципального образования "Онгудайский район" на 2019-2021 годы</t>
  </si>
  <si>
    <t xml:space="preserve"> коэффициент К1 за 2018год</t>
  </si>
  <si>
    <t>коэффициент К2 за 2018год среднее значение</t>
  </si>
  <si>
    <t>Расчет поступлений единого налога на вмененный доход для отдельных видов деятельности в бюджет муниципального образования "Онгудайский район"  на 2019-2021 годы</t>
  </si>
  <si>
    <t>Приложение 5</t>
  </si>
  <si>
    <t xml:space="preserve">Расчет поступлений налога на имущество организаций в  бюджет муниципального образования "Онгудайский район" на 2019-2021 годы </t>
  </si>
  <si>
    <t>Прогноз поступлений УСН на 2019 год, тыс.рублей</t>
  </si>
  <si>
    <t xml:space="preserve">Прогноз поступлений УСН на 2021 год, тыс. рублей </t>
  </si>
  <si>
    <t>Прогноз поступлений ЕНВД на 2019 год, тыс.рублей</t>
  </si>
  <si>
    <t>Прогноз поступлений ЕНВД на 2020 год, тыс.рублей</t>
  </si>
  <si>
    <t>Прогноз поступлений ЕНВД на 2021 год, тыс.рублей</t>
  </si>
  <si>
    <t xml:space="preserve">Итого сумма  налога </t>
  </si>
  <si>
    <t>Прогноз поступлений налога  в  бюджет муниципального образования</t>
  </si>
  <si>
    <t>Прогноз поступлений ЕСХН на 2019 год, тыс.рублей</t>
  </si>
  <si>
    <t>Прогноз поступлений ЕСХН на 2020 год, тыс.рублей</t>
  </si>
  <si>
    <t>Прогноз поступлений ЕСХН на 2021 год, тыс.рублей</t>
  </si>
  <si>
    <t>Прогноз поступлений налога в  бюджет муниципального образования</t>
  </si>
  <si>
    <t>Сумма налога за 3 квартала планируемого года</t>
  </si>
  <si>
    <t>Сумма налога за 1 квартал отчетного года</t>
  </si>
  <si>
    <t>Дополнительные  поступления налога</t>
  </si>
  <si>
    <t>Прогноз поступлений налога, взимаемый в связи с применением патентной системы налогообложения в бюджет муниципального образования</t>
  </si>
  <si>
    <t>Прогноз поступлений налога  УСН в  бюджет муниципального образования</t>
  </si>
  <si>
    <t>Приложение  9</t>
  </si>
  <si>
    <t>Анализ поступления штрафов, санкций в бюджет муниципального образования «Онгудайский район» на 2019-2021 годы</t>
  </si>
  <si>
    <t>Сумма налога на имущество организаций за 2018 год, тыс. руб.</t>
  </si>
  <si>
    <t>сумма налога на имущество организаций  подлежащая уплате в 2019 году  (годовые расчеты за 2018год), тыс. руб.</t>
  </si>
  <si>
    <t>Эффективная ставка налога на имущество организаций в 2018 году,  %</t>
  </si>
  <si>
    <t>Эффективная ставка налога на имущество организаций в 2019 году,  %</t>
  </si>
  <si>
    <t>сумма авансовых платежей по налогу на имущество организаций подлежащих уплате в 2019 году (квартальные расчеты), тыс. руб.</t>
  </si>
  <si>
    <t>Прогноз поступлений УСН на 2020 год, тыс.рублей</t>
  </si>
  <si>
    <t xml:space="preserve">Общая сумма налога на имущество организаций, подлежащая уплате в  консолидированный бюджет Республики Алтай в 2019 году, тыс. руб. </t>
  </si>
  <si>
    <t>Дополнительные поступления  налога на имущество организаций с кадастровой стоимости офисов, торговых объектов, объектов общественного питания и бытового обслуживания, тыс.руб.</t>
  </si>
  <si>
    <t xml:space="preserve">Сумма налога на имущество организаций подлежащая уплате в 2019 году, тыс. руб.  </t>
  </si>
  <si>
    <t xml:space="preserve">Сумма налога на имущество организаций подлежащая уплате в 2019  году с учетом уровня собираемости, тыс. руб.  </t>
  </si>
  <si>
    <t>Сумма налога на имущество организаций, подлежащая уплате в  бюджет муниципального образования в 2019 году, тыс. рублей</t>
  </si>
  <si>
    <t>2 кв</t>
  </si>
  <si>
    <t>3кв</t>
  </si>
  <si>
    <t>2018 году</t>
  </si>
  <si>
    <t>сред за 1 кв</t>
  </si>
  <si>
    <t>2018 году ожид</t>
  </si>
  <si>
    <t>нал база</t>
  </si>
  <si>
    <t>дох</t>
  </si>
  <si>
    <t>дох-расх</t>
  </si>
  <si>
    <t>на 2019 го</t>
  </si>
  <si>
    <t>план</t>
  </si>
  <si>
    <t>недобираем</t>
  </si>
  <si>
    <t>от плана</t>
  </si>
  <si>
    <t>на 2019 год</t>
  </si>
  <si>
    <t>дох УСН пост на 01.11.2018</t>
  </si>
  <si>
    <t>Налоговая база для исчисления налога на имущество организаций за 2020 год, тыс.руб.</t>
  </si>
  <si>
    <t>Сумма налога на имущество организаций за 2019год, тыс. руб.</t>
  </si>
  <si>
    <t>сумма налога на имущество организаций  подлежащая уплате в 2020 году  (годовые расчеты за 2019год), тыс. руб.</t>
  </si>
  <si>
    <t>Эффективная ставка налога на имущество организаций в 2020 году,  %</t>
  </si>
  <si>
    <t>Сумма налога на имущество организаций за 2020год, тыс.руб.</t>
  </si>
  <si>
    <t>сумма авансовых платежей по налогу на имущество организаций подлежащих уплате в 2020 году (квартальные расчеты), тыс. руб.</t>
  </si>
  <si>
    <t xml:space="preserve">Сумма налога на имущество организаций подлежащая уплате в 2020году, тыс. руб.  </t>
  </si>
  <si>
    <t xml:space="preserve">Сумма налога на имущество организаций подлежащая уплате в 2020 году с учетом уровня собираемости, тыс. руб.  </t>
  </si>
  <si>
    <t xml:space="preserve">Общая сумма налога на имущество организаций, подлежащая уплате в  консолидированный бюджет Республики Алтай в 2020 году, тыс. руб. </t>
  </si>
  <si>
    <t>Сумма налога на имущество организаций, подлежащая уплате в  бюджет муниципального образования в 2020 году, тыс. рублей</t>
  </si>
  <si>
    <t>Сумма налога на имущество организаций за 2020 год, тыс. руб.</t>
  </si>
  <si>
    <t>сумма налога на имущество организаций  подлежащая уплате в 2021 году  (годовые расчеты за 2020год), тыс. руб.</t>
  </si>
  <si>
    <t>Эффективная ставка налога на имущество организаций в 2021 году,  %</t>
  </si>
  <si>
    <t>Налоговая база для исчисления налога на имущество организаций за 2021 год, тыс.руб.</t>
  </si>
  <si>
    <t>сумма авансовых платежей по налогу на имущество организаций подлежащих уплате в 2021году (квартальные расчеты), тыс. руб.</t>
  </si>
  <si>
    <t xml:space="preserve">Сумма налога на имущество организаций подлежащая уплате в 2021 году, тыс. руб.  </t>
  </si>
  <si>
    <t xml:space="preserve">Сумма налога на имущество организаций подлежащая уплате в 2021  году с учетом уровня собираемости, тыс. руб.  </t>
  </si>
  <si>
    <t xml:space="preserve">Общая сумма налога на имущество организаций, подлежащая уплате в  консолидированный бюджет Республики Алтай в 2021 году, тыс. руб. </t>
  </si>
  <si>
    <t>Сумма налога на имущество организаций, подлежащая уплате в  бюджет муниципального образования в 2021 году, тыс. рублей</t>
  </si>
  <si>
    <t xml:space="preserve">Прогноз поступлений налога на имущество организаций </t>
  </si>
  <si>
    <t>Сумма налога на имущество организаций за 2021 год, тыс.руб.</t>
  </si>
  <si>
    <t>Приложение 6</t>
  </si>
  <si>
    <t>к пояснительной записке к  решению           " О бюджете муниципального образования "Онгудайский район" на 2019 год и на плановый период 2020 и 2021 годов"</t>
  </si>
  <si>
    <t xml:space="preserve">к пояснительной записке к   решению  "О бюджете муниципального образования "Онгудайский район" на 2019 год  и на плановый период 2020 и 2021 годов." </t>
  </si>
  <si>
    <t>Годовая сумма аренды (руб)</t>
  </si>
  <si>
    <t>КУ ЦЗН Онгудайского района</t>
  </si>
  <si>
    <t>договор 8 от 12.02.18г, возмещение коммунальных услуг за электроэнергию, теплоснабжение</t>
  </si>
  <si>
    <t>ПАО "Вымпел-Коммуникации"</t>
  </si>
  <si>
    <t>Оплата за размещение оборудования по дог. 69/15-ВК от 29.01.15</t>
  </si>
  <si>
    <t>ИП Унукова Е.О.</t>
  </si>
  <si>
    <t>Договор №1 от 23.03.2017 г.</t>
  </si>
  <si>
    <t>Доп соглашение №2 от 09.01.2018 г.</t>
  </si>
  <si>
    <t xml:space="preserve"> г/к 224-12 от 31.01.18 счет 46 от 22.06.18</t>
  </si>
  <si>
    <t>Унуков А.И. (задолженность 2016 года)</t>
  </si>
  <si>
    <t>задолженность 114,75</t>
  </si>
  <si>
    <t>Приложение 2</t>
  </si>
  <si>
    <t>к проекту  решения "О бюджете муниципального</t>
  </si>
  <si>
    <t xml:space="preserve">образования "Онгудайский  район" </t>
  </si>
  <si>
    <t>на 2019 год и на плановый период 2020 и 2021 годов"</t>
  </si>
  <si>
    <t>Расчет поступлений налога на доходы физических лиц в бюджет муниципального образования "Онгудайский район"  на плановый период 2020 и 2021 годов</t>
  </si>
  <si>
    <t>Прогноз поступлений  налога на доходы физических лиц  на 2020 год,  тыс.рублей</t>
  </si>
  <si>
    <t>Прогноз поступлений налога на доходы физических лиц на 2021 год,  тыс.рублей</t>
  </si>
  <si>
    <t>в консолидированный бюджет всего</t>
  </si>
  <si>
    <t xml:space="preserve">в бюджет МО "Онгудайский район" </t>
  </si>
  <si>
    <t xml:space="preserve">в бюджет МО "Онгудайский  район" </t>
  </si>
  <si>
    <t>Общая сумма дохода физических лиц, получивших доходы</t>
  </si>
  <si>
    <t>х</t>
  </si>
  <si>
    <t>Возврат налога  на доходы физических лиц физическим лицам в соответствии с представлением налоговых вычетов</t>
  </si>
  <si>
    <t>2. Налог на доходы физических лиц с прочих видов доходных источников</t>
  </si>
  <si>
    <t>2.1.  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 нотариусов, занимающихся частной практикой,адвокатов, учредивших адвокатские кабинеты и других лиц, занимающихся частной практикой</t>
  </si>
  <si>
    <t>2.2.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</si>
  <si>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2.3.  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</si>
  <si>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Итого сумма налога на доходы физических лиц с прочих видов доходных источников</t>
  </si>
  <si>
    <t>3. Прогноз поступлений налога на доходы физических лиц  по всем видам доходных источников</t>
  </si>
  <si>
    <t>к проекту решения "О бюджете муниципального</t>
  </si>
  <si>
    <t xml:space="preserve">образования "Онгудайский район" </t>
  </si>
  <si>
    <t>Расчет поступлений налога на доходы физических лиц в бюджет муниципального образования "Онгудайского района " на 2019 год</t>
  </si>
  <si>
    <t>Прогноз поступлений  налога на доходы физических лиц на 2019 год,  тыс. рублей</t>
  </si>
  <si>
    <t>в консолидированный бюджет  всего</t>
  </si>
  <si>
    <t>2. 1. 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 нотариусов, занимающихся частной практикой,адвокатов, учредивших адвокатские кабинеты и других лиц, занимающихся частной практикой</t>
  </si>
  <si>
    <t>3.  Прогноз поступлений налога на доходы физических лиц  по всем видам доходных источников</t>
  </si>
  <si>
    <t>Расчет прогнозного поступления от использования имущества (аренда) на 2019 - 2021  годы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</si>
</sst>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#,##0.0"/>
    <numFmt numFmtId="183" formatCode="#,##0.000"/>
    <numFmt numFmtId="184" formatCode="#,##0.0000"/>
    <numFmt numFmtId="185" formatCode="#,##0.0_р_."/>
    <numFmt numFmtId="186" formatCode="_т_ы_с_._р_.#,##0,"/>
    <numFmt numFmtId="187" formatCode="0.000"/>
    <numFmt numFmtId="188" formatCode="#,##0.000_р_."/>
    <numFmt numFmtId="189" formatCode="#,##0_р_."/>
    <numFmt numFmtId="190" formatCode="_-* #,##0.0_р_._-;\-* #,##0.0_р_._-;_-* &quot;-&quot;??_р_._-;_-@_-"/>
    <numFmt numFmtId="191" formatCode="#,##0.00000"/>
    <numFmt numFmtId="192" formatCode="_-* #,##0.00000_р_._-;\-* #,##0.00000_р_._-;_-* &quot;-&quot;?????_р_._-;_-@_-"/>
    <numFmt numFmtId="193" formatCode="_-* #,##0.000_р_._-;\-* #,##0.000_р_._-;_-* &quot;-&quot;??_р_._-;_-@_-"/>
    <numFmt numFmtId="194" formatCode="_-* #,##0.0000_р_._-;\-* #,##0.0000_р_._-;_-* &quot;-&quot;??_р_._-;_-@_-"/>
    <numFmt numFmtId="195" formatCode="_-* #,##0.00000_р_._-;\-* #,##0.00000_р_._-;_-* &quot;-&quot;??_р_._-;_-@_-"/>
    <numFmt numFmtId="196" formatCode="_-* #,##0_р_._-;\-* #,##0_р_._-;_-* &quot;-&quot;??_р_._-;_-@_-"/>
    <numFmt numFmtId="197" formatCode="#,##0_ ;\-#,##0\ 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_т_ы_с_._р_.#,##0.0,"/>
    <numFmt numFmtId="203" formatCode="_т_ы_с_._р_.#,##0.00,"/>
    <numFmt numFmtId="204" formatCode="_т_ы_с_._р_.#,##0.000,"/>
    <numFmt numFmtId="205" formatCode="_т_ы_с_._р_.#,##0.0000,"/>
    <numFmt numFmtId="206" formatCode="_т_ы_с_._р_.#,##0.00000,"/>
    <numFmt numFmtId="207" formatCode="_т_ы_с_._р_.#,##0.000000,"/>
    <numFmt numFmtId="208" formatCode="#,##0.000000"/>
    <numFmt numFmtId="209" formatCode="_-* #,##0.0000_р_._-;\-* #,##0.0000_р_._-;_-* &quot;-&quot;????_р_._-;_-@_-"/>
    <numFmt numFmtId="210" formatCode="_-* #,##0.000_р_._-;\-* #,##0.000_р_._-;_-* &quot;-&quot;???_р_._-;_-@_-"/>
    <numFmt numFmtId="211" formatCode="_-* #,##0.000000_р_._-;\-* #,##0.000000_р_._-;_-* &quot;-&quot;??_р_._-;_-@_-"/>
    <numFmt numFmtId="212" formatCode="_(* #,##0.0_);_(* \(#,##0.0\);_(* &quot;-&quot;??_);_(@_)"/>
    <numFmt numFmtId="213" formatCode="0.0000"/>
    <numFmt numFmtId="214" formatCode="0.000000"/>
    <numFmt numFmtId="215" formatCode="0.00000"/>
    <numFmt numFmtId="216" formatCode="_(* #,##0_);_(* \(#,##0\);_(* &quot;-&quot;??_);_(@_)"/>
    <numFmt numFmtId="217" formatCode="_-* #,##0.0_р_._-;\-* #,##0.0_р_._-;_-* &quot;-&quot;?_р_._-;_-@_-"/>
  </numFmts>
  <fonts count="86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Arial Cyr"/>
      <family val="0"/>
    </font>
    <font>
      <sz val="14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Segoe UI"/>
      <family val="2"/>
    </font>
    <font>
      <sz val="8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0"/>
      <name val="Arial"/>
      <family val="2"/>
    </font>
    <font>
      <sz val="10"/>
      <color theme="1"/>
      <name val="Calibri"/>
      <family val="2"/>
    </font>
    <font>
      <sz val="11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Segoe UI"/>
      <family val="2"/>
    </font>
    <font>
      <sz val="8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4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 vertical="top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 vertical="top"/>
    </xf>
    <xf numFmtId="0" fontId="68" fillId="0" borderId="0" xfId="0" applyFont="1" applyAlignment="1">
      <alignment/>
    </xf>
    <xf numFmtId="0" fontId="68" fillId="0" borderId="0" xfId="0" applyFont="1" applyAlignment="1">
      <alignment/>
    </xf>
    <xf numFmtId="49" fontId="68" fillId="0" borderId="0" xfId="0" applyNumberFormat="1" applyFont="1" applyAlignment="1">
      <alignment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top" wrapText="1"/>
    </xf>
    <xf numFmtId="0" fontId="68" fillId="0" borderId="0" xfId="0" applyFont="1" applyAlignment="1">
      <alignment vertical="center" wrapText="1"/>
    </xf>
    <xf numFmtId="0" fontId="69" fillId="0" borderId="0" xfId="0" applyFont="1" applyAlignment="1">
      <alignment/>
    </xf>
    <xf numFmtId="0" fontId="69" fillId="33" borderId="10" xfId="0" applyFont="1" applyFill="1" applyBorder="1" applyAlignment="1">
      <alignment vertical="center" wrapText="1"/>
    </xf>
    <xf numFmtId="0" fontId="69" fillId="0" borderId="0" xfId="0" applyFont="1" applyAlignment="1">
      <alignment horizontal="center" vertical="center" wrapText="1"/>
    </xf>
    <xf numFmtId="0" fontId="68" fillId="33" borderId="10" xfId="0" applyFont="1" applyFill="1" applyBorder="1" applyAlignment="1">
      <alignment vertical="center" wrapText="1"/>
    </xf>
    <xf numFmtId="49" fontId="68" fillId="33" borderId="10" xfId="0" applyNumberFormat="1" applyFont="1" applyFill="1" applyBorder="1" applyAlignment="1">
      <alignment horizontal="left"/>
    </xf>
    <xf numFmtId="195" fontId="8" fillId="0" borderId="0" xfId="0" applyNumberFormat="1" applyFont="1" applyAlignment="1">
      <alignment vertical="top" wrapText="1"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vertical="top"/>
    </xf>
    <xf numFmtId="0" fontId="70" fillId="0" borderId="0" xfId="0" applyFont="1" applyAlignment="1">
      <alignment/>
    </xf>
    <xf numFmtId="0" fontId="11" fillId="0" borderId="0" xfId="0" applyFont="1" applyAlignment="1">
      <alignment vertical="top" wrapText="1"/>
    </xf>
    <xf numFmtId="0" fontId="10" fillId="0" borderId="0" xfId="0" applyFont="1" applyFill="1" applyAlignment="1">
      <alignment horizontal="right" vertical="top"/>
    </xf>
    <xf numFmtId="0" fontId="0" fillId="0" borderId="0" xfId="0" applyAlignment="1">
      <alignment vertical="top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Alignment="1">
      <alignment horizontal="left" vertical="top" wrapText="1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43" fontId="0" fillId="0" borderId="0" xfId="0" applyNumberFormat="1" applyAlignment="1">
      <alignment vertical="top" wrapText="1"/>
    </xf>
    <xf numFmtId="0" fontId="13" fillId="0" borderId="0" xfId="0" applyFont="1" applyAlignment="1">
      <alignment vertical="top" wrapText="1"/>
    </xf>
    <xf numFmtId="49" fontId="12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0" fontId="14" fillId="0" borderId="16" xfId="0" applyFont="1" applyBorder="1" applyAlignment="1">
      <alignment horizontal="center" wrapText="1"/>
    </xf>
    <xf numFmtId="0" fontId="14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wrapText="1"/>
    </xf>
    <xf numFmtId="0" fontId="10" fillId="0" borderId="10" xfId="0" applyFont="1" applyBorder="1" applyAlignment="1">
      <alignment horizontal="right" wrapText="1"/>
    </xf>
    <xf numFmtId="0" fontId="10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wrapText="1"/>
    </xf>
    <xf numFmtId="43" fontId="10" fillId="0" borderId="10" xfId="61" applyFont="1" applyBorder="1" applyAlignment="1">
      <alignment horizontal="right" wrapText="1"/>
    </xf>
    <xf numFmtId="43" fontId="0" fillId="0" borderId="0" xfId="0" applyNumberFormat="1" applyAlignment="1">
      <alignment/>
    </xf>
    <xf numFmtId="43" fontId="10" fillId="0" borderId="10" xfId="61" applyFont="1" applyBorder="1" applyAlignment="1">
      <alignment wrapText="1"/>
    </xf>
    <xf numFmtId="0" fontId="12" fillId="0" borderId="10" xfId="0" applyFont="1" applyBorder="1" applyAlignment="1">
      <alignment/>
    </xf>
    <xf numFmtId="43" fontId="12" fillId="0" borderId="10" xfId="61" applyFont="1" applyBorder="1" applyAlignment="1">
      <alignment/>
    </xf>
    <xf numFmtId="43" fontId="12" fillId="33" borderId="10" xfId="61" applyFont="1" applyFill="1" applyBorder="1" applyAlignment="1">
      <alignment/>
    </xf>
    <xf numFmtId="0" fontId="12" fillId="0" borderId="0" xfId="0" applyFont="1" applyAlignment="1">
      <alignment/>
    </xf>
    <xf numFmtId="43" fontId="12" fillId="0" borderId="0" xfId="0" applyNumberFormat="1" applyFont="1" applyAlignment="1">
      <alignment/>
    </xf>
    <xf numFmtId="43" fontId="0" fillId="0" borderId="0" xfId="61" applyFont="1" applyAlignment="1">
      <alignment/>
    </xf>
    <xf numFmtId="0" fontId="15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16" fillId="0" borderId="0" xfId="0" applyFont="1" applyAlignment="1">
      <alignment horizontal="center" vertical="center"/>
    </xf>
    <xf numFmtId="0" fontId="17" fillId="34" borderId="17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left" vertical="center" wrapText="1" indent="1"/>
    </xf>
    <xf numFmtId="0" fontId="17" fillId="34" borderId="17" xfId="0" applyFont="1" applyFill="1" applyBorder="1" applyAlignment="1">
      <alignment horizontal="left" vertical="center" wrapText="1" indent="2"/>
    </xf>
    <xf numFmtId="0" fontId="17" fillId="34" borderId="18" xfId="0" applyFont="1" applyFill="1" applyBorder="1" applyAlignment="1">
      <alignment horizontal="left" vertical="center" wrapText="1" indent="1"/>
    </xf>
    <xf numFmtId="0" fontId="17" fillId="34" borderId="18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left" vertical="center" wrapText="1" indent="1"/>
    </xf>
    <xf numFmtId="0" fontId="17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left" vertical="center" wrapText="1" indent="2"/>
    </xf>
    <xf numFmtId="0" fontId="17" fillId="34" borderId="0" xfId="0" applyFont="1" applyFill="1" applyBorder="1" applyAlignment="1">
      <alignment horizontal="left" vertical="center" wrapText="1" indent="2"/>
    </xf>
    <xf numFmtId="0" fontId="17" fillId="34" borderId="0" xfId="0" applyFont="1" applyFill="1" applyBorder="1" applyAlignment="1">
      <alignment horizontal="center" vertical="center" wrapText="1"/>
    </xf>
    <xf numFmtId="179" fontId="17" fillId="34" borderId="10" xfId="59" applyFont="1" applyFill="1" applyBorder="1" applyAlignment="1">
      <alignment horizontal="center" vertical="center" wrapText="1"/>
    </xf>
    <xf numFmtId="179" fontId="16" fillId="34" borderId="10" xfId="59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43" fontId="71" fillId="0" borderId="0" xfId="0" applyNumberFormat="1" applyFont="1" applyAlignment="1">
      <alignment/>
    </xf>
    <xf numFmtId="0" fontId="69" fillId="33" borderId="19" xfId="0" applyFont="1" applyFill="1" applyBorder="1" applyAlignment="1">
      <alignment vertical="center" wrapText="1"/>
    </xf>
    <xf numFmtId="0" fontId="72" fillId="0" borderId="0" xfId="0" applyFont="1" applyAlignment="1">
      <alignment vertical="center" wrapText="1"/>
    </xf>
    <xf numFmtId="0" fontId="73" fillId="0" borderId="20" xfId="0" applyFont="1" applyBorder="1" applyAlignment="1">
      <alignment vertical="center" wrapText="1"/>
    </xf>
    <xf numFmtId="0" fontId="73" fillId="0" borderId="21" xfId="0" applyFont="1" applyBorder="1" applyAlignment="1">
      <alignment horizontal="center" vertical="center"/>
    </xf>
    <xf numFmtId="2" fontId="73" fillId="34" borderId="22" xfId="0" applyNumberFormat="1" applyFont="1" applyFill="1" applyBorder="1" applyAlignment="1">
      <alignment horizontal="center" vertical="center" wrapText="1"/>
    </xf>
    <xf numFmtId="2" fontId="73" fillId="34" borderId="23" xfId="0" applyNumberFormat="1" applyFont="1" applyFill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/>
    </xf>
    <xf numFmtId="2" fontId="73" fillId="34" borderId="10" xfId="0" applyNumberFormat="1" applyFont="1" applyFill="1" applyBorder="1" applyAlignment="1">
      <alignment horizontal="center" vertical="center" wrapText="1"/>
    </xf>
    <xf numFmtId="0" fontId="73" fillId="34" borderId="10" xfId="0" applyFont="1" applyFill="1" applyBorder="1" applyAlignment="1">
      <alignment horizontal="center" vertical="center" wrapText="1"/>
    </xf>
    <xf numFmtId="2" fontId="73" fillId="34" borderId="11" xfId="0" applyNumberFormat="1" applyFont="1" applyFill="1" applyBorder="1" applyAlignment="1">
      <alignment horizontal="center" vertical="center" wrapText="1"/>
    </xf>
    <xf numFmtId="49" fontId="73" fillId="0" borderId="15" xfId="0" applyNumberFormat="1" applyFont="1" applyBorder="1" applyAlignment="1">
      <alignment horizontal="center" vertical="center"/>
    </xf>
    <xf numFmtId="0" fontId="73" fillId="34" borderId="11" xfId="0" applyFont="1" applyFill="1" applyBorder="1" applyAlignment="1">
      <alignment horizontal="center" vertical="center" wrapText="1"/>
    </xf>
    <xf numFmtId="0" fontId="73" fillId="0" borderId="20" xfId="0" applyFont="1" applyBorder="1" applyAlignment="1">
      <alignment horizontal="center" vertical="center" wrapText="1"/>
    </xf>
    <xf numFmtId="0" fontId="72" fillId="0" borderId="20" xfId="0" applyFont="1" applyBorder="1" applyAlignment="1">
      <alignment/>
    </xf>
    <xf numFmtId="0" fontId="72" fillId="0" borderId="24" xfId="0" applyFont="1" applyBorder="1" applyAlignment="1">
      <alignment vertical="center"/>
    </xf>
    <xf numFmtId="2" fontId="73" fillId="0" borderId="25" xfId="0" applyNumberFormat="1" applyFont="1" applyBorder="1" applyAlignment="1">
      <alignment horizontal="center" vertical="center"/>
    </xf>
    <xf numFmtId="2" fontId="73" fillId="0" borderId="26" xfId="0" applyNumberFormat="1" applyFont="1" applyBorder="1" applyAlignment="1">
      <alignment horizontal="center" vertical="center"/>
    </xf>
    <xf numFmtId="0" fontId="52" fillId="0" borderId="0" xfId="0" applyFont="1" applyAlignment="1">
      <alignment/>
    </xf>
    <xf numFmtId="2" fontId="52" fillId="0" borderId="0" xfId="0" applyNumberFormat="1" applyFont="1" applyAlignment="1">
      <alignment/>
    </xf>
    <xf numFmtId="0" fontId="74" fillId="0" borderId="10" xfId="0" applyFont="1" applyBorder="1" applyAlignment="1">
      <alignment/>
    </xf>
    <xf numFmtId="0" fontId="75" fillId="0" borderId="10" xfId="0" applyFont="1" applyBorder="1" applyAlignment="1">
      <alignment horizontal="center"/>
    </xf>
    <xf numFmtId="0" fontId="75" fillId="0" borderId="10" xfId="0" applyFont="1" applyBorder="1" applyAlignment="1">
      <alignment/>
    </xf>
    <xf numFmtId="0" fontId="74" fillId="0" borderId="10" xfId="0" applyFont="1" applyBorder="1" applyAlignment="1">
      <alignment horizontal="center"/>
    </xf>
    <xf numFmtId="43" fontId="75" fillId="0" borderId="10" xfId="0" applyNumberFormat="1" applyFont="1" applyBorder="1" applyAlignment="1">
      <alignment/>
    </xf>
    <xf numFmtId="0" fontId="74" fillId="0" borderId="10" xfId="0" applyNumberFormat="1" applyFont="1" applyBorder="1" applyAlignment="1">
      <alignment/>
    </xf>
    <xf numFmtId="43" fontId="74" fillId="0" borderId="10" xfId="0" applyNumberFormat="1" applyFont="1" applyBorder="1" applyAlignment="1">
      <alignment/>
    </xf>
    <xf numFmtId="0" fontId="74" fillId="0" borderId="10" xfId="0" applyFont="1" applyFill="1" applyBorder="1" applyAlignment="1">
      <alignment/>
    </xf>
    <xf numFmtId="0" fontId="75" fillId="0" borderId="10" xfId="0" applyFont="1" applyBorder="1" applyAlignment="1">
      <alignment vertical="top" wrapText="1"/>
    </xf>
    <xf numFmtId="179" fontId="75" fillId="0" borderId="10" xfId="59" applyFont="1" applyBorder="1" applyAlignment="1">
      <alignment/>
    </xf>
    <xf numFmtId="179" fontId="74" fillId="0" borderId="10" xfId="59" applyFont="1" applyBorder="1" applyAlignment="1">
      <alignment/>
    </xf>
    <xf numFmtId="0" fontId="74" fillId="0" borderId="10" xfId="0" applyFont="1" applyBorder="1" applyAlignment="1">
      <alignment vertical="top" wrapText="1"/>
    </xf>
    <xf numFmtId="0" fontId="75" fillId="0" borderId="19" xfId="0" applyFont="1" applyBorder="1" applyAlignment="1">
      <alignment/>
    </xf>
    <xf numFmtId="43" fontId="74" fillId="0" borderId="10" xfId="59" applyNumberFormat="1" applyFont="1" applyFill="1" applyBorder="1" applyAlignment="1">
      <alignment/>
    </xf>
    <xf numFmtId="43" fontId="75" fillId="0" borderId="10" xfId="59" applyNumberFormat="1" applyFont="1" applyFill="1" applyBorder="1" applyAlignment="1">
      <alignment/>
    </xf>
    <xf numFmtId="43" fontId="0" fillId="0" borderId="0" xfId="61" applyFont="1" applyBorder="1" applyAlignment="1">
      <alignment/>
    </xf>
    <xf numFmtId="43" fontId="0" fillId="0" borderId="0" xfId="61" applyFont="1" applyBorder="1" applyAlignment="1">
      <alignment horizontal="center"/>
    </xf>
    <xf numFmtId="43" fontId="74" fillId="0" borderId="10" xfId="0" applyNumberFormat="1" applyFont="1" applyFill="1" applyBorder="1" applyAlignment="1">
      <alignment/>
    </xf>
    <xf numFmtId="0" fontId="75" fillId="0" borderId="10" xfId="0" applyFont="1" applyFill="1" applyBorder="1" applyAlignment="1">
      <alignment/>
    </xf>
    <xf numFmtId="43" fontId="75" fillId="0" borderId="10" xfId="0" applyNumberFormat="1" applyFont="1" applyFill="1" applyBorder="1" applyAlignment="1">
      <alignment/>
    </xf>
    <xf numFmtId="43" fontId="0" fillId="0" borderId="0" xfId="0" applyNumberFormat="1" applyBorder="1" applyAlignment="1">
      <alignment/>
    </xf>
    <xf numFmtId="0" fontId="8" fillId="0" borderId="16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8" fillId="0" borderId="29" xfId="0" applyFont="1" applyBorder="1" applyAlignment="1">
      <alignment vertical="center" wrapText="1"/>
    </xf>
    <xf numFmtId="0" fontId="8" fillId="0" borderId="28" xfId="0" applyFont="1" applyBorder="1" applyAlignment="1">
      <alignment horizontal="center" vertical="center" wrapText="1"/>
    </xf>
    <xf numFmtId="4" fontId="76" fillId="0" borderId="28" xfId="0" applyNumberFormat="1" applyFont="1" applyBorder="1" applyAlignment="1">
      <alignment horizontal="center" vertical="center" wrapText="1"/>
    </xf>
    <xf numFmtId="0" fontId="76" fillId="0" borderId="28" xfId="0" applyFont="1" applyBorder="1" applyAlignment="1">
      <alignment horizontal="center" vertical="center" wrapText="1"/>
    </xf>
    <xf numFmtId="0" fontId="8" fillId="0" borderId="30" xfId="0" applyFont="1" applyBorder="1" applyAlignment="1">
      <alignment vertical="center" wrapText="1"/>
    </xf>
    <xf numFmtId="4" fontId="77" fillId="0" borderId="28" xfId="0" applyNumberFormat="1" applyFont="1" applyBorder="1" applyAlignment="1">
      <alignment horizontal="center" vertical="center" wrapText="1"/>
    </xf>
    <xf numFmtId="0" fontId="77" fillId="0" borderId="28" xfId="0" applyFont="1" applyBorder="1" applyAlignment="1">
      <alignment horizontal="center" vertical="center" wrapText="1"/>
    </xf>
    <xf numFmtId="43" fontId="78" fillId="33" borderId="10" xfId="61" applyFont="1" applyFill="1" applyBorder="1" applyAlignment="1">
      <alignment horizontal="center"/>
    </xf>
    <xf numFmtId="190" fontId="78" fillId="33" borderId="10" xfId="0" applyNumberFormat="1" applyFont="1" applyFill="1" applyBorder="1" applyAlignment="1">
      <alignment/>
    </xf>
    <xf numFmtId="190" fontId="78" fillId="0" borderId="10" xfId="0" applyNumberFormat="1" applyFont="1" applyBorder="1" applyAlignment="1">
      <alignment/>
    </xf>
    <xf numFmtId="43" fontId="78" fillId="35" borderId="10" xfId="61" applyFont="1" applyFill="1" applyBorder="1" applyAlignment="1">
      <alignment horizontal="center"/>
    </xf>
    <xf numFmtId="0" fontId="69" fillId="33" borderId="10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 vertical="top"/>
    </xf>
    <xf numFmtId="179" fontId="78" fillId="33" borderId="10" xfId="59" applyFont="1" applyFill="1" applyBorder="1" applyAlignment="1">
      <alignment horizontal="center"/>
    </xf>
    <xf numFmtId="0" fontId="79" fillId="33" borderId="10" xfId="0" applyFont="1" applyFill="1" applyBorder="1" applyAlignment="1">
      <alignment horizontal="left" vertical="center" wrapText="1"/>
    </xf>
    <xf numFmtId="179" fontId="78" fillId="35" borderId="10" xfId="59" applyFont="1" applyFill="1" applyBorder="1" applyAlignment="1">
      <alignment horizontal="center"/>
    </xf>
    <xf numFmtId="0" fontId="69" fillId="0" borderId="10" xfId="0" applyFont="1" applyBorder="1" applyAlignment="1">
      <alignment horizontal="center" vertical="center" wrapText="1"/>
    </xf>
    <xf numFmtId="190" fontId="80" fillId="33" borderId="10" xfId="0" applyNumberFormat="1" applyFont="1" applyFill="1" applyBorder="1" applyAlignment="1">
      <alignment vertical="top" wrapText="1"/>
    </xf>
    <xf numFmtId="0" fontId="4" fillId="0" borderId="31" xfId="0" applyFont="1" applyFill="1" applyBorder="1" applyAlignment="1">
      <alignment vertical="center" wrapText="1"/>
    </xf>
    <xf numFmtId="3" fontId="4" fillId="0" borderId="3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79" fontId="2" fillId="0" borderId="10" xfId="59" applyFont="1" applyBorder="1" applyAlignment="1">
      <alignment/>
    </xf>
    <xf numFmtId="0" fontId="10" fillId="0" borderId="0" xfId="0" applyFont="1" applyFill="1" applyAlignment="1">
      <alignment horizontal="center" vertical="top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vertical="top" wrapText="1"/>
    </xf>
    <xf numFmtId="196" fontId="0" fillId="0" borderId="0" xfId="0" applyNumberForma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 horizontal="left" wrapText="1" indent="2"/>
    </xf>
    <xf numFmtId="3" fontId="10" fillId="0" borderId="33" xfId="0" applyNumberFormat="1" applyFont="1" applyBorder="1" applyAlignment="1">
      <alignment horizontal="right" wrapText="1"/>
    </xf>
    <xf numFmtId="3" fontId="10" fillId="0" borderId="10" xfId="0" applyNumberFormat="1" applyFont="1" applyBorder="1" applyAlignment="1">
      <alignment horizontal="right" wrapText="1"/>
    </xf>
    <xf numFmtId="196" fontId="10" fillId="0" borderId="10" xfId="61" applyNumberFormat="1" applyFont="1" applyBorder="1" applyAlignment="1">
      <alignment/>
    </xf>
    <xf numFmtId="43" fontId="10" fillId="0" borderId="10" xfId="0" applyNumberFormat="1" applyFont="1" applyBorder="1" applyAlignment="1">
      <alignment/>
    </xf>
    <xf numFmtId="9" fontId="10" fillId="0" borderId="10" xfId="0" applyNumberFormat="1" applyFont="1" applyBorder="1" applyAlignment="1">
      <alignment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/>
    </xf>
    <xf numFmtId="43" fontId="10" fillId="0" borderId="10" xfId="61" applyFon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vertical="top" wrapText="1"/>
    </xf>
    <xf numFmtId="43" fontId="18" fillId="33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/>
    </xf>
    <xf numFmtId="0" fontId="10" fillId="0" borderId="0" xfId="0" applyFont="1" applyAlignment="1">
      <alignment vertical="top" wrapText="1"/>
    </xf>
    <xf numFmtId="3" fontId="10" fillId="0" borderId="34" xfId="0" applyNumberFormat="1" applyFont="1" applyBorder="1" applyAlignment="1">
      <alignment horizontal="right" wrapText="1"/>
    </xf>
    <xf numFmtId="9" fontId="10" fillId="0" borderId="10" xfId="61" applyNumberFormat="1" applyFont="1" applyBorder="1" applyAlignment="1">
      <alignment/>
    </xf>
    <xf numFmtId="0" fontId="81" fillId="0" borderId="10" xfId="0" applyFont="1" applyBorder="1" applyAlignment="1">
      <alignment vertical="top" wrapText="1"/>
    </xf>
    <xf numFmtId="1" fontId="10" fillId="0" borderId="10" xfId="61" applyNumberFormat="1" applyFont="1" applyBorder="1" applyAlignment="1">
      <alignment horizontal="center"/>
    </xf>
    <xf numFmtId="196" fontId="10" fillId="0" borderId="10" xfId="61" applyNumberFormat="1" applyFont="1" applyBorder="1" applyAlignment="1">
      <alignment/>
    </xf>
    <xf numFmtId="0" fontId="11" fillId="0" borderId="0" xfId="0" applyFont="1" applyBorder="1" applyAlignment="1">
      <alignment horizontal="left"/>
    </xf>
    <xf numFmtId="179" fontId="11" fillId="0" borderId="0" xfId="59" applyFont="1" applyBorder="1" applyAlignment="1">
      <alignment/>
    </xf>
    <xf numFmtId="179" fontId="19" fillId="0" borderId="0" xfId="59" applyFont="1" applyFill="1" applyBorder="1" applyAlignment="1">
      <alignment horizontal="right" vertical="top"/>
    </xf>
    <xf numFmtId="0" fontId="0" fillId="0" borderId="19" xfId="0" applyBorder="1" applyAlignment="1">
      <alignment/>
    </xf>
    <xf numFmtId="0" fontId="0" fillId="0" borderId="0" xfId="0" applyBorder="1" applyAlignment="1">
      <alignment horizontal="left"/>
    </xf>
    <xf numFmtId="0" fontId="10" fillId="0" borderId="0" xfId="0" applyFont="1" applyFill="1" applyAlignment="1">
      <alignment/>
    </xf>
    <xf numFmtId="0" fontId="10" fillId="0" borderId="33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212" fontId="10" fillId="0" borderId="10" xfId="59" applyNumberFormat="1" applyFont="1" applyBorder="1" applyAlignment="1">
      <alignment/>
    </xf>
    <xf numFmtId="9" fontId="10" fillId="0" borderId="10" xfId="0" applyNumberFormat="1" applyFont="1" applyBorder="1" applyAlignment="1">
      <alignment/>
    </xf>
    <xf numFmtId="0" fontId="10" fillId="0" borderId="0" xfId="0" applyFont="1" applyBorder="1" applyAlignment="1">
      <alignment horizontal="left"/>
    </xf>
    <xf numFmtId="179" fontId="10" fillId="0" borderId="0" xfId="59" applyFont="1" applyBorder="1" applyAlignment="1">
      <alignment/>
    </xf>
    <xf numFmtId="185" fontId="1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8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top" wrapText="1"/>
    </xf>
    <xf numFmtId="196" fontId="18" fillId="0" borderId="10" xfId="61" applyNumberFormat="1" applyFont="1" applyBorder="1" applyAlignment="1">
      <alignment/>
    </xf>
    <xf numFmtId="43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center"/>
    </xf>
    <xf numFmtId="196" fontId="18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justify" vertical="center" wrapText="1"/>
    </xf>
    <xf numFmtId="185" fontId="1" fillId="0" borderId="37" xfId="0" applyNumberFormat="1" applyFont="1" applyBorder="1" applyAlignment="1">
      <alignment horizontal="center" vertical="center"/>
    </xf>
    <xf numFmtId="189" fontId="2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 horizontal="center" vertical="center" wrapText="1"/>
    </xf>
    <xf numFmtId="181" fontId="2" fillId="0" borderId="10" xfId="0" applyNumberFormat="1" applyFont="1" applyBorder="1" applyAlignment="1">
      <alignment horizontal="center" vertical="center" wrapText="1"/>
    </xf>
    <xf numFmtId="185" fontId="2" fillId="0" borderId="10" xfId="56" applyNumberFormat="1" applyFont="1" applyBorder="1" applyAlignment="1">
      <alignment horizontal="center" vertical="center"/>
    </xf>
    <xf numFmtId="189" fontId="2" fillId="0" borderId="10" xfId="56" applyNumberFormat="1" applyFont="1" applyBorder="1" applyAlignment="1">
      <alignment horizontal="center" vertical="center"/>
    </xf>
    <xf numFmtId="185" fontId="2" fillId="0" borderId="10" xfId="56" applyNumberFormat="1" applyFont="1" applyFill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 wrapText="1"/>
    </xf>
    <xf numFmtId="185" fontId="2" fillId="0" borderId="32" xfId="0" applyNumberFormat="1" applyFont="1" applyBorder="1" applyAlignment="1">
      <alignment horizontal="center" vertical="center" wrapText="1"/>
    </xf>
    <xf numFmtId="43" fontId="10" fillId="35" borderId="10" xfId="61" applyFont="1" applyFill="1" applyBorder="1" applyAlignment="1">
      <alignment horizontal="right" wrapText="1"/>
    </xf>
    <xf numFmtId="43" fontId="10" fillId="33" borderId="10" xfId="61" applyFont="1" applyFill="1" applyBorder="1" applyAlignment="1">
      <alignment horizontal="right" wrapText="1"/>
    </xf>
    <xf numFmtId="14" fontId="10" fillId="0" borderId="19" xfId="0" applyNumberFormat="1" applyFont="1" applyBorder="1" applyAlignment="1">
      <alignment horizontal="right" wrapText="1"/>
    </xf>
    <xf numFmtId="0" fontId="10" fillId="0" borderId="19" xfId="0" applyFont="1" applyBorder="1" applyAlignment="1">
      <alignment wrapText="1"/>
    </xf>
    <xf numFmtId="14" fontId="10" fillId="0" borderId="19" xfId="0" applyNumberFormat="1" applyFont="1" applyBorder="1" applyAlignment="1">
      <alignment wrapText="1"/>
    </xf>
    <xf numFmtId="0" fontId="12" fillId="0" borderId="19" xfId="0" applyFont="1" applyBorder="1" applyAlignment="1">
      <alignment/>
    </xf>
    <xf numFmtId="0" fontId="14" fillId="0" borderId="10" xfId="0" applyFont="1" applyBorder="1" applyAlignment="1">
      <alignment horizontal="center" wrapText="1"/>
    </xf>
    <xf numFmtId="0" fontId="71" fillId="0" borderId="0" xfId="0" applyFont="1" applyAlignment="1">
      <alignment/>
    </xf>
    <xf numFmtId="0" fontId="82" fillId="0" borderId="0" xfId="0" applyFont="1" applyAlignment="1">
      <alignment/>
    </xf>
    <xf numFmtId="0" fontId="71" fillId="0" borderId="39" xfId="0" applyFont="1" applyBorder="1" applyAlignment="1">
      <alignment horizontal="center"/>
    </xf>
    <xf numFmtId="0" fontId="71" fillId="0" borderId="0" xfId="0" applyFont="1" applyBorder="1" applyAlignment="1">
      <alignment horizontal="center"/>
    </xf>
    <xf numFmtId="0" fontId="71" fillId="0" borderId="27" xfId="0" applyFont="1" applyBorder="1" applyAlignment="1">
      <alignment/>
    </xf>
    <xf numFmtId="43" fontId="71" fillId="0" borderId="39" xfId="0" applyNumberFormat="1" applyFont="1" applyBorder="1" applyAlignment="1">
      <alignment/>
    </xf>
    <xf numFmtId="43" fontId="71" fillId="0" borderId="0" xfId="0" applyNumberFormat="1" applyFont="1" applyBorder="1" applyAlignment="1">
      <alignment/>
    </xf>
    <xf numFmtId="43" fontId="71" fillId="0" borderId="27" xfId="0" applyNumberFormat="1" applyFont="1" applyBorder="1" applyAlignment="1">
      <alignment/>
    </xf>
    <xf numFmtId="0" fontId="71" fillId="0" borderId="0" xfId="0" applyFont="1" applyBorder="1" applyAlignment="1">
      <alignment/>
    </xf>
    <xf numFmtId="0" fontId="71" fillId="0" borderId="20" xfId="0" applyFont="1" applyBorder="1" applyAlignment="1">
      <alignment/>
    </xf>
    <xf numFmtId="0" fontId="71" fillId="0" borderId="40" xfId="0" applyFont="1" applyBorder="1" applyAlignment="1">
      <alignment/>
    </xf>
    <xf numFmtId="0" fontId="71" fillId="0" borderId="28" xfId="0" applyFont="1" applyBorder="1" applyAlignment="1">
      <alignment/>
    </xf>
    <xf numFmtId="0" fontId="71" fillId="33" borderId="0" xfId="0" applyFont="1" applyFill="1" applyAlignment="1">
      <alignment/>
    </xf>
    <xf numFmtId="0" fontId="71" fillId="33" borderId="0" xfId="0" applyFont="1" applyFill="1" applyAlignment="1">
      <alignment wrapText="1"/>
    </xf>
    <xf numFmtId="0" fontId="0" fillId="0" borderId="0" xfId="0" applyFill="1" applyAlignment="1">
      <alignment/>
    </xf>
    <xf numFmtId="0" fontId="1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" fillId="0" borderId="25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32" xfId="0" applyNumberFormat="1" applyFont="1" applyFill="1" applyBorder="1" applyAlignment="1">
      <alignment horizontal="center" vertical="center" wrapText="1"/>
    </xf>
    <xf numFmtId="4" fontId="2" fillId="0" borderId="41" xfId="0" applyNumberFormat="1" applyFont="1" applyFill="1" applyBorder="1" applyAlignment="1">
      <alignment horizontal="center" vertical="center" wrapText="1"/>
    </xf>
    <xf numFmtId="4" fontId="1" fillId="0" borderId="25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42" xfId="0" applyNumberFormat="1" applyFont="1" applyFill="1" applyBorder="1" applyAlignment="1">
      <alignment horizontal="center" vertical="center" wrapText="1"/>
    </xf>
    <xf numFmtId="4" fontId="1" fillId="0" borderId="36" xfId="0" applyNumberFormat="1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4" fontId="2" fillId="0" borderId="43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" fontId="1" fillId="0" borderId="44" xfId="0" applyNumberFormat="1" applyFont="1" applyFill="1" applyBorder="1" applyAlignment="1">
      <alignment horizontal="left" vertical="center" wrapText="1"/>
    </xf>
    <xf numFmtId="4" fontId="1" fillId="0" borderId="45" xfId="0" applyNumberFormat="1" applyFont="1" applyFill="1" applyBorder="1" applyAlignment="1">
      <alignment horizontal="left" vertical="center" wrapText="1"/>
    </xf>
    <xf numFmtId="4" fontId="1" fillId="0" borderId="46" xfId="0" applyNumberFormat="1" applyFont="1" applyFill="1" applyBorder="1" applyAlignment="1">
      <alignment horizontal="left" vertical="center" wrapText="1"/>
    </xf>
    <xf numFmtId="4" fontId="2" fillId="0" borderId="15" xfId="0" applyNumberFormat="1" applyFont="1" applyFill="1" applyBorder="1" applyAlignment="1">
      <alignment horizontal="justify" vertical="center" wrapText="1"/>
    </xf>
    <xf numFmtId="4" fontId="2" fillId="0" borderId="47" xfId="0" applyNumberFormat="1" applyFont="1" applyFill="1" applyBorder="1" applyAlignment="1">
      <alignment horizontal="justify" vertical="center" wrapText="1"/>
    </xf>
    <xf numFmtId="4" fontId="2" fillId="0" borderId="19" xfId="0" applyNumberFormat="1" applyFont="1" applyFill="1" applyBorder="1" applyAlignment="1">
      <alignment horizontal="justify" vertical="center" wrapText="1"/>
    </xf>
    <xf numFmtId="4" fontId="2" fillId="0" borderId="48" xfId="0" applyNumberFormat="1" applyFont="1" applyFill="1" applyBorder="1" applyAlignment="1">
      <alignment horizontal="justify" vertical="center" wrapText="1"/>
    </xf>
    <xf numFmtId="4" fontId="2" fillId="0" borderId="49" xfId="0" applyNumberFormat="1" applyFont="1" applyFill="1" applyBorder="1" applyAlignment="1">
      <alignment horizontal="left" vertical="center" wrapText="1"/>
    </xf>
    <xf numFmtId="4" fontId="2" fillId="0" borderId="50" xfId="0" applyNumberFormat="1" applyFont="1" applyFill="1" applyBorder="1" applyAlignment="1">
      <alignment horizontal="left" vertical="center" wrapText="1"/>
    </xf>
    <xf numFmtId="4" fontId="2" fillId="0" borderId="51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4" fontId="2" fillId="0" borderId="32" xfId="0" applyNumberFormat="1" applyFont="1" applyFill="1" applyBorder="1" applyAlignment="1">
      <alignment horizontal="left" vertical="center" wrapText="1"/>
    </xf>
    <xf numFmtId="4" fontId="1" fillId="0" borderId="52" xfId="0" applyNumberFormat="1" applyFont="1" applyFill="1" applyBorder="1" applyAlignment="1">
      <alignment horizontal="left" vertical="center" wrapText="1"/>
    </xf>
    <xf numFmtId="4" fontId="1" fillId="0" borderId="53" xfId="0" applyNumberFormat="1" applyFont="1" applyFill="1" applyBorder="1" applyAlignment="1">
      <alignment horizontal="left" vertical="center" wrapText="1"/>
    </xf>
    <xf numFmtId="4" fontId="1" fillId="0" borderId="54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left" vertical="center" wrapText="1"/>
    </xf>
    <xf numFmtId="0" fontId="1" fillId="0" borderId="61" xfId="0" applyFont="1" applyFill="1" applyBorder="1" applyAlignment="1">
      <alignment horizontal="left" vertical="center" wrapText="1"/>
    </xf>
    <xf numFmtId="0" fontId="1" fillId="0" borderId="59" xfId="0" applyFont="1" applyFill="1" applyBorder="1" applyAlignment="1">
      <alignment horizontal="left" vertical="center" wrapText="1"/>
    </xf>
    <xf numFmtId="4" fontId="2" fillId="0" borderId="48" xfId="0" applyNumberFormat="1" applyFont="1" applyFill="1" applyBorder="1" applyAlignment="1">
      <alignment horizontal="left" vertical="center" wrapText="1"/>
    </xf>
    <xf numFmtId="4" fontId="2" fillId="0" borderId="47" xfId="0" applyNumberFormat="1" applyFont="1" applyFill="1" applyBorder="1" applyAlignment="1">
      <alignment horizontal="left" vertical="center" wrapText="1"/>
    </xf>
    <xf numFmtId="4" fontId="2" fillId="0" borderId="19" xfId="0" applyNumberFormat="1" applyFont="1" applyFill="1" applyBorder="1" applyAlignment="1">
      <alignment horizontal="left" vertical="center" wrapText="1"/>
    </xf>
    <xf numFmtId="4" fontId="1" fillId="0" borderId="60" xfId="0" applyNumberFormat="1" applyFont="1" applyFill="1" applyBorder="1" applyAlignment="1">
      <alignment horizontal="left" vertical="center" wrapText="1"/>
    </xf>
    <xf numFmtId="4" fontId="1" fillId="0" borderId="61" xfId="0" applyNumberFormat="1" applyFont="1" applyFill="1" applyBorder="1" applyAlignment="1">
      <alignment horizontal="left" vertical="center" wrapText="1"/>
    </xf>
    <xf numFmtId="4" fontId="1" fillId="0" borderId="59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85" fontId="2" fillId="0" borderId="10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5" fontId="2" fillId="0" borderId="10" xfId="56" applyNumberFormat="1" applyFont="1" applyBorder="1" applyAlignment="1">
      <alignment horizontal="center" vertical="center"/>
    </xf>
    <xf numFmtId="0" fontId="10" fillId="0" borderId="32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0" fillId="0" borderId="32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10" fillId="0" borderId="3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41" xfId="0" applyFont="1" applyBorder="1" applyAlignment="1">
      <alignment horizontal="center" wrapText="1"/>
    </xf>
    <xf numFmtId="0" fontId="10" fillId="0" borderId="50" xfId="0" applyFont="1" applyBorder="1" applyAlignment="1">
      <alignment horizontal="center" wrapText="1"/>
    </xf>
    <xf numFmtId="0" fontId="10" fillId="0" borderId="51" xfId="0" applyFont="1" applyBorder="1" applyAlignment="1">
      <alignment horizontal="center" wrapText="1"/>
    </xf>
    <xf numFmtId="0" fontId="10" fillId="0" borderId="62" xfId="0" applyFont="1" applyBorder="1" applyAlignment="1">
      <alignment horizontal="center" wrapText="1"/>
    </xf>
    <xf numFmtId="0" fontId="10" fillId="0" borderId="63" xfId="0" applyFont="1" applyBorder="1" applyAlignment="1">
      <alignment horizontal="center" wrapText="1"/>
    </xf>
    <xf numFmtId="0" fontId="10" fillId="0" borderId="64" xfId="0" applyFont="1" applyBorder="1" applyAlignment="1">
      <alignment horizontal="center" wrapText="1"/>
    </xf>
    <xf numFmtId="0" fontId="71" fillId="0" borderId="55" xfId="0" applyFont="1" applyBorder="1" applyAlignment="1">
      <alignment horizontal="center" wrapText="1"/>
    </xf>
    <xf numFmtId="0" fontId="71" fillId="0" borderId="56" xfId="0" applyFont="1" applyBorder="1" applyAlignment="1">
      <alignment horizontal="center" wrapText="1"/>
    </xf>
    <xf numFmtId="0" fontId="71" fillId="0" borderId="16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75" fillId="0" borderId="12" xfId="0" applyFont="1" applyBorder="1" applyAlignment="1">
      <alignment horizontal="center"/>
    </xf>
    <xf numFmtId="0" fontId="75" fillId="0" borderId="19" xfId="0" applyFont="1" applyBorder="1" applyAlignment="1">
      <alignment horizontal="center"/>
    </xf>
    <xf numFmtId="0" fontId="0" fillId="0" borderId="0" xfId="0" applyAlignment="1">
      <alignment horizontal="right" vertical="top" wrapText="1" indent="2"/>
    </xf>
    <xf numFmtId="49" fontId="12" fillId="0" borderId="0" xfId="0" applyNumberFormat="1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center"/>
    </xf>
    <xf numFmtId="0" fontId="17" fillId="34" borderId="10" xfId="0" applyFont="1" applyFill="1" applyBorder="1" applyAlignment="1">
      <alignment horizontal="center" vertical="center" wrapText="1"/>
    </xf>
    <xf numFmtId="0" fontId="17" fillId="34" borderId="41" xfId="0" applyFont="1" applyFill="1" applyBorder="1" applyAlignment="1">
      <alignment horizontal="center" vertical="center" wrapText="1"/>
    </xf>
    <xf numFmtId="0" fontId="17" fillId="34" borderId="51" xfId="0" applyFont="1" applyFill="1" applyBorder="1" applyAlignment="1">
      <alignment horizontal="center" vertical="center" wrapText="1"/>
    </xf>
    <xf numFmtId="0" fontId="17" fillId="34" borderId="65" xfId="0" applyFont="1" applyFill="1" applyBorder="1" applyAlignment="1">
      <alignment horizontal="center" vertical="center" wrapText="1"/>
    </xf>
    <xf numFmtId="0" fontId="17" fillId="34" borderId="66" xfId="0" applyFont="1" applyFill="1" applyBorder="1" applyAlignment="1">
      <alignment horizontal="center" vertical="center" wrapText="1"/>
    </xf>
    <xf numFmtId="0" fontId="17" fillId="34" borderId="62" xfId="0" applyFont="1" applyFill="1" applyBorder="1" applyAlignment="1">
      <alignment horizontal="center" vertical="center" wrapText="1"/>
    </xf>
    <xf numFmtId="0" fontId="17" fillId="34" borderId="6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top" wrapText="1" indent="2"/>
    </xf>
    <xf numFmtId="0" fontId="83" fillId="0" borderId="40" xfId="0" applyFont="1" applyBorder="1" applyAlignment="1">
      <alignment horizontal="center" vertical="center" wrapText="1"/>
    </xf>
    <xf numFmtId="0" fontId="84" fillId="0" borderId="55" xfId="0" applyFont="1" applyBorder="1" applyAlignment="1">
      <alignment horizontal="center" vertical="center"/>
    </xf>
    <xf numFmtId="0" fontId="84" fillId="0" borderId="16" xfId="0" applyFont="1" applyBorder="1" applyAlignment="1">
      <alignment horizontal="center" vertical="center"/>
    </xf>
    <xf numFmtId="0" fontId="84" fillId="0" borderId="20" xfId="0" applyFont="1" applyBorder="1" applyAlignment="1">
      <alignment horizontal="center" vertical="center"/>
    </xf>
    <xf numFmtId="0" fontId="84" fillId="0" borderId="27" xfId="0" applyFont="1" applyBorder="1" applyAlignment="1">
      <alignment horizontal="center" vertical="center"/>
    </xf>
    <xf numFmtId="0" fontId="84" fillId="0" borderId="67" xfId="0" applyFont="1" applyBorder="1" applyAlignment="1">
      <alignment horizontal="center" vertical="center" wrapText="1"/>
    </xf>
    <xf numFmtId="0" fontId="84" fillId="0" borderId="30" xfId="0" applyFont="1" applyBorder="1" applyAlignment="1">
      <alignment horizontal="center" vertical="center" wrapText="1"/>
    </xf>
    <xf numFmtId="0" fontId="85" fillId="0" borderId="30" xfId="0" applyFont="1" applyBorder="1" applyAlignment="1">
      <alignment horizontal="center" vertical="center" wrapText="1"/>
    </xf>
    <xf numFmtId="0" fontId="8" fillId="0" borderId="67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4" fontId="77" fillId="0" borderId="67" xfId="0" applyNumberFormat="1" applyFont="1" applyBorder="1" applyAlignment="1">
      <alignment horizontal="center" vertical="center" wrapText="1"/>
    </xf>
    <xf numFmtId="4" fontId="77" fillId="0" borderId="30" xfId="0" applyNumberFormat="1" applyFont="1" applyBorder="1" applyAlignment="1">
      <alignment horizontal="center" vertical="center" wrapText="1"/>
    </xf>
    <xf numFmtId="4" fontId="77" fillId="0" borderId="29" xfId="0" applyNumberFormat="1" applyFont="1" applyBorder="1" applyAlignment="1">
      <alignment horizontal="center" vertical="center" wrapText="1"/>
    </xf>
    <xf numFmtId="0" fontId="77" fillId="0" borderId="67" xfId="0" applyFont="1" applyBorder="1" applyAlignment="1">
      <alignment horizontal="center" vertical="center" wrapText="1"/>
    </xf>
    <xf numFmtId="0" fontId="77" fillId="0" borderId="30" xfId="0" applyFont="1" applyBorder="1" applyAlignment="1">
      <alignment horizontal="center" vertical="center" wrapText="1"/>
    </xf>
    <xf numFmtId="0" fontId="77" fillId="0" borderId="29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justify" vertical="center" wrapText="1"/>
    </xf>
    <xf numFmtId="0" fontId="8" fillId="0" borderId="29" xfId="0" applyFont="1" applyBorder="1" applyAlignment="1">
      <alignment horizontal="justify" vertical="center" wrapText="1"/>
    </xf>
    <xf numFmtId="0" fontId="68" fillId="0" borderId="0" xfId="0" applyFont="1" applyAlignment="1">
      <alignment horizontal="right" vertical="top"/>
    </xf>
    <xf numFmtId="0" fontId="8" fillId="0" borderId="0" xfId="0" applyFont="1" applyAlignment="1">
      <alignment horizontal="right" vertical="top" wrapText="1"/>
    </xf>
    <xf numFmtId="0" fontId="9" fillId="0" borderId="0" xfId="0" applyFont="1" applyAlignment="1">
      <alignment horizontal="center" vertical="top" wrapText="1"/>
    </xf>
    <xf numFmtId="0" fontId="69" fillId="33" borderId="32" xfId="0" applyFont="1" applyFill="1" applyBorder="1" applyAlignment="1">
      <alignment horizontal="center" vertical="center" wrapText="1"/>
    </xf>
    <xf numFmtId="0" fontId="69" fillId="33" borderId="68" xfId="0" applyFont="1" applyFill="1" applyBorder="1" applyAlignment="1">
      <alignment horizontal="center" vertical="center" wrapText="1"/>
    </xf>
    <xf numFmtId="0" fontId="69" fillId="33" borderId="14" xfId="0" applyFont="1" applyFill="1" applyBorder="1" applyAlignment="1">
      <alignment horizontal="center" vertical="center" wrapText="1"/>
    </xf>
    <xf numFmtId="49" fontId="69" fillId="33" borderId="32" xfId="0" applyNumberFormat="1" applyFont="1" applyFill="1" applyBorder="1" applyAlignment="1">
      <alignment horizontal="center" vertical="center" wrapText="1"/>
    </xf>
    <xf numFmtId="49" fontId="69" fillId="33" borderId="68" xfId="0" applyNumberFormat="1" applyFont="1" applyFill="1" applyBorder="1" applyAlignment="1">
      <alignment horizontal="center" vertical="center" wrapText="1"/>
    </xf>
    <xf numFmtId="49" fontId="69" fillId="33" borderId="14" xfId="0" applyNumberFormat="1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69" fillId="0" borderId="50" xfId="0" applyFont="1" applyBorder="1" applyAlignment="1">
      <alignment horizontal="center"/>
    </xf>
    <xf numFmtId="0" fontId="69" fillId="0" borderId="51" xfId="0" applyFont="1" applyBorder="1" applyAlignment="1">
      <alignment horizontal="center"/>
    </xf>
    <xf numFmtId="0" fontId="69" fillId="0" borderId="63" xfId="0" applyFont="1" applyBorder="1" applyAlignment="1">
      <alignment horizontal="center"/>
    </xf>
    <xf numFmtId="0" fontId="69" fillId="0" borderId="64" xfId="0" applyFont="1" applyBorder="1" applyAlignment="1">
      <alignment horizontal="center"/>
    </xf>
    <xf numFmtId="0" fontId="69" fillId="33" borderId="41" xfId="0" applyFont="1" applyFill="1" applyBorder="1" applyAlignment="1">
      <alignment horizontal="center" vertical="center" wrapText="1"/>
    </xf>
    <xf numFmtId="0" fontId="69" fillId="33" borderId="50" xfId="0" applyFont="1" applyFill="1" applyBorder="1" applyAlignment="1">
      <alignment horizontal="center" vertical="center" wrapText="1"/>
    </xf>
    <xf numFmtId="0" fontId="69" fillId="33" borderId="51" xfId="0" applyFont="1" applyFill="1" applyBorder="1" applyAlignment="1">
      <alignment horizontal="center" vertical="center" wrapText="1"/>
    </xf>
    <xf numFmtId="0" fontId="69" fillId="33" borderId="62" xfId="0" applyFont="1" applyFill="1" applyBorder="1" applyAlignment="1">
      <alignment horizontal="center" vertical="center" wrapText="1"/>
    </xf>
    <xf numFmtId="0" fontId="69" fillId="33" borderId="63" xfId="0" applyFont="1" applyFill="1" applyBorder="1" applyAlignment="1">
      <alignment horizontal="center" vertical="center" wrapText="1"/>
    </xf>
    <xf numFmtId="0" fontId="69" fillId="33" borderId="64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/>
    </xf>
    <xf numFmtId="0" fontId="69" fillId="33" borderId="12" xfId="0" applyFont="1" applyFill="1" applyBorder="1" applyAlignment="1">
      <alignment horizontal="center" vertical="center" wrapText="1"/>
    </xf>
    <xf numFmtId="0" fontId="69" fillId="33" borderId="19" xfId="0" applyFont="1" applyFill="1" applyBorder="1" applyAlignment="1">
      <alignment horizontal="center" vertical="center" wrapText="1"/>
    </xf>
    <xf numFmtId="190" fontId="68" fillId="33" borderId="32" xfId="0" applyNumberFormat="1" applyFont="1" applyFill="1" applyBorder="1" applyAlignment="1">
      <alignment horizontal="center" vertical="top" wrapText="1"/>
    </xf>
    <xf numFmtId="190" fontId="68" fillId="33" borderId="68" xfId="0" applyNumberFormat="1" applyFont="1" applyFill="1" applyBorder="1" applyAlignment="1">
      <alignment horizontal="center" vertical="top" wrapText="1"/>
    </xf>
    <xf numFmtId="190" fontId="68" fillId="33" borderId="14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0" fontId="4" fillId="0" borderId="69" xfId="0" applyFont="1" applyFill="1" applyBorder="1" applyAlignment="1">
      <alignment horizontal="center" wrapText="1"/>
    </xf>
    <xf numFmtId="0" fontId="4" fillId="0" borderId="63" xfId="0" applyFont="1" applyFill="1" applyBorder="1" applyAlignment="1">
      <alignment horizontal="center" wrapText="1"/>
    </xf>
    <xf numFmtId="0" fontId="4" fillId="0" borderId="61" xfId="0" applyFont="1" applyFill="1" applyBorder="1" applyAlignment="1">
      <alignment horizontal="center" wrapText="1"/>
    </xf>
    <xf numFmtId="0" fontId="4" fillId="0" borderId="59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5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" fillId="0" borderId="52" xfId="0" applyFont="1" applyFill="1" applyBorder="1" applyAlignment="1">
      <alignment horizontal="left" vertical="center" wrapText="1"/>
    </xf>
    <xf numFmtId="0" fontId="1" fillId="0" borderId="53" xfId="0" applyFont="1" applyFill="1" applyBorder="1" applyAlignment="1">
      <alignment horizontal="left" vertical="center" wrapText="1"/>
    </xf>
    <xf numFmtId="0" fontId="1" fillId="0" borderId="54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58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1" fillId="0" borderId="44" xfId="0" applyFont="1" applyFill="1" applyBorder="1" applyAlignment="1">
      <alignment horizontal="left" vertical="center" wrapText="1"/>
    </xf>
    <xf numFmtId="0" fontId="1" fillId="0" borderId="45" xfId="0" applyFont="1" applyFill="1" applyBorder="1" applyAlignment="1">
      <alignment horizontal="left" vertical="center" wrapText="1"/>
    </xf>
    <xf numFmtId="0" fontId="1" fillId="0" borderId="70" xfId="0" applyFont="1" applyFill="1" applyBorder="1" applyAlignment="1">
      <alignment horizontal="left" vertical="center" wrapText="1"/>
    </xf>
    <xf numFmtId="0" fontId="2" fillId="0" borderId="69" xfId="0" applyFont="1" applyFill="1" applyBorder="1" applyAlignment="1">
      <alignment horizontal="justify" vertical="center" wrapText="1"/>
    </xf>
    <xf numFmtId="0" fontId="2" fillId="0" borderId="63" xfId="0" applyFont="1" applyFill="1" applyBorder="1" applyAlignment="1">
      <alignment horizontal="justify" vertical="center" wrapText="1"/>
    </xf>
    <xf numFmtId="0" fontId="2" fillId="0" borderId="64" xfId="0" applyFont="1" applyFill="1" applyBorder="1" applyAlignment="1">
      <alignment horizontal="justify" vertical="center" wrapText="1"/>
    </xf>
    <xf numFmtId="0" fontId="2" fillId="0" borderId="47" xfId="0" applyFont="1" applyFill="1" applyBorder="1" applyAlignment="1">
      <alignment horizontal="justify" vertical="center" wrapText="1"/>
    </xf>
    <xf numFmtId="0" fontId="2" fillId="0" borderId="19" xfId="0" applyFont="1" applyFill="1" applyBorder="1" applyAlignment="1">
      <alignment horizontal="justify" vertical="center" wrapText="1"/>
    </xf>
    <xf numFmtId="0" fontId="2" fillId="0" borderId="48" xfId="0" applyFont="1" applyFill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13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1\&#1086;&#1073;&#1084;&#1077;&#1085;\&#1086;&#1090;%20&#1063;&#1080;&#1095;&#1082;&#1072;&#1082;&#1086;&#1074;%20&#1040;.&#1042;\&#1041;&#1070;&#1044;&#1046;&#1045;&#1058;%20&#1053;&#1040;%202019-2021%20&#1043;&#1054;&#1044;&#1067;\&#1040;&#1088;&#1077;&#1085;&#1076;&#1072;%20&#1079;&#1077;&#1084;&#1083;&#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я"/>
      <sheetName val="Купчегень"/>
      <sheetName val="Хабаровка"/>
      <sheetName val="Онгудай"/>
      <sheetName val="Шашикман"/>
      <sheetName val="Нталда"/>
      <sheetName val="Каракол"/>
      <sheetName val="Кулада"/>
      <sheetName val="Теньга"/>
      <sheetName val="Ело"/>
      <sheetName val="ОКС"/>
      <sheetName val="ВСЕГО"/>
    </sheetNames>
    <sheetDataSet>
      <sheetData sheetId="0">
        <row r="50">
          <cell r="E50">
            <v>812903.7200000001</v>
          </cell>
          <cell r="F50">
            <v>44158.54000000001</v>
          </cell>
        </row>
      </sheetData>
      <sheetData sheetId="1">
        <row r="45">
          <cell r="E45">
            <v>110271.38999999998</v>
          </cell>
          <cell r="F45">
            <v>10962.789999999999</v>
          </cell>
        </row>
      </sheetData>
      <sheetData sheetId="2">
        <row r="61">
          <cell r="F61">
            <v>717395.04</v>
          </cell>
          <cell r="G61">
            <v>71248.065</v>
          </cell>
        </row>
      </sheetData>
      <sheetData sheetId="3">
        <row r="127">
          <cell r="E127">
            <v>5788761</v>
          </cell>
          <cell r="F127">
            <v>319351.10000000003</v>
          </cell>
        </row>
      </sheetData>
      <sheetData sheetId="4">
        <row r="47">
          <cell r="F47">
            <v>39493.560000000005</v>
          </cell>
          <cell r="G47">
            <v>13164.52</v>
          </cell>
        </row>
      </sheetData>
      <sheetData sheetId="5">
        <row r="45">
          <cell r="E45">
            <v>87917</v>
          </cell>
          <cell r="F45">
            <v>3304</v>
          </cell>
        </row>
      </sheetData>
      <sheetData sheetId="6">
        <row r="45">
          <cell r="F45">
            <v>271870</v>
          </cell>
          <cell r="G45">
            <v>15326.3</v>
          </cell>
        </row>
      </sheetData>
      <sheetData sheetId="7">
        <row r="44">
          <cell r="E44">
            <v>391888.61000000004</v>
          </cell>
          <cell r="F44">
            <v>24424.45</v>
          </cell>
        </row>
      </sheetData>
      <sheetData sheetId="8">
        <row r="45">
          <cell r="E45">
            <v>1051338</v>
          </cell>
          <cell r="F45">
            <v>164419.07636363636</v>
          </cell>
        </row>
      </sheetData>
      <sheetData sheetId="9">
        <row r="79">
          <cell r="F79">
            <v>1866074.5900000003</v>
          </cell>
          <cell r="G79">
            <v>68201.03999999996</v>
          </cell>
        </row>
      </sheetData>
      <sheetData sheetId="10">
        <row r="27">
          <cell r="F27">
            <v>1111504</v>
          </cell>
          <cell r="G27">
            <v>55575.2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27.28125" style="33" customWidth="1"/>
    <col min="2" max="2" width="29.140625" style="28" hidden="1" customWidth="1"/>
    <col min="3" max="3" width="15.7109375" style="27" customWidth="1"/>
    <col min="4" max="4" width="49.7109375" style="27" customWidth="1"/>
    <col min="5" max="5" width="18.421875" style="27" hidden="1" customWidth="1"/>
    <col min="6" max="6" width="28.7109375" style="27" customWidth="1"/>
    <col min="7" max="7" width="30.8515625" style="27" customWidth="1"/>
    <col min="8" max="8" width="15.7109375" style="27" customWidth="1"/>
    <col min="9" max="9" width="27.8515625" style="26" customWidth="1"/>
    <col min="10" max="10" width="15.7109375" style="26" customWidth="1"/>
    <col min="11" max="11" width="16.00390625" style="26" customWidth="1"/>
    <col min="12" max="12" width="16.28125" style="26" customWidth="1"/>
    <col min="13" max="13" width="9.8515625" style="26" customWidth="1"/>
    <col min="14" max="15" width="10.7109375" style="26" customWidth="1"/>
    <col min="16" max="16" width="10.8515625" style="26" customWidth="1"/>
    <col min="17" max="19" width="13.7109375" style="26" bestFit="1" customWidth="1"/>
    <col min="20" max="16384" width="9.140625" style="26" customWidth="1"/>
  </cols>
  <sheetData>
    <row r="1" spans="1:7" ht="15.75">
      <c r="A1" s="200"/>
      <c r="B1" s="200"/>
      <c r="C1" s="200"/>
      <c r="D1" s="200"/>
      <c r="E1" s="200"/>
      <c r="F1" s="292" t="s">
        <v>14</v>
      </c>
      <c r="G1" s="292"/>
    </row>
    <row r="2" spans="1:7" ht="15.75">
      <c r="A2" s="200"/>
      <c r="B2" s="200"/>
      <c r="C2" s="200"/>
      <c r="D2" s="200"/>
      <c r="E2" s="200"/>
      <c r="F2" s="292" t="s">
        <v>7</v>
      </c>
      <c r="G2" s="292"/>
    </row>
    <row r="3" spans="1:7" ht="15.75">
      <c r="A3" s="200"/>
      <c r="B3" s="200"/>
      <c r="C3" s="200"/>
      <c r="D3" s="200"/>
      <c r="E3" s="200"/>
      <c r="F3" s="255"/>
      <c r="G3" s="44" t="s">
        <v>677</v>
      </c>
    </row>
    <row r="4" spans="1:7" ht="15.75">
      <c r="A4" s="200"/>
      <c r="B4" s="200"/>
      <c r="C4" s="200"/>
      <c r="D4" s="200"/>
      <c r="E4" s="200"/>
      <c r="F4" s="255"/>
      <c r="G4" s="44" t="s">
        <v>678</v>
      </c>
    </row>
    <row r="5" spans="1:7" ht="15.75">
      <c r="A5" s="200"/>
      <c r="B5" s="200"/>
      <c r="C5" s="200"/>
      <c r="D5" s="200"/>
      <c r="E5" s="200"/>
      <c r="F5" s="255"/>
      <c r="G5" s="44" t="s">
        <v>661</v>
      </c>
    </row>
    <row r="6" spans="1:7" ht="15.75">
      <c r="A6" s="200"/>
      <c r="B6" s="200"/>
      <c r="C6" s="269"/>
      <c r="D6" s="269"/>
      <c r="E6" s="269"/>
      <c r="F6" s="269"/>
      <c r="G6" s="269"/>
    </row>
    <row r="7" spans="1:7" ht="48.75" customHeight="1">
      <c r="A7" s="293" t="s">
        <v>679</v>
      </c>
      <c r="B7" s="293"/>
      <c r="C7" s="293"/>
      <c r="D7" s="293"/>
      <c r="E7" s="293"/>
      <c r="F7" s="293"/>
      <c r="G7" s="293"/>
    </row>
    <row r="8" spans="1:7" ht="16.5" thickBot="1">
      <c r="A8" s="256"/>
      <c r="B8" s="256"/>
      <c r="C8" s="256"/>
      <c r="D8" s="256"/>
      <c r="E8" s="256"/>
      <c r="F8" s="256"/>
      <c r="G8" s="256"/>
    </row>
    <row r="9" spans="1:7" ht="59.25" customHeight="1">
      <c r="A9" s="294" t="s">
        <v>0</v>
      </c>
      <c r="B9" s="295"/>
      <c r="C9" s="295"/>
      <c r="D9" s="295"/>
      <c r="E9" s="296"/>
      <c r="F9" s="300" t="s">
        <v>680</v>
      </c>
      <c r="G9" s="301"/>
    </row>
    <row r="10" spans="1:7" ht="57" thickBot="1">
      <c r="A10" s="297"/>
      <c r="B10" s="298"/>
      <c r="C10" s="298"/>
      <c r="D10" s="298"/>
      <c r="E10" s="299"/>
      <c r="F10" s="258" t="s">
        <v>681</v>
      </c>
      <c r="G10" s="258" t="s">
        <v>666</v>
      </c>
    </row>
    <row r="11" spans="1:7" ht="18.75">
      <c r="A11" s="302" t="s">
        <v>5</v>
      </c>
      <c r="B11" s="303"/>
      <c r="C11" s="303"/>
      <c r="D11" s="303"/>
      <c r="E11" s="303"/>
      <c r="F11" s="303"/>
      <c r="G11" s="304"/>
    </row>
    <row r="12" spans="1:7" ht="32.25" customHeight="1">
      <c r="A12" s="305" t="s">
        <v>668</v>
      </c>
      <c r="B12" s="306"/>
      <c r="C12" s="306"/>
      <c r="D12" s="306"/>
      <c r="E12" s="307"/>
      <c r="F12" s="259">
        <v>804211</v>
      </c>
      <c r="G12" s="260" t="s">
        <v>669</v>
      </c>
    </row>
    <row r="13" spans="1:7" ht="70.5" customHeight="1">
      <c r="A13" s="281" t="s">
        <v>4</v>
      </c>
      <c r="B13" s="282"/>
      <c r="C13" s="282"/>
      <c r="D13" s="282"/>
      <c r="E13" s="283"/>
      <c r="F13" s="261">
        <v>88463</v>
      </c>
      <c r="G13" s="270" t="s">
        <v>669</v>
      </c>
    </row>
    <row r="14" spans="1:7" ht="24" customHeight="1">
      <c r="A14" s="284" t="s">
        <v>1</v>
      </c>
      <c r="B14" s="284"/>
      <c r="C14" s="284"/>
      <c r="D14" s="284"/>
      <c r="E14" s="284"/>
      <c r="F14" s="259">
        <f>F12-F13</f>
        <v>715748</v>
      </c>
      <c r="G14" s="259" t="s">
        <v>669</v>
      </c>
    </row>
    <row r="15" spans="1:7" ht="27" customHeight="1">
      <c r="A15" s="284" t="s">
        <v>3</v>
      </c>
      <c r="B15" s="284"/>
      <c r="C15" s="284"/>
      <c r="D15" s="284"/>
      <c r="E15" s="284"/>
      <c r="F15" s="271">
        <v>93047</v>
      </c>
      <c r="G15" s="271">
        <f>49315</f>
        <v>49315</v>
      </c>
    </row>
    <row r="16" spans="1:7" ht="52.5" customHeight="1">
      <c r="A16" s="285" t="s">
        <v>670</v>
      </c>
      <c r="B16" s="286"/>
      <c r="C16" s="286"/>
      <c r="D16" s="286"/>
      <c r="E16" s="287"/>
      <c r="F16" s="272">
        <v>-1319</v>
      </c>
      <c r="G16" s="272">
        <v>-699</v>
      </c>
    </row>
    <row r="17" spans="1:7" ht="24.75" customHeight="1" thickBot="1">
      <c r="A17" s="288" t="s">
        <v>2</v>
      </c>
      <c r="B17" s="288"/>
      <c r="C17" s="288"/>
      <c r="D17" s="288"/>
      <c r="E17" s="288"/>
      <c r="F17" s="261">
        <v>0</v>
      </c>
      <c r="G17" s="261">
        <v>0</v>
      </c>
    </row>
    <row r="18" spans="1:7" ht="93" customHeight="1" thickBot="1">
      <c r="A18" s="274" t="s">
        <v>6</v>
      </c>
      <c r="B18" s="275"/>
      <c r="C18" s="275"/>
      <c r="D18" s="275"/>
      <c r="E18" s="276"/>
      <c r="F18" s="267">
        <f>F15+F16</f>
        <v>91728</v>
      </c>
      <c r="G18" s="267">
        <f>G15+G16</f>
        <v>48616</v>
      </c>
    </row>
    <row r="19" spans="1:7" ht="33.75" customHeight="1">
      <c r="A19" s="308" t="s">
        <v>671</v>
      </c>
      <c r="B19" s="309"/>
      <c r="C19" s="309"/>
      <c r="D19" s="309"/>
      <c r="E19" s="309"/>
      <c r="F19" s="309"/>
      <c r="G19" s="310"/>
    </row>
    <row r="20" spans="1:7" ht="99.75" customHeight="1">
      <c r="A20" s="280" t="s">
        <v>682</v>
      </c>
      <c r="B20" s="278"/>
      <c r="C20" s="278"/>
      <c r="D20" s="278"/>
      <c r="E20" s="279"/>
      <c r="F20" s="259">
        <v>296.6</v>
      </c>
      <c r="G20" s="259">
        <v>157.2</v>
      </c>
    </row>
    <row r="21" spans="1:7" ht="88.5" customHeight="1">
      <c r="A21" s="277" t="s">
        <v>673</v>
      </c>
      <c r="B21" s="278"/>
      <c r="C21" s="278"/>
      <c r="D21" s="278"/>
      <c r="E21" s="279"/>
      <c r="F21" s="259">
        <v>1189</v>
      </c>
      <c r="G21" s="259">
        <v>630</v>
      </c>
    </row>
    <row r="22" spans="1:7" ht="83.25" customHeight="1">
      <c r="A22" s="280" t="s">
        <v>674</v>
      </c>
      <c r="B22" s="278"/>
      <c r="C22" s="278"/>
      <c r="D22" s="278"/>
      <c r="E22" s="279"/>
      <c r="F22" s="273"/>
      <c r="G22" s="273"/>
    </row>
    <row r="23" spans="1:7" ht="18.75">
      <c r="A23" s="280"/>
      <c r="B23" s="278"/>
      <c r="C23" s="278"/>
      <c r="D23" s="278"/>
      <c r="E23" s="279"/>
      <c r="F23" s="273"/>
      <c r="G23" s="273"/>
    </row>
    <row r="24" spans="1:7" ht="19.5" thickBot="1">
      <c r="A24" s="289" t="s">
        <v>675</v>
      </c>
      <c r="B24" s="290"/>
      <c r="C24" s="290"/>
      <c r="D24" s="290"/>
      <c r="E24" s="291"/>
      <c r="F24" s="263">
        <f>F20+F21</f>
        <v>1485.6</v>
      </c>
      <c r="G24" s="263">
        <f>G20+G21</f>
        <v>787.2</v>
      </c>
    </row>
    <row r="25" spans="1:7" ht="19.5" thickBot="1">
      <c r="A25" s="274" t="s">
        <v>683</v>
      </c>
      <c r="B25" s="275"/>
      <c r="C25" s="275"/>
      <c r="D25" s="275"/>
      <c r="E25" s="276"/>
      <c r="F25" s="267">
        <f>F18+F24</f>
        <v>93213.6</v>
      </c>
      <c r="G25" s="267">
        <f>G18+G24</f>
        <v>49403.2</v>
      </c>
    </row>
  </sheetData>
  <sheetProtection/>
  <mergeCells count="20">
    <mergeCell ref="A24:E24"/>
    <mergeCell ref="A25:E25"/>
    <mergeCell ref="F1:G1"/>
    <mergeCell ref="F2:G2"/>
    <mergeCell ref="A7:G7"/>
    <mergeCell ref="A9:E10"/>
    <mergeCell ref="F9:G9"/>
    <mergeCell ref="A11:G11"/>
    <mergeCell ref="A12:E12"/>
    <mergeCell ref="A19:G19"/>
    <mergeCell ref="A18:E18"/>
    <mergeCell ref="A21:E21"/>
    <mergeCell ref="A22:E22"/>
    <mergeCell ref="A23:E23"/>
    <mergeCell ref="A20:E20"/>
    <mergeCell ref="A13:E13"/>
    <mergeCell ref="A14:E14"/>
    <mergeCell ref="A15:E15"/>
    <mergeCell ref="A16:E16"/>
    <mergeCell ref="A17:E17"/>
  </mergeCells>
  <printOptions/>
  <pageMargins left="0.2362204724409449" right="0.2362204724409449" top="0.1968503937007874" bottom="0.1968503937007874" header="0.31496062992125984" footer="0.31496062992125984"/>
  <pageSetup fitToHeight="0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F13" sqref="F13:F14"/>
    </sheetView>
  </sheetViews>
  <sheetFormatPr defaultColWidth="9.140625" defaultRowHeight="12.75"/>
  <cols>
    <col min="2" max="2" width="24.28125" style="0" customWidth="1"/>
    <col min="3" max="3" width="17.00390625" style="0" customWidth="1"/>
    <col min="4" max="4" width="17.7109375" style="0" customWidth="1"/>
    <col min="5" max="5" width="15.00390625" style="0" customWidth="1"/>
    <col min="6" max="6" width="17.421875" style="0" customWidth="1"/>
    <col min="7" max="7" width="17.7109375" style="0" customWidth="1"/>
  </cols>
  <sheetData>
    <row r="1" spans="1:7" ht="12.75">
      <c r="A1" s="366" t="s">
        <v>15</v>
      </c>
      <c r="B1" s="128" t="s">
        <v>352</v>
      </c>
      <c r="C1" s="128" t="s">
        <v>355</v>
      </c>
      <c r="D1" s="128" t="s">
        <v>360</v>
      </c>
      <c r="E1" s="128" t="s">
        <v>364</v>
      </c>
      <c r="F1" s="128"/>
      <c r="G1" s="128"/>
    </row>
    <row r="2" spans="1:7" ht="12.75">
      <c r="A2" s="367"/>
      <c r="B2" s="129" t="s">
        <v>353</v>
      </c>
      <c r="C2" s="129" t="s">
        <v>356</v>
      </c>
      <c r="D2" s="129" t="s">
        <v>361</v>
      </c>
      <c r="E2" s="129" t="s">
        <v>365</v>
      </c>
      <c r="F2" s="129"/>
      <c r="G2" s="129"/>
    </row>
    <row r="3" spans="1:7" ht="84">
      <c r="A3" s="367"/>
      <c r="B3" s="129" t="s">
        <v>354</v>
      </c>
      <c r="C3" s="129" t="s">
        <v>357</v>
      </c>
      <c r="D3" s="129" t="s">
        <v>362</v>
      </c>
      <c r="E3" s="129" t="s">
        <v>366</v>
      </c>
      <c r="F3" s="129" t="s">
        <v>368</v>
      </c>
      <c r="G3" s="129" t="s">
        <v>369</v>
      </c>
    </row>
    <row r="4" spans="1:7" ht="12.75">
      <c r="A4" s="367"/>
      <c r="B4" s="130"/>
      <c r="C4" s="129" t="s">
        <v>358</v>
      </c>
      <c r="D4" s="129" t="s">
        <v>363</v>
      </c>
      <c r="E4" s="129" t="s">
        <v>367</v>
      </c>
      <c r="F4" s="133"/>
      <c r="G4" s="133"/>
    </row>
    <row r="5" spans="1:7" ht="12.75">
      <c r="A5" s="367"/>
      <c r="B5" s="130"/>
      <c r="C5" s="129" t="s">
        <v>359</v>
      </c>
      <c r="D5" s="129" t="s">
        <v>358</v>
      </c>
      <c r="E5" s="130"/>
      <c r="F5" s="133"/>
      <c r="G5" s="133"/>
    </row>
    <row r="6" spans="1:7" ht="13.5" thickBot="1">
      <c r="A6" s="368"/>
      <c r="B6" s="131"/>
      <c r="C6" s="132"/>
      <c r="D6" s="132" t="s">
        <v>359</v>
      </c>
      <c r="E6" s="131"/>
      <c r="F6" s="134"/>
      <c r="G6" s="134"/>
    </row>
    <row r="7" spans="1:7" ht="36.75" thickBot="1">
      <c r="A7" s="135" t="s">
        <v>370</v>
      </c>
      <c r="B7" s="136"/>
      <c r="C7" s="137">
        <f>C8+C39</f>
        <v>436646.57999999996</v>
      </c>
      <c r="D7" s="137">
        <v>438788.34</v>
      </c>
      <c r="E7" s="138">
        <v>100.49</v>
      </c>
      <c r="F7" s="137">
        <v>391974.42</v>
      </c>
      <c r="G7" s="138">
        <v>89.33</v>
      </c>
    </row>
    <row r="8" spans="1:7" ht="60">
      <c r="A8" s="139" t="s">
        <v>371</v>
      </c>
      <c r="B8" s="369"/>
      <c r="C8" s="372">
        <f>C11+C13+C15+C23+C25+C27+C28+C31+C33+C35+C37+C38</f>
        <v>93179.85</v>
      </c>
      <c r="D8" s="372">
        <f>D11+D13+D15+D23+D25+D27+D28+D31+D33+D35+D37+D38</f>
        <v>95321.61</v>
      </c>
      <c r="E8" s="375">
        <v>102.3</v>
      </c>
      <c r="F8" s="372">
        <v>94617.82</v>
      </c>
      <c r="G8" s="375">
        <v>99.26</v>
      </c>
    </row>
    <row r="9" spans="1:7" ht="72">
      <c r="A9" s="139" t="s">
        <v>372</v>
      </c>
      <c r="B9" s="370"/>
      <c r="C9" s="373"/>
      <c r="D9" s="373"/>
      <c r="E9" s="376"/>
      <c r="F9" s="373"/>
      <c r="G9" s="376"/>
    </row>
    <row r="10" spans="1:7" ht="60.75" thickBot="1">
      <c r="A10" s="135" t="s">
        <v>373</v>
      </c>
      <c r="B10" s="371"/>
      <c r="C10" s="374"/>
      <c r="D10" s="374"/>
      <c r="E10" s="377"/>
      <c r="F10" s="374"/>
      <c r="G10" s="377"/>
    </row>
    <row r="11" spans="1:7" ht="34.5" customHeight="1">
      <c r="A11" s="378" t="s">
        <v>374</v>
      </c>
      <c r="B11" s="369" t="s">
        <v>375</v>
      </c>
      <c r="C11" s="372">
        <v>37733</v>
      </c>
      <c r="D11" s="372">
        <v>39660</v>
      </c>
      <c r="E11" s="375">
        <v>105.11</v>
      </c>
      <c r="F11" s="372">
        <v>41111.01</v>
      </c>
      <c r="G11" s="375">
        <v>103.66</v>
      </c>
    </row>
    <row r="12" spans="1:7" ht="13.5" thickBot="1">
      <c r="A12" s="379"/>
      <c r="B12" s="371"/>
      <c r="C12" s="374"/>
      <c r="D12" s="374"/>
      <c r="E12" s="377"/>
      <c r="F12" s="374"/>
      <c r="G12" s="377"/>
    </row>
    <row r="13" spans="1:7" ht="106.5" customHeight="1">
      <c r="A13" s="366" t="s">
        <v>376</v>
      </c>
      <c r="B13" s="369" t="s">
        <v>377</v>
      </c>
      <c r="C13" s="372">
        <v>4150.2</v>
      </c>
      <c r="D13" s="372">
        <v>5350.2</v>
      </c>
      <c r="E13" s="375">
        <v>128.91</v>
      </c>
      <c r="F13" s="372">
        <v>6071.3</v>
      </c>
      <c r="G13" s="375">
        <v>113.48</v>
      </c>
    </row>
    <row r="14" spans="1:7" ht="13.5" thickBot="1">
      <c r="A14" s="368"/>
      <c r="B14" s="371"/>
      <c r="C14" s="374"/>
      <c r="D14" s="374"/>
      <c r="E14" s="377"/>
      <c r="F14" s="374"/>
      <c r="G14" s="377"/>
    </row>
    <row r="15" spans="1:7" ht="36.75" thickBot="1">
      <c r="A15" s="135" t="s">
        <v>378</v>
      </c>
      <c r="B15" s="136" t="s">
        <v>379</v>
      </c>
      <c r="C15" s="140">
        <v>18751.86</v>
      </c>
      <c r="D15" s="140">
        <v>16994.31</v>
      </c>
      <c r="E15" s="141">
        <v>90.63</v>
      </c>
      <c r="F15" s="140">
        <v>16240.35</v>
      </c>
      <c r="G15" s="141">
        <v>95.56</v>
      </c>
    </row>
    <row r="16" spans="1:7" ht="96">
      <c r="A16" s="139" t="s">
        <v>380</v>
      </c>
      <c r="B16" s="369" t="s">
        <v>382</v>
      </c>
      <c r="C16" s="372">
        <v>7839.44</v>
      </c>
      <c r="D16" s="372">
        <v>7882</v>
      </c>
      <c r="E16" s="375">
        <v>100.54</v>
      </c>
      <c r="F16" s="372">
        <v>7486.64</v>
      </c>
      <c r="G16" s="375">
        <v>94.98</v>
      </c>
    </row>
    <row r="17" spans="1:7" ht="24.75" thickBot="1">
      <c r="A17" s="135" t="s">
        <v>381</v>
      </c>
      <c r="B17" s="371"/>
      <c r="C17" s="374"/>
      <c r="D17" s="374"/>
      <c r="E17" s="377"/>
      <c r="F17" s="374"/>
      <c r="G17" s="377"/>
    </row>
    <row r="18" spans="1:7" ht="96.75" thickBot="1">
      <c r="A18" s="135" t="s">
        <v>383</v>
      </c>
      <c r="B18" s="136" t="s">
        <v>384</v>
      </c>
      <c r="C18" s="140">
        <v>9869.8</v>
      </c>
      <c r="D18" s="140">
        <v>7000</v>
      </c>
      <c r="E18" s="141">
        <v>70.92</v>
      </c>
      <c r="F18" s="140">
        <v>6551.41</v>
      </c>
      <c r="G18" s="141">
        <v>93.59</v>
      </c>
    </row>
    <row r="19" spans="1:7" ht="48">
      <c r="A19" s="139" t="s">
        <v>385</v>
      </c>
      <c r="B19" s="369" t="s">
        <v>387</v>
      </c>
      <c r="C19" s="372">
        <v>1042.62</v>
      </c>
      <c r="D19" s="372">
        <v>2100</v>
      </c>
      <c r="E19" s="375">
        <v>201.42</v>
      </c>
      <c r="F19" s="372">
        <v>2178.3</v>
      </c>
      <c r="G19" s="375">
        <v>103.73</v>
      </c>
    </row>
    <row r="20" spans="1:7" ht="13.5" thickBot="1">
      <c r="A20" s="135" t="s">
        <v>386</v>
      </c>
      <c r="B20" s="371"/>
      <c r="C20" s="374"/>
      <c r="D20" s="374"/>
      <c r="E20" s="377"/>
      <c r="F20" s="374"/>
      <c r="G20" s="377"/>
    </row>
    <row r="21" spans="1:7" ht="94.5" customHeight="1">
      <c r="A21" s="378" t="s">
        <v>388</v>
      </c>
      <c r="B21" s="369" t="s">
        <v>389</v>
      </c>
      <c r="C21" s="375"/>
      <c r="D21" s="375">
        <v>12.31</v>
      </c>
      <c r="E21" s="375"/>
      <c r="F21" s="375">
        <v>24</v>
      </c>
      <c r="G21" s="375">
        <v>194.96</v>
      </c>
    </row>
    <row r="22" spans="1:7" ht="13.5" thickBot="1">
      <c r="A22" s="379"/>
      <c r="B22" s="371"/>
      <c r="C22" s="377"/>
      <c r="D22" s="377"/>
      <c r="E22" s="377"/>
      <c r="F22" s="377"/>
      <c r="G22" s="377"/>
    </row>
    <row r="23" spans="1:7" ht="24.75" thickBot="1">
      <c r="A23" s="135" t="s">
        <v>390</v>
      </c>
      <c r="B23" s="136" t="s">
        <v>391</v>
      </c>
      <c r="C23" s="140">
        <v>24520.47</v>
      </c>
      <c r="D23" s="140">
        <v>24570</v>
      </c>
      <c r="E23" s="141">
        <v>100.2</v>
      </c>
      <c r="F23" s="140">
        <v>23783.7</v>
      </c>
      <c r="G23" s="141">
        <v>96.8</v>
      </c>
    </row>
    <row r="24" spans="1:7" ht="48.75" thickBot="1">
      <c r="A24" s="135" t="s">
        <v>392</v>
      </c>
      <c r="B24" s="136" t="s">
        <v>393</v>
      </c>
      <c r="C24" s="140">
        <v>24520.47</v>
      </c>
      <c r="D24" s="140">
        <v>24570</v>
      </c>
      <c r="E24" s="141">
        <v>100.2</v>
      </c>
      <c r="F24" s="140">
        <v>23783.7</v>
      </c>
      <c r="G24" s="141">
        <v>96.8</v>
      </c>
    </row>
    <row r="25" spans="1:7" ht="106.5" customHeight="1">
      <c r="A25" s="378" t="s">
        <v>394</v>
      </c>
      <c r="B25" s="369" t="s">
        <v>395</v>
      </c>
      <c r="C25" s="375">
        <v>27</v>
      </c>
      <c r="D25" s="375">
        <v>32</v>
      </c>
      <c r="E25" s="375">
        <v>118.52</v>
      </c>
      <c r="F25" s="375">
        <v>55</v>
      </c>
      <c r="G25" s="375">
        <v>171.88</v>
      </c>
    </row>
    <row r="26" spans="1:7" ht="13.5" thickBot="1">
      <c r="A26" s="379"/>
      <c r="B26" s="371"/>
      <c r="C26" s="377"/>
      <c r="D26" s="377"/>
      <c r="E26" s="377"/>
      <c r="F26" s="377"/>
      <c r="G26" s="377"/>
    </row>
    <row r="27" spans="1:7" ht="36.75" thickBot="1">
      <c r="A27" s="135" t="s">
        <v>396</v>
      </c>
      <c r="B27" s="136" t="s">
        <v>397</v>
      </c>
      <c r="C27" s="140">
        <v>2366</v>
      </c>
      <c r="D27" s="140">
        <v>1671.5</v>
      </c>
      <c r="E27" s="141">
        <v>70.65</v>
      </c>
      <c r="F27" s="140">
        <v>1839</v>
      </c>
      <c r="G27" s="141">
        <v>110.02</v>
      </c>
    </row>
    <row r="28" spans="1:7" ht="60">
      <c r="A28" s="139" t="s">
        <v>398</v>
      </c>
      <c r="B28" s="369" t="s">
        <v>401</v>
      </c>
      <c r="C28" s="372">
        <v>1911.83</v>
      </c>
      <c r="D28" s="372">
        <v>2030</v>
      </c>
      <c r="E28" s="375">
        <v>106.18</v>
      </c>
      <c r="F28" s="372">
        <v>2136.99</v>
      </c>
      <c r="G28" s="375">
        <v>105.27</v>
      </c>
    </row>
    <row r="29" spans="1:7" ht="48">
      <c r="A29" s="139" t="s">
        <v>399</v>
      </c>
      <c r="B29" s="370"/>
      <c r="C29" s="373"/>
      <c r="D29" s="373"/>
      <c r="E29" s="376"/>
      <c r="F29" s="373"/>
      <c r="G29" s="376"/>
    </row>
    <row r="30" spans="1:7" ht="48.75" thickBot="1">
      <c r="A30" s="135" t="s">
        <v>400</v>
      </c>
      <c r="B30" s="371"/>
      <c r="C30" s="374"/>
      <c r="D30" s="374"/>
      <c r="E30" s="377"/>
      <c r="F30" s="374"/>
      <c r="G30" s="377"/>
    </row>
    <row r="31" spans="1:7" ht="72">
      <c r="A31" s="139" t="s">
        <v>402</v>
      </c>
      <c r="B31" s="369" t="s">
        <v>404</v>
      </c>
      <c r="C31" s="375">
        <v>55</v>
      </c>
      <c r="D31" s="375">
        <v>120</v>
      </c>
      <c r="E31" s="375">
        <v>218.18</v>
      </c>
      <c r="F31" s="375">
        <v>105.47</v>
      </c>
      <c r="G31" s="375">
        <v>87.89</v>
      </c>
    </row>
    <row r="32" spans="1:7" ht="13.5" thickBot="1">
      <c r="A32" s="135" t="s">
        <v>403</v>
      </c>
      <c r="B32" s="371"/>
      <c r="C32" s="377"/>
      <c r="D32" s="377"/>
      <c r="E32" s="377"/>
      <c r="F32" s="377"/>
      <c r="G32" s="377"/>
    </row>
    <row r="33" spans="1:7" ht="58.5" customHeight="1">
      <c r="A33" s="366" t="s">
        <v>405</v>
      </c>
      <c r="B33" s="369" t="s">
        <v>406</v>
      </c>
      <c r="C33" s="375">
        <v>500</v>
      </c>
      <c r="D33" s="375">
        <v>290</v>
      </c>
      <c r="E33" s="375">
        <v>58</v>
      </c>
      <c r="F33" s="375">
        <v>250</v>
      </c>
      <c r="G33" s="375">
        <v>86.21</v>
      </c>
    </row>
    <row r="34" spans="1:7" ht="13.5" thickBot="1">
      <c r="A34" s="368"/>
      <c r="B34" s="371"/>
      <c r="C34" s="377"/>
      <c r="D34" s="377"/>
      <c r="E34" s="377"/>
      <c r="F34" s="377"/>
      <c r="G34" s="377"/>
    </row>
    <row r="35" spans="1:7" ht="48">
      <c r="A35" s="139" t="s">
        <v>407</v>
      </c>
      <c r="B35" s="369" t="s">
        <v>409</v>
      </c>
      <c r="C35" s="372">
        <v>1325</v>
      </c>
      <c r="D35" s="372">
        <v>2725</v>
      </c>
      <c r="E35" s="375">
        <v>205.66</v>
      </c>
      <c r="F35" s="372">
        <v>1325</v>
      </c>
      <c r="G35" s="375">
        <v>48.62</v>
      </c>
    </row>
    <row r="36" spans="1:7" ht="36.75" thickBot="1">
      <c r="A36" s="135" t="s">
        <v>408</v>
      </c>
      <c r="B36" s="371"/>
      <c r="C36" s="374"/>
      <c r="D36" s="374"/>
      <c r="E36" s="377"/>
      <c r="F36" s="374"/>
      <c r="G36" s="377"/>
    </row>
    <row r="37" spans="1:7" ht="48.75" thickBot="1">
      <c r="A37" s="135" t="s">
        <v>410</v>
      </c>
      <c r="B37" s="136" t="s">
        <v>411</v>
      </c>
      <c r="C37" s="140">
        <v>1839.49</v>
      </c>
      <c r="D37" s="140">
        <v>1700</v>
      </c>
      <c r="E37" s="141">
        <v>92.42</v>
      </c>
      <c r="F37" s="140">
        <v>1700</v>
      </c>
      <c r="G37" s="141">
        <v>100</v>
      </c>
    </row>
    <row r="38" spans="1:7" ht="36.75" thickBot="1">
      <c r="A38" s="135" t="s">
        <v>412</v>
      </c>
      <c r="B38" s="136" t="s">
        <v>413</v>
      </c>
      <c r="C38" s="141"/>
      <c r="D38" s="141">
        <v>178.6</v>
      </c>
      <c r="E38" s="141"/>
      <c r="F38" s="141" t="s">
        <v>414</v>
      </c>
      <c r="G38" s="141" t="s">
        <v>414</v>
      </c>
    </row>
    <row r="39" spans="1:7" ht="48.75" thickBot="1">
      <c r="A39" s="135" t="s">
        <v>415</v>
      </c>
      <c r="B39" s="136" t="s">
        <v>416</v>
      </c>
      <c r="C39" s="140">
        <v>343466.73</v>
      </c>
      <c r="D39" s="140">
        <v>343466.73</v>
      </c>
      <c r="E39" s="141">
        <v>100</v>
      </c>
      <c r="F39" s="140">
        <v>297356.6</v>
      </c>
      <c r="G39" s="141">
        <v>86.58</v>
      </c>
    </row>
    <row r="40" spans="1:7" ht="132.75" thickBot="1">
      <c r="A40" s="135" t="s">
        <v>417</v>
      </c>
      <c r="B40" s="136" t="s">
        <v>418</v>
      </c>
      <c r="C40" s="140">
        <v>344459.78</v>
      </c>
      <c r="D40" s="140">
        <v>344459.78</v>
      </c>
      <c r="E40" s="141">
        <v>100</v>
      </c>
      <c r="F40" s="140">
        <v>297356.6</v>
      </c>
      <c r="G40" s="141">
        <v>86.33</v>
      </c>
    </row>
    <row r="41" spans="1:7" ht="132.75" thickBot="1">
      <c r="A41" s="135" t="s">
        <v>114</v>
      </c>
      <c r="B41" s="136" t="s">
        <v>419</v>
      </c>
      <c r="C41" s="140">
        <v>125300.5</v>
      </c>
      <c r="D41" s="140">
        <v>125300.5</v>
      </c>
      <c r="E41" s="141">
        <v>100</v>
      </c>
      <c r="F41" s="140">
        <v>124745.8</v>
      </c>
      <c r="G41" s="141">
        <v>99.56</v>
      </c>
    </row>
    <row r="42" spans="1:7" ht="168.75" thickBot="1">
      <c r="A42" s="135" t="s">
        <v>115</v>
      </c>
      <c r="B42" s="136" t="s">
        <v>420</v>
      </c>
      <c r="C42" s="140">
        <v>37761.54</v>
      </c>
      <c r="D42" s="140">
        <v>37761.54</v>
      </c>
      <c r="E42" s="141">
        <v>100</v>
      </c>
      <c r="F42" s="140">
        <v>9358.2</v>
      </c>
      <c r="G42" s="141">
        <v>24.78</v>
      </c>
    </row>
    <row r="43" spans="1:7" ht="132.75" thickBot="1">
      <c r="A43" s="135" t="s">
        <v>421</v>
      </c>
      <c r="B43" s="136" t="s">
        <v>422</v>
      </c>
      <c r="C43" s="140">
        <v>181307.74</v>
      </c>
      <c r="D43" s="140">
        <v>181307.74</v>
      </c>
      <c r="E43" s="141">
        <v>100</v>
      </c>
      <c r="F43" s="140">
        <v>163162.6</v>
      </c>
      <c r="G43" s="141">
        <v>89.99</v>
      </c>
    </row>
    <row r="44" spans="1:7" ht="60.75" thickBot="1">
      <c r="A44" s="135" t="s">
        <v>116</v>
      </c>
      <c r="B44" s="136" t="s">
        <v>423</v>
      </c>
      <c r="C44" s="141">
        <v>90</v>
      </c>
      <c r="D44" s="141">
        <v>90</v>
      </c>
      <c r="E44" s="141">
        <v>100</v>
      </c>
      <c r="F44" s="141">
        <v>90</v>
      </c>
      <c r="G44" s="141">
        <v>100</v>
      </c>
    </row>
    <row r="45" spans="1:7" ht="168.75" thickBot="1">
      <c r="A45" s="135" t="s">
        <v>424</v>
      </c>
      <c r="B45" s="136" t="s">
        <v>425</v>
      </c>
      <c r="C45" s="141">
        <v>-993.05</v>
      </c>
      <c r="D45" s="141">
        <v>-993.05</v>
      </c>
      <c r="E45" s="141">
        <v>100</v>
      </c>
      <c r="F45" s="141"/>
      <c r="G45" s="141"/>
    </row>
    <row r="46" spans="1:7" ht="36.75" thickBot="1">
      <c r="A46" s="135" t="s">
        <v>426</v>
      </c>
      <c r="B46" s="132" t="s">
        <v>427</v>
      </c>
      <c r="C46" s="136"/>
      <c r="D46" s="136"/>
      <c r="E46" s="136"/>
      <c r="F46" s="136"/>
      <c r="G46" s="136"/>
    </row>
    <row r="47" spans="1:7" ht="48.75" thickBot="1">
      <c r="A47" s="135" t="s">
        <v>428</v>
      </c>
      <c r="B47" s="132" t="s">
        <v>429</v>
      </c>
      <c r="C47" s="136"/>
      <c r="D47" s="136"/>
      <c r="E47" s="136"/>
      <c r="F47" s="136"/>
      <c r="G47" s="136"/>
    </row>
    <row r="48" spans="1:7" ht="168.75" thickBot="1">
      <c r="A48" s="135" t="s">
        <v>430</v>
      </c>
      <c r="B48" s="132" t="s">
        <v>431</v>
      </c>
      <c r="C48" s="136"/>
      <c r="D48" s="136"/>
      <c r="E48" s="136"/>
      <c r="F48" s="136"/>
      <c r="G48" s="136"/>
    </row>
    <row r="49" spans="1:7" ht="204.75" thickBot="1">
      <c r="A49" s="135" t="s">
        <v>432</v>
      </c>
      <c r="B49" s="132" t="s">
        <v>433</v>
      </c>
      <c r="C49" s="136"/>
      <c r="D49" s="136"/>
      <c r="E49" s="136"/>
      <c r="F49" s="136"/>
      <c r="G49" s="136"/>
    </row>
    <row r="50" spans="1:7" ht="252.75" thickBot="1">
      <c r="A50" s="135" t="s">
        <v>434</v>
      </c>
      <c r="B50" s="132" t="s">
        <v>435</v>
      </c>
      <c r="C50" s="136"/>
      <c r="D50" s="136"/>
      <c r="E50" s="136"/>
      <c r="F50" s="136"/>
      <c r="G50" s="136"/>
    </row>
    <row r="51" spans="1:7" ht="204.75" thickBot="1">
      <c r="A51" s="135" t="s">
        <v>436</v>
      </c>
      <c r="B51" s="132" t="s">
        <v>437</v>
      </c>
      <c r="C51" s="136"/>
      <c r="D51" s="136"/>
      <c r="E51" s="136"/>
      <c r="F51" s="136"/>
      <c r="G51" s="136"/>
    </row>
    <row r="52" spans="1:7" ht="24.75" thickBot="1">
      <c r="A52" s="135" t="s">
        <v>438</v>
      </c>
      <c r="B52" s="132" t="s">
        <v>439</v>
      </c>
      <c r="C52" s="136"/>
      <c r="D52" s="136"/>
      <c r="E52" s="136"/>
      <c r="F52" s="136"/>
      <c r="G52" s="136"/>
    </row>
    <row r="53" spans="1:7" ht="24.75" thickBot="1">
      <c r="A53" s="135" t="s">
        <v>440</v>
      </c>
      <c r="B53" s="132" t="s">
        <v>441</v>
      </c>
      <c r="C53" s="136"/>
      <c r="D53" s="136"/>
      <c r="E53" s="136"/>
      <c r="F53" s="136"/>
      <c r="G53" s="136"/>
    </row>
    <row r="54" spans="1:7" ht="48.75" thickBot="1">
      <c r="A54" s="135" t="s">
        <v>442</v>
      </c>
      <c r="B54" s="132" t="s">
        <v>443</v>
      </c>
      <c r="C54" s="136"/>
      <c r="D54" s="136"/>
      <c r="E54" s="136"/>
      <c r="F54" s="136"/>
      <c r="G54" s="136"/>
    </row>
    <row r="55" spans="1:7" ht="36.75" thickBot="1">
      <c r="A55" s="135" t="s">
        <v>444</v>
      </c>
      <c r="B55" s="132" t="s">
        <v>445</v>
      </c>
      <c r="C55" s="136"/>
      <c r="D55" s="136"/>
      <c r="E55" s="136"/>
      <c r="F55" s="136"/>
      <c r="G55" s="136"/>
    </row>
    <row r="56" spans="1:7" ht="60.75" thickBot="1">
      <c r="A56" s="135" t="s">
        <v>446</v>
      </c>
      <c r="B56" s="132" t="s">
        <v>447</v>
      </c>
      <c r="C56" s="136"/>
      <c r="D56" s="136"/>
      <c r="E56" s="136"/>
      <c r="F56" s="136"/>
      <c r="G56" s="136"/>
    </row>
    <row r="57" spans="1:7" ht="96.75" thickBot="1">
      <c r="A57" s="135" t="s">
        <v>448</v>
      </c>
      <c r="B57" s="132" t="s">
        <v>449</v>
      </c>
      <c r="C57" s="136"/>
      <c r="D57" s="136"/>
      <c r="E57" s="136"/>
      <c r="F57" s="136"/>
      <c r="G57" s="136"/>
    </row>
    <row r="58" spans="1:7" ht="180.75" thickBot="1">
      <c r="A58" s="135" t="s">
        <v>450</v>
      </c>
      <c r="B58" s="132" t="s">
        <v>451</v>
      </c>
      <c r="C58" s="136"/>
      <c r="D58" s="136"/>
      <c r="E58" s="136"/>
      <c r="F58" s="136"/>
      <c r="G58" s="136"/>
    </row>
    <row r="59" spans="1:7" ht="132.75" thickBot="1">
      <c r="A59" s="135" t="s">
        <v>452</v>
      </c>
      <c r="B59" s="132" t="s">
        <v>453</v>
      </c>
      <c r="C59" s="136"/>
      <c r="D59" s="136"/>
      <c r="E59" s="136"/>
      <c r="F59" s="136"/>
      <c r="G59" s="136"/>
    </row>
    <row r="60" spans="1:7" ht="36.75" thickBot="1">
      <c r="A60" s="135" t="s">
        <v>454</v>
      </c>
      <c r="B60" s="132" t="s">
        <v>455</v>
      </c>
      <c r="C60" s="136"/>
      <c r="D60" s="136"/>
      <c r="E60" s="136"/>
      <c r="F60" s="136"/>
      <c r="G60" s="136"/>
    </row>
    <row r="61" spans="1:7" ht="60.75" thickBot="1">
      <c r="A61" s="135" t="s">
        <v>456</v>
      </c>
      <c r="B61" s="132" t="s">
        <v>457</v>
      </c>
      <c r="C61" s="136"/>
      <c r="D61" s="136"/>
      <c r="E61" s="136"/>
      <c r="F61" s="136"/>
      <c r="G61" s="136"/>
    </row>
    <row r="62" spans="1:7" ht="48.75" thickBot="1">
      <c r="A62" s="135" t="s">
        <v>458</v>
      </c>
      <c r="B62" s="132" t="s">
        <v>459</v>
      </c>
      <c r="C62" s="136"/>
      <c r="D62" s="136"/>
      <c r="E62" s="136"/>
      <c r="F62" s="136"/>
      <c r="G62" s="136"/>
    </row>
    <row r="63" spans="1:7" ht="72.75" thickBot="1">
      <c r="A63" s="135" t="s">
        <v>460</v>
      </c>
      <c r="B63" s="132" t="s">
        <v>461</v>
      </c>
      <c r="C63" s="136"/>
      <c r="D63" s="136"/>
      <c r="E63" s="136"/>
      <c r="F63" s="136"/>
      <c r="G63" s="136"/>
    </row>
    <row r="64" spans="1:7" ht="48.75" thickBot="1">
      <c r="A64" s="135" t="s">
        <v>462</v>
      </c>
      <c r="B64" s="132" t="s">
        <v>463</v>
      </c>
      <c r="C64" s="136"/>
      <c r="D64" s="136"/>
      <c r="E64" s="136"/>
      <c r="F64" s="136"/>
      <c r="G64" s="136"/>
    </row>
    <row r="65" spans="1:7" ht="36.75" thickBot="1">
      <c r="A65" s="135" t="s">
        <v>464</v>
      </c>
      <c r="B65" s="132" t="s">
        <v>465</v>
      </c>
      <c r="C65" s="136"/>
      <c r="D65" s="136"/>
      <c r="E65" s="136"/>
      <c r="F65" s="136"/>
      <c r="G65" s="136"/>
    </row>
    <row r="66" spans="1:7" ht="24.75" thickBot="1">
      <c r="A66" s="135" t="s">
        <v>466</v>
      </c>
      <c r="B66" s="132" t="s">
        <v>467</v>
      </c>
      <c r="C66" s="136"/>
      <c r="D66" s="136"/>
      <c r="E66" s="136"/>
      <c r="F66" s="136"/>
      <c r="G66" s="136"/>
    </row>
    <row r="67" spans="1:7" ht="36.75" thickBot="1">
      <c r="A67" s="135" t="s">
        <v>468</v>
      </c>
      <c r="B67" s="132" t="s">
        <v>469</v>
      </c>
      <c r="C67" s="136"/>
      <c r="D67" s="136"/>
      <c r="E67" s="136"/>
      <c r="F67" s="136"/>
      <c r="G67" s="136"/>
    </row>
    <row r="68" spans="1:7" ht="13.5" thickBot="1">
      <c r="A68" s="135"/>
      <c r="B68" s="132" t="s">
        <v>470</v>
      </c>
      <c r="C68" s="136"/>
      <c r="D68" s="136"/>
      <c r="E68" s="136"/>
      <c r="F68" s="136"/>
      <c r="G68" s="136"/>
    </row>
    <row r="69" spans="1:7" ht="24.75" thickBot="1">
      <c r="A69" s="135" t="s">
        <v>471</v>
      </c>
      <c r="B69" s="132" t="s">
        <v>472</v>
      </c>
      <c r="C69" s="136"/>
      <c r="D69" s="136"/>
      <c r="E69" s="136"/>
      <c r="F69" s="136"/>
      <c r="G69" s="136"/>
    </row>
    <row r="70" spans="1:7" ht="48.75" thickBot="1">
      <c r="A70" s="135" t="s">
        <v>473</v>
      </c>
      <c r="B70" s="132" t="s">
        <v>474</v>
      </c>
      <c r="C70" s="136"/>
      <c r="D70" s="136"/>
      <c r="E70" s="136"/>
      <c r="F70" s="136"/>
      <c r="G70" s="136"/>
    </row>
    <row r="71" spans="1:7" ht="36.75" thickBot="1">
      <c r="A71" s="135" t="s">
        <v>475</v>
      </c>
      <c r="B71" s="132" t="s">
        <v>476</v>
      </c>
      <c r="C71" s="136"/>
      <c r="D71" s="136"/>
      <c r="E71" s="136"/>
      <c r="F71" s="136"/>
      <c r="G71" s="136"/>
    </row>
    <row r="72" spans="1:7" ht="108.75" thickBot="1">
      <c r="A72" s="135" t="s">
        <v>477</v>
      </c>
      <c r="B72" s="132" t="s">
        <v>478</v>
      </c>
      <c r="C72" s="136"/>
      <c r="D72" s="136"/>
      <c r="E72" s="136"/>
      <c r="F72" s="136"/>
      <c r="G72" s="136"/>
    </row>
    <row r="73" spans="1:7" ht="60.75" thickBot="1">
      <c r="A73" s="135" t="s">
        <v>479</v>
      </c>
      <c r="B73" s="132" t="s">
        <v>480</v>
      </c>
      <c r="C73" s="136"/>
      <c r="D73" s="136"/>
      <c r="E73" s="136"/>
      <c r="F73" s="136"/>
      <c r="G73" s="136"/>
    </row>
    <row r="74" spans="1:7" ht="60.75" thickBot="1">
      <c r="A74" s="135" t="s">
        <v>481</v>
      </c>
      <c r="B74" s="132" t="s">
        <v>482</v>
      </c>
      <c r="C74" s="136"/>
      <c r="D74" s="136"/>
      <c r="E74" s="136"/>
      <c r="F74" s="136"/>
      <c r="G74" s="136"/>
    </row>
    <row r="75" spans="1:7" ht="84.75" thickBot="1">
      <c r="A75" s="135" t="s">
        <v>483</v>
      </c>
      <c r="B75" s="132" t="s">
        <v>484</v>
      </c>
      <c r="C75" s="136"/>
      <c r="D75" s="136"/>
      <c r="E75" s="136"/>
      <c r="F75" s="136"/>
      <c r="G75" s="136"/>
    </row>
    <row r="76" spans="1:7" ht="13.5" thickBot="1">
      <c r="A76" s="135" t="s">
        <v>485</v>
      </c>
      <c r="B76" s="132" t="s">
        <v>486</v>
      </c>
      <c r="C76" s="136"/>
      <c r="D76" s="136"/>
      <c r="E76" s="136"/>
      <c r="F76" s="136"/>
      <c r="G76" s="136"/>
    </row>
    <row r="77" spans="1:7" ht="60.75" thickBot="1">
      <c r="A77" s="135" t="s">
        <v>487</v>
      </c>
      <c r="B77" s="132" t="s">
        <v>488</v>
      </c>
      <c r="C77" s="136"/>
      <c r="D77" s="136"/>
      <c r="E77" s="136"/>
      <c r="F77" s="136"/>
      <c r="G77" s="136"/>
    </row>
    <row r="78" spans="1:7" ht="24.75" thickBot="1">
      <c r="A78" s="135" t="s">
        <v>489</v>
      </c>
      <c r="B78" s="132" t="s">
        <v>490</v>
      </c>
      <c r="C78" s="136"/>
      <c r="D78" s="136"/>
      <c r="E78" s="136"/>
      <c r="F78" s="136"/>
      <c r="G78" s="136"/>
    </row>
    <row r="79" spans="1:7" ht="13.5" thickBot="1">
      <c r="A79" s="135"/>
      <c r="B79" s="132" t="s">
        <v>491</v>
      </c>
      <c r="C79" s="136"/>
      <c r="D79" s="136"/>
      <c r="E79" s="136"/>
      <c r="F79" s="136"/>
      <c r="G79" s="136"/>
    </row>
    <row r="80" spans="1:7" ht="60.75" thickBot="1">
      <c r="A80" s="135" t="s">
        <v>492</v>
      </c>
      <c r="B80" s="132" t="s">
        <v>493</v>
      </c>
      <c r="C80" s="136"/>
      <c r="D80" s="136"/>
      <c r="E80" s="136"/>
      <c r="F80" s="136"/>
      <c r="G80" s="136"/>
    </row>
    <row r="81" spans="1:7" ht="24.75" thickBot="1">
      <c r="A81" s="135" t="s">
        <v>494</v>
      </c>
      <c r="B81" s="132" t="s">
        <v>495</v>
      </c>
      <c r="C81" s="136"/>
      <c r="D81" s="136"/>
      <c r="E81" s="136"/>
      <c r="F81" s="136"/>
      <c r="G81" s="136"/>
    </row>
    <row r="82" spans="1:7" ht="48.75" thickBot="1">
      <c r="A82" s="135" t="s">
        <v>496</v>
      </c>
      <c r="B82" s="132" t="s">
        <v>497</v>
      </c>
      <c r="C82" s="136"/>
      <c r="D82" s="136"/>
      <c r="E82" s="136"/>
      <c r="F82" s="136"/>
      <c r="G82" s="136"/>
    </row>
    <row r="83" spans="1:7" ht="60.75" thickBot="1">
      <c r="A83" s="135" t="s">
        <v>498</v>
      </c>
      <c r="B83" s="132" t="s">
        <v>499</v>
      </c>
      <c r="C83" s="136"/>
      <c r="D83" s="136"/>
      <c r="E83" s="136"/>
      <c r="F83" s="136"/>
      <c r="G83" s="136"/>
    </row>
    <row r="84" spans="1:7" ht="36.75" thickBot="1">
      <c r="A84" s="135" t="s">
        <v>500</v>
      </c>
      <c r="B84" s="132" t="s">
        <v>501</v>
      </c>
      <c r="C84" s="136"/>
      <c r="D84" s="136"/>
      <c r="E84" s="136"/>
      <c r="F84" s="136"/>
      <c r="G84" s="136"/>
    </row>
    <row r="85" spans="1:7" ht="60.75" thickBot="1">
      <c r="A85" s="135" t="s">
        <v>502</v>
      </c>
      <c r="B85" s="132" t="s">
        <v>503</v>
      </c>
      <c r="C85" s="136"/>
      <c r="D85" s="136"/>
      <c r="E85" s="136"/>
      <c r="F85" s="136"/>
      <c r="G85" s="136"/>
    </row>
    <row r="86" spans="1:7" ht="48.75" thickBot="1">
      <c r="A86" s="135" t="s">
        <v>504</v>
      </c>
      <c r="B86" s="132" t="s">
        <v>505</v>
      </c>
      <c r="C86" s="136"/>
      <c r="D86" s="136"/>
      <c r="E86" s="136"/>
      <c r="F86" s="136"/>
      <c r="G86" s="136"/>
    </row>
    <row r="87" spans="1:7" ht="36.75" thickBot="1">
      <c r="A87" s="135" t="s">
        <v>506</v>
      </c>
      <c r="B87" s="132" t="s">
        <v>507</v>
      </c>
      <c r="C87" s="136"/>
      <c r="D87" s="136"/>
      <c r="E87" s="136"/>
      <c r="F87" s="136"/>
      <c r="G87" s="136"/>
    </row>
    <row r="88" spans="1:7" ht="13.5" thickBot="1">
      <c r="A88" s="135"/>
      <c r="B88" s="132" t="s">
        <v>508</v>
      </c>
      <c r="C88" s="136"/>
      <c r="D88" s="136"/>
      <c r="E88" s="136"/>
      <c r="F88" s="136"/>
      <c r="G88" s="136"/>
    </row>
    <row r="89" spans="1:7" ht="48.75" thickBot="1">
      <c r="A89" s="135" t="s">
        <v>509</v>
      </c>
      <c r="B89" s="132" t="s">
        <v>510</v>
      </c>
      <c r="C89" s="136"/>
      <c r="D89" s="136"/>
      <c r="E89" s="136"/>
      <c r="F89" s="136"/>
      <c r="G89" s="136"/>
    </row>
    <row r="90" spans="1:7" ht="60.75" thickBot="1">
      <c r="A90" s="135" t="s">
        <v>511</v>
      </c>
      <c r="B90" s="132" t="s">
        <v>512</v>
      </c>
      <c r="C90" s="136"/>
      <c r="D90" s="136"/>
      <c r="E90" s="136"/>
      <c r="F90" s="136"/>
      <c r="G90" s="136"/>
    </row>
    <row r="91" spans="1:7" ht="84.75" thickBot="1">
      <c r="A91" s="135" t="s">
        <v>513</v>
      </c>
      <c r="B91" s="132" t="s">
        <v>514</v>
      </c>
      <c r="C91" s="136"/>
      <c r="D91" s="136"/>
      <c r="E91" s="136"/>
      <c r="F91" s="136"/>
      <c r="G91" s="136"/>
    </row>
    <row r="92" spans="1:7" ht="120.75" thickBot="1">
      <c r="A92" s="135" t="s">
        <v>515</v>
      </c>
      <c r="B92" s="132" t="s">
        <v>516</v>
      </c>
      <c r="C92" s="136"/>
      <c r="D92" s="136"/>
      <c r="E92" s="136"/>
      <c r="F92" s="136"/>
      <c r="G92" s="136"/>
    </row>
    <row r="93" spans="1:7" ht="180.75" thickBot="1">
      <c r="A93" s="135" t="s">
        <v>517</v>
      </c>
      <c r="B93" s="132" t="s">
        <v>518</v>
      </c>
      <c r="C93" s="136"/>
      <c r="D93" s="136"/>
      <c r="E93" s="136"/>
      <c r="F93" s="136"/>
      <c r="G93" s="136"/>
    </row>
    <row r="94" spans="1:7" ht="192.75" thickBot="1">
      <c r="A94" s="135" t="s">
        <v>519</v>
      </c>
      <c r="B94" s="132" t="s">
        <v>520</v>
      </c>
      <c r="C94" s="136"/>
      <c r="D94" s="136"/>
      <c r="E94" s="136"/>
      <c r="F94" s="136"/>
      <c r="G94" s="136"/>
    </row>
    <row r="95" spans="1:7" ht="72.75" thickBot="1">
      <c r="A95" s="135" t="s">
        <v>521</v>
      </c>
      <c r="B95" s="132" t="s">
        <v>522</v>
      </c>
      <c r="C95" s="136"/>
      <c r="D95" s="136"/>
      <c r="E95" s="136"/>
      <c r="F95" s="136"/>
      <c r="G95" s="136"/>
    </row>
    <row r="96" spans="1:7" ht="84.75" thickBot="1">
      <c r="A96" s="135" t="s">
        <v>523</v>
      </c>
      <c r="B96" s="132" t="s">
        <v>524</v>
      </c>
      <c r="C96" s="136">
        <v>-7250.47</v>
      </c>
      <c r="D96" s="136"/>
      <c r="E96" s="136"/>
      <c r="F96" s="136">
        <v>0</v>
      </c>
      <c r="G96" s="136" t="s">
        <v>414</v>
      </c>
    </row>
  </sheetData>
  <sheetProtection/>
  <mergeCells count="72">
    <mergeCell ref="G33:G34"/>
    <mergeCell ref="B35:B36"/>
    <mergeCell ref="C35:C36"/>
    <mergeCell ref="D35:D36"/>
    <mergeCell ref="E35:E36"/>
    <mergeCell ref="F35:F36"/>
    <mergeCell ref="G35:G36"/>
    <mergeCell ref="A33:A34"/>
    <mergeCell ref="B33:B34"/>
    <mergeCell ref="C33:C34"/>
    <mergeCell ref="D33:D34"/>
    <mergeCell ref="E33:E34"/>
    <mergeCell ref="F33:F34"/>
    <mergeCell ref="B31:B32"/>
    <mergeCell ref="C31:C32"/>
    <mergeCell ref="D31:D32"/>
    <mergeCell ref="E31:E32"/>
    <mergeCell ref="F31:F32"/>
    <mergeCell ref="G31:G32"/>
    <mergeCell ref="B28:B30"/>
    <mergeCell ref="C28:C30"/>
    <mergeCell ref="D28:D30"/>
    <mergeCell ref="E28:E30"/>
    <mergeCell ref="F28:F30"/>
    <mergeCell ref="G28:G30"/>
    <mergeCell ref="G21:G22"/>
    <mergeCell ref="A25:A26"/>
    <mergeCell ref="B25:B26"/>
    <mergeCell ref="C25:C26"/>
    <mergeCell ref="D25:D26"/>
    <mergeCell ref="E25:E26"/>
    <mergeCell ref="F25:F26"/>
    <mergeCell ref="G25:G26"/>
    <mergeCell ref="A21:A22"/>
    <mergeCell ref="B21:B22"/>
    <mergeCell ref="C21:C22"/>
    <mergeCell ref="D21:D22"/>
    <mergeCell ref="E21:E22"/>
    <mergeCell ref="F21:F22"/>
    <mergeCell ref="B19:B20"/>
    <mergeCell ref="C19:C20"/>
    <mergeCell ref="D19:D20"/>
    <mergeCell ref="E19:E20"/>
    <mergeCell ref="F19:F20"/>
    <mergeCell ref="G19:G20"/>
    <mergeCell ref="G13:G14"/>
    <mergeCell ref="B16:B17"/>
    <mergeCell ref="C16:C17"/>
    <mergeCell ref="D16:D17"/>
    <mergeCell ref="E16:E17"/>
    <mergeCell ref="F16:F17"/>
    <mergeCell ref="G16:G17"/>
    <mergeCell ref="A13:A14"/>
    <mergeCell ref="B13:B14"/>
    <mergeCell ref="C13:C14"/>
    <mergeCell ref="D13:D14"/>
    <mergeCell ref="E13:E14"/>
    <mergeCell ref="F13:F14"/>
    <mergeCell ref="G8:G10"/>
    <mergeCell ref="A11:A12"/>
    <mergeCell ref="B11:B12"/>
    <mergeCell ref="C11:C12"/>
    <mergeCell ref="D11:D12"/>
    <mergeCell ref="E11:E12"/>
    <mergeCell ref="F11:F12"/>
    <mergeCell ref="G11:G12"/>
    <mergeCell ref="A1:A6"/>
    <mergeCell ref="B8:B10"/>
    <mergeCell ref="C8:C10"/>
    <mergeCell ref="D8:D10"/>
    <mergeCell ref="E8:E10"/>
    <mergeCell ref="F8:F1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66"/>
  <sheetViews>
    <sheetView zoomScalePageLayoutView="0" workbookViewId="0" topLeftCell="A9">
      <pane xSplit="2" ySplit="3" topLeftCell="C12" activePane="bottomRight" state="frozen"/>
      <selection pane="topLeft" activeCell="A9" sqref="A9"/>
      <selection pane="topRight" activeCell="C9" sqref="C9"/>
      <selection pane="bottomLeft" activeCell="A12" sqref="A12"/>
      <selection pane="bottomRight" activeCell="C12" sqref="C12"/>
    </sheetView>
  </sheetViews>
  <sheetFormatPr defaultColWidth="9.140625" defaultRowHeight="12.75"/>
  <cols>
    <col min="1" max="1" width="47.421875" style="33" customWidth="1"/>
    <col min="2" max="2" width="29.140625" style="28" hidden="1" customWidth="1"/>
    <col min="3" max="3" width="19.00390625" style="28" customWidth="1"/>
    <col min="4" max="10" width="15.7109375" style="27" customWidth="1"/>
    <col min="11" max="11" width="15.7109375" style="26" customWidth="1"/>
    <col min="12" max="12" width="16.00390625" style="26" customWidth="1"/>
    <col min="13" max="13" width="16.28125" style="26" customWidth="1"/>
    <col min="14" max="15" width="12.00390625" style="26" customWidth="1"/>
    <col min="16" max="18" width="10.7109375" style="26" customWidth="1"/>
    <col min="19" max="19" width="10.8515625" style="26" customWidth="1"/>
    <col min="20" max="22" width="13.7109375" style="26" bestFit="1" customWidth="1"/>
    <col min="23" max="16384" width="9.140625" style="26" customWidth="1"/>
  </cols>
  <sheetData>
    <row r="1" spans="1:19" ht="12">
      <c r="A1" s="24"/>
      <c r="B1" s="25"/>
      <c r="C1" s="25"/>
      <c r="D1" s="25"/>
      <c r="E1" s="25"/>
      <c r="F1" s="25"/>
      <c r="G1" s="25"/>
      <c r="H1" s="25"/>
      <c r="I1" s="25"/>
      <c r="J1" s="25"/>
      <c r="K1" s="147"/>
      <c r="L1" s="147"/>
      <c r="M1" s="147"/>
      <c r="N1" s="380" t="s">
        <v>14</v>
      </c>
      <c r="O1" s="380"/>
      <c r="P1" s="380"/>
      <c r="Q1" s="380"/>
      <c r="R1" s="380"/>
      <c r="S1" s="380"/>
    </row>
    <row r="2" spans="1:19" ht="15" customHeight="1">
      <c r="A2" s="24"/>
      <c r="B2" s="25"/>
      <c r="C2" s="25"/>
      <c r="K2" s="25"/>
      <c r="L2" s="25"/>
      <c r="M2" s="25"/>
      <c r="N2" s="381" t="s">
        <v>7</v>
      </c>
      <c r="O2" s="381"/>
      <c r="P2" s="381"/>
      <c r="Q2" s="381"/>
      <c r="R2" s="381"/>
      <c r="S2" s="381"/>
    </row>
    <row r="3" spans="1:19" ht="12.75" customHeight="1">
      <c r="A3" s="24"/>
      <c r="D3" s="39"/>
      <c r="E3" s="39"/>
      <c r="F3" s="39"/>
      <c r="G3" s="39"/>
      <c r="H3" s="39"/>
      <c r="I3" s="39"/>
      <c r="J3" s="39"/>
      <c r="K3" s="29"/>
      <c r="L3" s="29"/>
      <c r="M3" s="29"/>
      <c r="N3" s="381"/>
      <c r="O3" s="381"/>
      <c r="P3" s="381"/>
      <c r="Q3" s="381"/>
      <c r="R3" s="381"/>
      <c r="S3" s="381"/>
    </row>
    <row r="4" spans="1:19" ht="4.5" customHeight="1">
      <c r="A4" s="24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81"/>
      <c r="O4" s="381"/>
      <c r="P4" s="381"/>
      <c r="Q4" s="381"/>
      <c r="R4" s="381"/>
      <c r="S4" s="381"/>
    </row>
    <row r="5" spans="1:19" ht="12">
      <c r="A5" s="382" t="s">
        <v>526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0"/>
      <c r="P5" s="30"/>
      <c r="Q5" s="30"/>
      <c r="R5" s="30"/>
      <c r="S5" s="31"/>
    </row>
    <row r="6" spans="1:19" ht="12.75" customHeight="1">
      <c r="A6" s="382"/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0"/>
      <c r="P6" s="30"/>
      <c r="Q6" s="30"/>
      <c r="R6" s="30"/>
      <c r="S6" s="30"/>
    </row>
    <row r="7" spans="1:13" s="27" customFormat="1" ht="21.7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3" s="27" customFormat="1" ht="12" hidden="1">
      <c r="A8" s="33"/>
      <c r="B8" s="28"/>
      <c r="C8" s="28"/>
    </row>
    <row r="9" spans="1:19" s="27" customFormat="1" ht="15.75" customHeight="1">
      <c r="A9" s="383" t="s">
        <v>15</v>
      </c>
      <c r="B9" s="386" t="s">
        <v>16</v>
      </c>
      <c r="C9" s="389" t="s">
        <v>535</v>
      </c>
      <c r="D9" s="389"/>
      <c r="E9" s="389" t="s">
        <v>527</v>
      </c>
      <c r="F9" s="389"/>
      <c r="G9" s="394" t="s">
        <v>256</v>
      </c>
      <c r="H9" s="395"/>
      <c r="I9" s="395"/>
      <c r="J9" s="396"/>
      <c r="K9" s="389" t="s">
        <v>259</v>
      </c>
      <c r="L9" s="389"/>
      <c r="M9" s="389"/>
      <c r="N9" s="390" t="s">
        <v>17</v>
      </c>
      <c r="O9" s="390"/>
      <c r="P9" s="390"/>
      <c r="Q9" s="390"/>
      <c r="R9" s="390"/>
      <c r="S9" s="391"/>
    </row>
    <row r="10" spans="1:19" s="34" customFormat="1" ht="12">
      <c r="A10" s="384"/>
      <c r="B10" s="387"/>
      <c r="C10" s="389"/>
      <c r="D10" s="389"/>
      <c r="E10" s="389"/>
      <c r="F10" s="389"/>
      <c r="G10" s="397"/>
      <c r="H10" s="398"/>
      <c r="I10" s="398"/>
      <c r="J10" s="399"/>
      <c r="K10" s="389"/>
      <c r="L10" s="389"/>
      <c r="M10" s="389"/>
      <c r="N10" s="392"/>
      <c r="O10" s="392"/>
      <c r="P10" s="392"/>
      <c r="Q10" s="392"/>
      <c r="R10" s="392"/>
      <c r="S10" s="393"/>
    </row>
    <row r="11" spans="1:19" s="36" customFormat="1" ht="45" customHeight="1">
      <c r="A11" s="385"/>
      <c r="B11" s="388"/>
      <c r="C11" s="146" t="s">
        <v>528</v>
      </c>
      <c r="D11" s="146" t="s">
        <v>529</v>
      </c>
      <c r="E11" s="146" t="s">
        <v>528</v>
      </c>
      <c r="F11" s="146" t="s">
        <v>529</v>
      </c>
      <c r="G11" s="146" t="s">
        <v>533</v>
      </c>
      <c r="H11" s="146" t="s">
        <v>528</v>
      </c>
      <c r="I11" s="146" t="s">
        <v>530</v>
      </c>
      <c r="J11" s="146" t="s">
        <v>536</v>
      </c>
      <c r="K11" s="146" t="s">
        <v>257</v>
      </c>
      <c r="L11" s="146" t="s">
        <v>258</v>
      </c>
      <c r="M11" s="146" t="s">
        <v>531</v>
      </c>
      <c r="N11" s="88" t="s">
        <v>18</v>
      </c>
      <c r="O11" s="88" t="s">
        <v>534</v>
      </c>
      <c r="P11" s="88" t="s">
        <v>261</v>
      </c>
      <c r="Q11" s="88" t="s">
        <v>262</v>
      </c>
      <c r="R11" s="35" t="s">
        <v>263</v>
      </c>
      <c r="S11" s="35" t="s">
        <v>532</v>
      </c>
    </row>
    <row r="12" spans="1:19" ht="17.25" customHeight="1">
      <c r="A12" s="37" t="s">
        <v>19</v>
      </c>
      <c r="B12" s="38" t="s">
        <v>20</v>
      </c>
      <c r="C12" s="148">
        <f aca="true" t="shared" si="0" ref="C12:M12">C13+C39</f>
        <v>46917.050390000004</v>
      </c>
      <c r="D12" s="148">
        <f t="shared" si="0"/>
        <v>105982.50228000002</v>
      </c>
      <c r="E12" s="142">
        <f t="shared" si="0"/>
        <v>46832.019909999995</v>
      </c>
      <c r="F12" s="142">
        <f t="shared" si="0"/>
        <v>88963.49</v>
      </c>
      <c r="G12" s="142">
        <f t="shared" si="0"/>
        <v>0</v>
      </c>
      <c r="H12" s="142">
        <f t="shared" si="0"/>
        <v>88822.062</v>
      </c>
      <c r="I12" s="142">
        <f t="shared" si="0"/>
        <v>0</v>
      </c>
      <c r="J12" s="142">
        <f t="shared" si="0"/>
        <v>0</v>
      </c>
      <c r="K12" s="142" t="e">
        <f t="shared" si="0"/>
        <v>#REF!</v>
      </c>
      <c r="L12" s="142" t="e">
        <f t="shared" si="0"/>
        <v>#REF!</v>
      </c>
      <c r="M12" s="142" t="e">
        <f t="shared" si="0"/>
        <v>#REF!</v>
      </c>
      <c r="N12" s="143">
        <f aca="true" t="shared" si="1" ref="N12:N37">F12/D12*100</f>
        <v>83.94167724495058</v>
      </c>
      <c r="O12" s="143"/>
      <c r="P12" s="143" t="e">
        <f aca="true" t="shared" si="2" ref="P12:P40">K12/F12*100</f>
        <v>#REF!</v>
      </c>
      <c r="Q12" s="143" t="e">
        <f aca="true" t="shared" si="3" ref="Q12:Q40">L12/K12*100</f>
        <v>#REF!</v>
      </c>
      <c r="R12" s="143"/>
      <c r="S12" s="144" t="e">
        <f aca="true" t="shared" si="4" ref="S12:S40">M12/L12*100</f>
        <v>#REF!</v>
      </c>
    </row>
    <row r="13" spans="1:19" ht="15">
      <c r="A13" s="37" t="s">
        <v>21</v>
      </c>
      <c r="B13" s="38"/>
      <c r="C13" s="148">
        <f aca="true" t="shared" si="5" ref="C13:M13">C14+C16+C21+C28+C31+C15</f>
        <v>45058.96371</v>
      </c>
      <c r="D13" s="148">
        <f t="shared" si="5"/>
        <v>92700.59958000002</v>
      </c>
      <c r="E13" s="142">
        <f t="shared" si="5"/>
        <v>43639.51016</v>
      </c>
      <c r="F13" s="142">
        <f t="shared" si="5"/>
        <v>88963.49</v>
      </c>
      <c r="G13" s="142">
        <f t="shared" si="5"/>
        <v>0</v>
      </c>
      <c r="H13" s="142">
        <f t="shared" si="5"/>
        <v>81801.062</v>
      </c>
      <c r="I13" s="142">
        <f t="shared" si="5"/>
        <v>0</v>
      </c>
      <c r="J13" s="142">
        <f t="shared" si="5"/>
        <v>0</v>
      </c>
      <c r="K13" s="142" t="e">
        <f t="shared" si="5"/>
        <v>#REF!</v>
      </c>
      <c r="L13" s="142" t="e">
        <f t="shared" si="5"/>
        <v>#REF!</v>
      </c>
      <c r="M13" s="142" t="e">
        <f t="shared" si="5"/>
        <v>#REF!</v>
      </c>
      <c r="N13" s="143">
        <f t="shared" si="1"/>
        <v>95.9686241546098</v>
      </c>
      <c r="O13" s="143"/>
      <c r="P13" s="143" t="e">
        <f t="shared" si="2"/>
        <v>#REF!</v>
      </c>
      <c r="Q13" s="143" t="e">
        <f t="shared" si="3"/>
        <v>#REF!</v>
      </c>
      <c r="R13" s="143"/>
      <c r="S13" s="144" t="e">
        <f t="shared" si="4"/>
        <v>#REF!</v>
      </c>
    </row>
    <row r="14" spans="1:19" ht="17.25" customHeight="1">
      <c r="A14" s="37" t="s">
        <v>255</v>
      </c>
      <c r="B14" s="38" t="s">
        <v>119</v>
      </c>
      <c r="C14" s="148">
        <v>19133.87626</v>
      </c>
      <c r="D14" s="142">
        <v>43741.32703</v>
      </c>
      <c r="E14" s="142">
        <v>17107.80115</v>
      </c>
      <c r="F14" s="142">
        <v>41355.61</v>
      </c>
      <c r="G14" s="142"/>
      <c r="H14" s="142">
        <v>39733</v>
      </c>
      <c r="I14" s="142"/>
      <c r="J14" s="142"/>
      <c r="K14" s="142" t="e">
        <f>#REF!</f>
        <v>#REF!</v>
      </c>
      <c r="L14" s="142" t="e">
        <f>K14*105%</f>
        <v>#REF!</v>
      </c>
      <c r="M14" s="142" t="e">
        <f>L14*104%</f>
        <v>#REF!</v>
      </c>
      <c r="N14" s="143">
        <f t="shared" si="1"/>
        <v>94.54585127615411</v>
      </c>
      <c r="O14" s="143"/>
      <c r="P14" s="143" t="e">
        <f t="shared" si="2"/>
        <v>#REF!</v>
      </c>
      <c r="Q14" s="143" t="e">
        <f t="shared" si="3"/>
        <v>#REF!</v>
      </c>
      <c r="R14" s="143"/>
      <c r="S14" s="144" t="e">
        <f t="shared" si="4"/>
        <v>#REF!</v>
      </c>
    </row>
    <row r="15" spans="1:19" ht="36">
      <c r="A15" s="37" t="s">
        <v>121</v>
      </c>
      <c r="B15" s="38" t="s">
        <v>120</v>
      </c>
      <c r="C15" s="148">
        <v>1705.99796</v>
      </c>
      <c r="D15" s="142">
        <v>3520.94259</v>
      </c>
      <c r="E15" s="142">
        <v>2677.61371</v>
      </c>
      <c r="F15" s="142">
        <v>5948.1</v>
      </c>
      <c r="G15" s="142"/>
      <c r="H15" s="142">
        <v>5490</v>
      </c>
      <c r="I15" s="142"/>
      <c r="J15" s="142"/>
      <c r="K15" s="142">
        <v>6071.3</v>
      </c>
      <c r="L15" s="142">
        <v>6281.4</v>
      </c>
      <c r="M15" s="142">
        <v>6457.7</v>
      </c>
      <c r="N15" s="143">
        <f t="shared" si="1"/>
        <v>168.93487604408796</v>
      </c>
      <c r="O15" s="143"/>
      <c r="P15" s="143">
        <f t="shared" si="2"/>
        <v>102.07124964274306</v>
      </c>
      <c r="Q15" s="143">
        <f t="shared" si="3"/>
        <v>103.46054387034079</v>
      </c>
      <c r="R15" s="143"/>
      <c r="S15" s="144">
        <f t="shared" si="4"/>
        <v>102.80669914350304</v>
      </c>
    </row>
    <row r="16" spans="1:19" ht="15">
      <c r="A16" s="37" t="s">
        <v>22</v>
      </c>
      <c r="B16" s="38" t="s">
        <v>23</v>
      </c>
      <c r="C16" s="148">
        <f aca="true" t="shared" si="6" ref="C16:M16">C17+C18+C19+C20</f>
        <v>10339.70989</v>
      </c>
      <c r="D16" s="148">
        <f t="shared" si="6"/>
        <v>17589.560869999998</v>
      </c>
      <c r="E16" s="142">
        <f t="shared" si="6"/>
        <v>10056.298069999999</v>
      </c>
      <c r="F16" s="142">
        <f t="shared" si="6"/>
        <v>16186.07</v>
      </c>
      <c r="G16" s="142">
        <f t="shared" si="6"/>
        <v>0</v>
      </c>
      <c r="H16" s="142">
        <f t="shared" si="6"/>
        <v>9362.312</v>
      </c>
      <c r="I16" s="142">
        <f t="shared" si="6"/>
        <v>0</v>
      </c>
      <c r="J16" s="142">
        <f t="shared" si="6"/>
        <v>0</v>
      </c>
      <c r="K16" s="142" t="e">
        <f t="shared" si="6"/>
        <v>#REF!</v>
      </c>
      <c r="L16" s="142" t="e">
        <f t="shared" si="6"/>
        <v>#REF!</v>
      </c>
      <c r="M16" s="142" t="e">
        <f t="shared" si="6"/>
        <v>#REF!</v>
      </c>
      <c r="N16" s="143">
        <f t="shared" si="1"/>
        <v>92.02088738671281</v>
      </c>
      <c r="O16" s="143"/>
      <c r="P16" s="143" t="e">
        <f t="shared" si="2"/>
        <v>#REF!</v>
      </c>
      <c r="Q16" s="143" t="e">
        <f t="shared" si="3"/>
        <v>#REF!</v>
      </c>
      <c r="R16" s="143"/>
      <c r="S16" s="144" t="e">
        <f t="shared" si="4"/>
        <v>#REF!</v>
      </c>
    </row>
    <row r="17" spans="1:19" ht="29.25" customHeight="1">
      <c r="A17" s="37" t="s">
        <v>24</v>
      </c>
      <c r="B17" s="38" t="s">
        <v>25</v>
      </c>
      <c r="C17" s="148">
        <v>5788.27357</v>
      </c>
      <c r="D17" s="142">
        <v>8231.57476</v>
      </c>
      <c r="E17" s="142">
        <v>4867.10976</v>
      </c>
      <c r="F17" s="142">
        <v>6804.92</v>
      </c>
      <c r="G17" s="142"/>
      <c r="H17" s="142">
        <v>0</v>
      </c>
      <c r="I17" s="142"/>
      <c r="J17" s="142"/>
      <c r="K17" s="142"/>
      <c r="L17" s="142"/>
      <c r="M17" s="142"/>
      <c r="N17" s="143">
        <f t="shared" si="1"/>
        <v>82.66850752625614</v>
      </c>
      <c r="O17" s="143"/>
      <c r="P17" s="143">
        <f t="shared" si="2"/>
        <v>0</v>
      </c>
      <c r="Q17" s="143" t="e">
        <f t="shared" si="3"/>
        <v>#DIV/0!</v>
      </c>
      <c r="R17" s="143"/>
      <c r="S17" s="144" t="e">
        <f t="shared" si="4"/>
        <v>#DIV/0!</v>
      </c>
    </row>
    <row r="18" spans="1:19" ht="24">
      <c r="A18" s="37" t="s">
        <v>26</v>
      </c>
      <c r="B18" s="38" t="s">
        <v>27</v>
      </c>
      <c r="C18" s="148">
        <v>3901.08171</v>
      </c>
      <c r="D18" s="142">
        <v>8232.74919</v>
      </c>
      <c r="E18" s="142">
        <v>3619.65796</v>
      </c>
      <c r="F18" s="142">
        <v>7324.34</v>
      </c>
      <c r="G18" s="142"/>
      <c r="H18" s="142">
        <v>7300</v>
      </c>
      <c r="I18" s="142"/>
      <c r="J18" s="142"/>
      <c r="K18" s="142" t="e">
        <f>енвд!#REF!</f>
        <v>#REF!</v>
      </c>
      <c r="L18" s="142" t="e">
        <f>K18</f>
        <v>#REF!</v>
      </c>
      <c r="M18" s="142" t="e">
        <f>L18</f>
        <v>#REF!</v>
      </c>
      <c r="N18" s="143">
        <f t="shared" si="1"/>
        <v>88.96590714674741</v>
      </c>
      <c r="O18" s="143"/>
      <c r="P18" s="143" t="e">
        <f t="shared" si="2"/>
        <v>#REF!</v>
      </c>
      <c r="Q18" s="143" t="e">
        <f t="shared" si="3"/>
        <v>#REF!</v>
      </c>
      <c r="R18" s="143"/>
      <c r="S18" s="144" t="e">
        <f t="shared" si="4"/>
        <v>#REF!</v>
      </c>
    </row>
    <row r="19" spans="1:19" ht="15">
      <c r="A19" s="37" t="s">
        <v>28</v>
      </c>
      <c r="B19" s="38" t="s">
        <v>29</v>
      </c>
      <c r="C19" s="148">
        <v>650.35461</v>
      </c>
      <c r="D19" s="142">
        <v>1109.34892</v>
      </c>
      <c r="E19" s="142">
        <v>1557.21835</v>
      </c>
      <c r="F19" s="142">
        <v>2023.51</v>
      </c>
      <c r="G19" s="142"/>
      <c r="H19" s="142">
        <v>2050</v>
      </c>
      <c r="I19" s="142"/>
      <c r="J19" s="142"/>
      <c r="K19" s="142" t="e">
        <f>есхн!#REF!</f>
        <v>#REF!</v>
      </c>
      <c r="L19" s="142" t="e">
        <f>K19*102%</f>
        <v>#REF!</v>
      </c>
      <c r="M19" s="142" t="e">
        <f>L19*101%</f>
        <v>#REF!</v>
      </c>
      <c r="N19" s="143">
        <f t="shared" si="1"/>
        <v>182.40518952323856</v>
      </c>
      <c r="O19" s="143"/>
      <c r="P19" s="143" t="e">
        <f t="shared" si="2"/>
        <v>#REF!</v>
      </c>
      <c r="Q19" s="143" t="e">
        <f t="shared" si="3"/>
        <v>#REF!</v>
      </c>
      <c r="R19" s="143"/>
      <c r="S19" s="144" t="e">
        <f t="shared" si="4"/>
        <v>#REF!</v>
      </c>
    </row>
    <row r="20" spans="1:19" ht="34.5" customHeight="1">
      <c r="A20" s="37" t="s">
        <v>260</v>
      </c>
      <c r="B20" s="38"/>
      <c r="C20" s="148"/>
      <c r="D20" s="142">
        <v>15.888</v>
      </c>
      <c r="E20" s="142">
        <v>12.312</v>
      </c>
      <c r="F20" s="142">
        <v>33.3</v>
      </c>
      <c r="G20" s="142"/>
      <c r="H20" s="142">
        <v>12.312</v>
      </c>
      <c r="I20" s="142"/>
      <c r="J20" s="142"/>
      <c r="K20" s="142">
        <v>24</v>
      </c>
      <c r="L20" s="142">
        <v>24</v>
      </c>
      <c r="M20" s="142">
        <v>24</v>
      </c>
      <c r="N20" s="143">
        <f t="shared" si="1"/>
        <v>209.5921450151057</v>
      </c>
      <c r="O20" s="143"/>
      <c r="P20" s="143">
        <f t="shared" si="2"/>
        <v>72.07207207207207</v>
      </c>
      <c r="Q20" s="143">
        <f t="shared" si="3"/>
        <v>100</v>
      </c>
      <c r="R20" s="143"/>
      <c r="S20" s="144">
        <f t="shared" si="4"/>
        <v>100</v>
      </c>
    </row>
    <row r="21" spans="1:19" ht="15">
      <c r="A21" s="37" t="s">
        <v>30</v>
      </c>
      <c r="B21" s="38" t="s">
        <v>31</v>
      </c>
      <c r="C21" s="148">
        <v>13240.38508</v>
      </c>
      <c r="D21" s="142">
        <v>25790.0216</v>
      </c>
      <c r="E21" s="142">
        <v>12707.34455</v>
      </c>
      <c r="F21" s="142">
        <v>25441.85</v>
      </c>
      <c r="G21" s="142"/>
      <c r="H21" s="142">
        <v>25500</v>
      </c>
      <c r="I21" s="142"/>
      <c r="J21" s="142"/>
      <c r="K21" s="142">
        <f>нио!C22</f>
        <v>26557.77725</v>
      </c>
      <c r="L21" s="142">
        <f>K21*103.7%</f>
        <v>27540.41500825</v>
      </c>
      <c r="M21" s="142">
        <f>L21*103.5%</f>
        <v>28504.329533538745</v>
      </c>
      <c r="N21" s="143">
        <f t="shared" si="1"/>
        <v>98.64997553937683</v>
      </c>
      <c r="O21" s="143"/>
      <c r="P21" s="143">
        <f t="shared" si="2"/>
        <v>104.38618752174077</v>
      </c>
      <c r="Q21" s="143">
        <f t="shared" si="3"/>
        <v>103.69999999999999</v>
      </c>
      <c r="R21" s="143"/>
      <c r="S21" s="144">
        <f t="shared" si="4"/>
        <v>103.49999999999999</v>
      </c>
    </row>
    <row r="22" spans="1:19" ht="15" hidden="1">
      <c r="A22" s="37" t="s">
        <v>32</v>
      </c>
      <c r="B22" s="38" t="s">
        <v>33</v>
      </c>
      <c r="C22" s="148"/>
      <c r="D22" s="142">
        <f>D23+D24</f>
        <v>20740.800000000003</v>
      </c>
      <c r="E22" s="142"/>
      <c r="F22" s="142"/>
      <c r="G22" s="142"/>
      <c r="H22" s="142"/>
      <c r="I22" s="142" t="e">
        <f>H22/#REF!*100</f>
        <v>#REF!</v>
      </c>
      <c r="J22" s="142" t="e">
        <f>I22/#REF!*100</f>
        <v>#REF!</v>
      </c>
      <c r="K22" s="142">
        <f>K23+K24</f>
        <v>21168.4</v>
      </c>
      <c r="L22" s="142">
        <f>L23+L24</f>
        <v>21168.4</v>
      </c>
      <c r="M22" s="142">
        <f>M23+M24</f>
        <v>21168.4</v>
      </c>
      <c r="N22" s="143">
        <f t="shared" si="1"/>
        <v>0</v>
      </c>
      <c r="O22" s="143"/>
      <c r="P22" s="143" t="e">
        <f t="shared" si="2"/>
        <v>#DIV/0!</v>
      </c>
      <c r="Q22" s="143">
        <f t="shared" si="3"/>
        <v>100</v>
      </c>
      <c r="R22" s="143"/>
      <c r="S22" s="144">
        <f t="shared" si="4"/>
        <v>100</v>
      </c>
    </row>
    <row r="23" spans="1:19" ht="24" hidden="1">
      <c r="A23" s="37" t="s">
        <v>34</v>
      </c>
      <c r="B23" s="38" t="s">
        <v>35</v>
      </c>
      <c r="C23" s="148"/>
      <c r="D23" s="142">
        <v>20740.4</v>
      </c>
      <c r="E23" s="142"/>
      <c r="F23" s="142"/>
      <c r="G23" s="142"/>
      <c r="H23" s="142"/>
      <c r="I23" s="142" t="e">
        <f>H23/#REF!*100</f>
        <v>#REF!</v>
      </c>
      <c r="J23" s="142" t="e">
        <f>I23/#REF!*100</f>
        <v>#REF!</v>
      </c>
      <c r="K23" s="142">
        <v>21168</v>
      </c>
      <c r="L23" s="142">
        <v>21168</v>
      </c>
      <c r="M23" s="142">
        <v>21168</v>
      </c>
      <c r="N23" s="143">
        <f t="shared" si="1"/>
        <v>0</v>
      </c>
      <c r="O23" s="143"/>
      <c r="P23" s="143" t="e">
        <f t="shared" si="2"/>
        <v>#DIV/0!</v>
      </c>
      <c r="Q23" s="143">
        <f t="shared" si="3"/>
        <v>100</v>
      </c>
      <c r="R23" s="143"/>
      <c r="S23" s="144">
        <f t="shared" si="4"/>
        <v>100</v>
      </c>
    </row>
    <row r="24" spans="1:19" ht="24" hidden="1">
      <c r="A24" s="37" t="s">
        <v>36</v>
      </c>
      <c r="B24" s="38" t="s">
        <v>37</v>
      </c>
      <c r="C24" s="148"/>
      <c r="D24" s="142">
        <v>0.4</v>
      </c>
      <c r="E24" s="142"/>
      <c r="F24" s="142"/>
      <c r="G24" s="142"/>
      <c r="H24" s="142"/>
      <c r="I24" s="142" t="e">
        <f>H24/#REF!*100</f>
        <v>#REF!</v>
      </c>
      <c r="J24" s="142" t="e">
        <f>I24/#REF!*100</f>
        <v>#REF!</v>
      </c>
      <c r="K24" s="142">
        <v>0.4</v>
      </c>
      <c r="L24" s="142">
        <v>0.4</v>
      </c>
      <c r="M24" s="142">
        <v>0.4</v>
      </c>
      <c r="N24" s="143">
        <f t="shared" si="1"/>
        <v>0</v>
      </c>
      <c r="O24" s="143"/>
      <c r="P24" s="143" t="e">
        <f t="shared" si="2"/>
        <v>#DIV/0!</v>
      </c>
      <c r="Q24" s="143">
        <f t="shared" si="3"/>
        <v>100</v>
      </c>
      <c r="R24" s="143"/>
      <c r="S24" s="144">
        <f t="shared" si="4"/>
        <v>100</v>
      </c>
    </row>
    <row r="25" spans="1:19" ht="15" hidden="1">
      <c r="A25" s="37" t="s">
        <v>38</v>
      </c>
      <c r="B25" s="38" t="s">
        <v>39</v>
      </c>
      <c r="C25" s="148"/>
      <c r="D25" s="142">
        <f>D26+D27</f>
        <v>0</v>
      </c>
      <c r="E25" s="142"/>
      <c r="F25" s="142"/>
      <c r="G25" s="142"/>
      <c r="H25" s="142"/>
      <c r="I25" s="142" t="e">
        <f>H25/#REF!*100</f>
        <v>#REF!</v>
      </c>
      <c r="J25" s="142" t="e">
        <f>I25/#REF!*100</f>
        <v>#REF!</v>
      </c>
      <c r="K25" s="142">
        <f>K26+K27</f>
        <v>0</v>
      </c>
      <c r="L25" s="142">
        <f>L26+L27</f>
        <v>0</v>
      </c>
      <c r="M25" s="142">
        <f>M26+M27</f>
        <v>0</v>
      </c>
      <c r="N25" s="143" t="e">
        <f t="shared" si="1"/>
        <v>#DIV/0!</v>
      </c>
      <c r="O25" s="143"/>
      <c r="P25" s="143" t="e">
        <f t="shared" si="2"/>
        <v>#DIV/0!</v>
      </c>
      <c r="Q25" s="143" t="e">
        <f t="shared" si="3"/>
        <v>#DIV/0!</v>
      </c>
      <c r="R25" s="143"/>
      <c r="S25" s="144" t="e">
        <f t="shared" si="4"/>
        <v>#DIV/0!</v>
      </c>
    </row>
    <row r="26" spans="1:19" ht="15" hidden="1">
      <c r="A26" s="37" t="s">
        <v>40</v>
      </c>
      <c r="B26" s="38" t="s">
        <v>41</v>
      </c>
      <c r="C26" s="148"/>
      <c r="D26" s="142"/>
      <c r="E26" s="142"/>
      <c r="F26" s="142"/>
      <c r="G26" s="142"/>
      <c r="H26" s="142"/>
      <c r="I26" s="142" t="e">
        <f>H26/#REF!*100</f>
        <v>#REF!</v>
      </c>
      <c r="J26" s="142" t="e">
        <f>I26/#REF!*100</f>
        <v>#REF!</v>
      </c>
      <c r="K26" s="142"/>
      <c r="L26" s="142"/>
      <c r="M26" s="142"/>
      <c r="N26" s="143" t="e">
        <f t="shared" si="1"/>
        <v>#DIV/0!</v>
      </c>
      <c r="O26" s="143"/>
      <c r="P26" s="143" t="e">
        <f t="shared" si="2"/>
        <v>#DIV/0!</v>
      </c>
      <c r="Q26" s="143" t="e">
        <f t="shared" si="3"/>
        <v>#DIV/0!</v>
      </c>
      <c r="R26" s="143"/>
      <c r="S26" s="144" t="e">
        <f t="shared" si="4"/>
        <v>#DIV/0!</v>
      </c>
    </row>
    <row r="27" spans="1:19" ht="15" hidden="1">
      <c r="A27" s="37" t="s">
        <v>42</v>
      </c>
      <c r="B27" s="38" t="s">
        <v>43</v>
      </c>
      <c r="C27" s="148"/>
      <c r="D27" s="142"/>
      <c r="E27" s="142"/>
      <c r="F27" s="142"/>
      <c r="G27" s="142"/>
      <c r="H27" s="142"/>
      <c r="I27" s="142" t="e">
        <f>H27/#REF!*100</f>
        <v>#REF!</v>
      </c>
      <c r="J27" s="142" t="e">
        <f>I27/#REF!*100</f>
        <v>#REF!</v>
      </c>
      <c r="K27" s="142"/>
      <c r="L27" s="142"/>
      <c r="M27" s="142"/>
      <c r="N27" s="143" t="e">
        <f t="shared" si="1"/>
        <v>#DIV/0!</v>
      </c>
      <c r="O27" s="143"/>
      <c r="P27" s="143" t="e">
        <f t="shared" si="2"/>
        <v>#DIV/0!</v>
      </c>
      <c r="Q27" s="143" t="e">
        <f t="shared" si="3"/>
        <v>#DIV/0!</v>
      </c>
      <c r="R27" s="143"/>
      <c r="S27" s="144" t="e">
        <f t="shared" si="4"/>
        <v>#DIV/0!</v>
      </c>
    </row>
    <row r="28" spans="1:19" ht="24">
      <c r="A28" s="37" t="s">
        <v>44</v>
      </c>
      <c r="B28" s="38" t="s">
        <v>45</v>
      </c>
      <c r="C28" s="148">
        <v>18.87919</v>
      </c>
      <c r="D28" s="142">
        <v>60.08281</v>
      </c>
      <c r="E28" s="142">
        <v>23.5374</v>
      </c>
      <c r="F28" s="142">
        <v>31.86</v>
      </c>
      <c r="G28" s="142"/>
      <c r="H28" s="142">
        <v>32</v>
      </c>
      <c r="I28" s="142"/>
      <c r="J28" s="142"/>
      <c r="K28" s="142">
        <v>55</v>
      </c>
      <c r="L28" s="142">
        <v>56</v>
      </c>
      <c r="M28" s="142">
        <v>57</v>
      </c>
      <c r="N28" s="143">
        <f t="shared" si="1"/>
        <v>53.02681415865869</v>
      </c>
      <c r="O28" s="143"/>
      <c r="P28" s="143">
        <f t="shared" si="2"/>
        <v>172.6302573760201</v>
      </c>
      <c r="Q28" s="143">
        <f t="shared" si="3"/>
        <v>101.81818181818181</v>
      </c>
      <c r="R28" s="143"/>
      <c r="S28" s="144">
        <f t="shared" si="4"/>
        <v>101.78571428571428</v>
      </c>
    </row>
    <row r="29" spans="1:19" ht="15" hidden="1">
      <c r="A29" s="37" t="s">
        <v>46</v>
      </c>
      <c r="B29" s="38" t="s">
        <v>47</v>
      </c>
      <c r="C29" s="148"/>
      <c r="D29" s="142">
        <f>D30</f>
        <v>7</v>
      </c>
      <c r="E29" s="142"/>
      <c r="F29" s="142" t="e">
        <f>E29/#REF!*100</f>
        <v>#REF!</v>
      </c>
      <c r="G29" s="142"/>
      <c r="H29" s="142"/>
      <c r="I29" s="142" t="e">
        <f>H29/#REF!*100</f>
        <v>#REF!</v>
      </c>
      <c r="J29" s="142" t="e">
        <f>I29/#REF!*100</f>
        <v>#REF!</v>
      </c>
      <c r="K29" s="142">
        <f>K30</f>
        <v>9</v>
      </c>
      <c r="L29" s="142">
        <f>L30</f>
        <v>10</v>
      </c>
      <c r="M29" s="142">
        <f>M30</f>
        <v>11</v>
      </c>
      <c r="N29" s="143" t="e">
        <f t="shared" si="1"/>
        <v>#REF!</v>
      </c>
      <c r="O29" s="143"/>
      <c r="P29" s="143" t="e">
        <f t="shared" si="2"/>
        <v>#REF!</v>
      </c>
      <c r="Q29" s="143">
        <f t="shared" si="3"/>
        <v>111.11111111111111</v>
      </c>
      <c r="R29" s="143"/>
      <c r="S29" s="144">
        <f t="shared" si="4"/>
        <v>110.00000000000001</v>
      </c>
    </row>
    <row r="30" spans="1:19" ht="24" hidden="1">
      <c r="A30" s="37" t="s">
        <v>48</v>
      </c>
      <c r="B30" s="38" t="s">
        <v>49</v>
      </c>
      <c r="C30" s="148"/>
      <c r="D30" s="142">
        <v>7</v>
      </c>
      <c r="E30" s="142"/>
      <c r="F30" s="142" t="e">
        <f>E30/#REF!*100</f>
        <v>#REF!</v>
      </c>
      <c r="G30" s="142"/>
      <c r="H30" s="142"/>
      <c r="I30" s="142" t="e">
        <f>H30/#REF!*100</f>
        <v>#REF!</v>
      </c>
      <c r="J30" s="142" t="e">
        <f>I30/#REF!*100</f>
        <v>#REF!</v>
      </c>
      <c r="K30" s="142">
        <v>9</v>
      </c>
      <c r="L30" s="142">
        <v>10</v>
      </c>
      <c r="M30" s="142">
        <v>11</v>
      </c>
      <c r="N30" s="143" t="e">
        <f t="shared" si="1"/>
        <v>#REF!</v>
      </c>
      <c r="O30" s="143"/>
      <c r="P30" s="143" t="e">
        <f t="shared" si="2"/>
        <v>#REF!</v>
      </c>
      <c r="Q30" s="143">
        <f t="shared" si="3"/>
        <v>111.11111111111111</v>
      </c>
      <c r="R30" s="143"/>
      <c r="S30" s="144">
        <f t="shared" si="4"/>
        <v>110.00000000000001</v>
      </c>
    </row>
    <row r="31" spans="1:19" ht="15">
      <c r="A31" s="37" t="s">
        <v>50</v>
      </c>
      <c r="B31" s="38" t="s">
        <v>51</v>
      </c>
      <c r="C31" s="148">
        <f>C33+C36+C38</f>
        <v>620.11533</v>
      </c>
      <c r="D31" s="142">
        <f>D33+D36+D38</f>
        <v>1998.66468</v>
      </c>
      <c r="E31" s="142">
        <f aca="true" t="shared" si="7" ref="E31:M31">E33+E36+E38</f>
        <v>1066.9152800000002</v>
      </c>
      <c r="F31" s="142">
        <f t="shared" si="7"/>
        <v>0</v>
      </c>
      <c r="G31" s="142">
        <f t="shared" si="7"/>
        <v>0</v>
      </c>
      <c r="H31" s="142">
        <f t="shared" si="7"/>
        <v>1683.75</v>
      </c>
      <c r="I31" s="142">
        <f t="shared" si="7"/>
        <v>0</v>
      </c>
      <c r="J31" s="142">
        <f t="shared" si="7"/>
        <v>0</v>
      </c>
      <c r="K31" s="142">
        <f t="shared" si="7"/>
        <v>1839</v>
      </c>
      <c r="L31" s="142">
        <f t="shared" si="7"/>
        <v>1856</v>
      </c>
      <c r="M31" s="142">
        <f t="shared" si="7"/>
        <v>1876.604</v>
      </c>
      <c r="N31" s="143">
        <f t="shared" si="1"/>
        <v>0</v>
      </c>
      <c r="O31" s="143"/>
      <c r="P31" s="143" t="e">
        <f t="shared" si="2"/>
        <v>#DIV/0!</v>
      </c>
      <c r="Q31" s="143">
        <f t="shared" si="3"/>
        <v>100.92441544317563</v>
      </c>
      <c r="R31" s="143"/>
      <c r="S31" s="144">
        <f t="shared" si="4"/>
        <v>101.11012931034482</v>
      </c>
    </row>
    <row r="32" spans="1:19" ht="24" hidden="1">
      <c r="A32" s="37" t="s">
        <v>52</v>
      </c>
      <c r="B32" s="38" t="s">
        <v>53</v>
      </c>
      <c r="C32" s="148"/>
      <c r="D32" s="142">
        <f>D33</f>
        <v>1670.44468</v>
      </c>
      <c r="E32" s="142"/>
      <c r="F32" s="142" t="e">
        <f>E32/#REF!*100</f>
        <v>#REF!</v>
      </c>
      <c r="G32" s="142"/>
      <c r="H32" s="142"/>
      <c r="I32" s="142" t="e">
        <f>H32/#REF!*100</f>
        <v>#REF!</v>
      </c>
      <c r="J32" s="142" t="e">
        <f>I32/#REF!*100</f>
        <v>#REF!</v>
      </c>
      <c r="K32" s="142">
        <f>K33</f>
        <v>1700</v>
      </c>
      <c r="L32" s="142">
        <f>L33</f>
        <v>1717</v>
      </c>
      <c r="M32" s="142">
        <f>M33</f>
        <v>1737.604</v>
      </c>
      <c r="N32" s="143" t="e">
        <f t="shared" si="1"/>
        <v>#REF!</v>
      </c>
      <c r="O32" s="143"/>
      <c r="P32" s="143" t="e">
        <f t="shared" si="2"/>
        <v>#REF!</v>
      </c>
      <c r="Q32" s="143">
        <f t="shared" si="3"/>
        <v>101</v>
      </c>
      <c r="R32" s="143"/>
      <c r="S32" s="144">
        <f t="shared" si="4"/>
        <v>101.2</v>
      </c>
    </row>
    <row r="33" spans="1:19" ht="36">
      <c r="A33" s="37" t="s">
        <v>54</v>
      </c>
      <c r="B33" s="38" t="s">
        <v>55</v>
      </c>
      <c r="C33" s="148">
        <v>551.89533</v>
      </c>
      <c r="D33" s="142">
        <v>1670.44468</v>
      </c>
      <c r="E33" s="142">
        <v>969.41528</v>
      </c>
      <c r="F33" s="142"/>
      <c r="G33" s="142"/>
      <c r="H33" s="142">
        <v>1500</v>
      </c>
      <c r="I33" s="142"/>
      <c r="J33" s="142"/>
      <c r="K33" s="142">
        <v>1700</v>
      </c>
      <c r="L33" s="142">
        <f>K33*101%</f>
        <v>1717</v>
      </c>
      <c r="M33" s="142">
        <f>L33*101.2%</f>
        <v>1737.604</v>
      </c>
      <c r="N33" s="143">
        <f t="shared" si="1"/>
        <v>0</v>
      </c>
      <c r="O33" s="143"/>
      <c r="P33" s="143" t="e">
        <f t="shared" si="2"/>
        <v>#DIV/0!</v>
      </c>
      <c r="Q33" s="143">
        <f t="shared" si="3"/>
        <v>101</v>
      </c>
      <c r="R33" s="143"/>
      <c r="S33" s="144">
        <f t="shared" si="4"/>
        <v>101.2</v>
      </c>
    </row>
    <row r="34" spans="1:19" ht="24" hidden="1">
      <c r="A34" s="37" t="s">
        <v>56</v>
      </c>
      <c r="B34" s="38" t="s">
        <v>57</v>
      </c>
      <c r="C34" s="148"/>
      <c r="D34" s="142">
        <f>D35+D37+D38</f>
        <v>328.22</v>
      </c>
      <c r="E34" s="142"/>
      <c r="F34" s="142"/>
      <c r="G34" s="142"/>
      <c r="H34" s="142"/>
      <c r="I34" s="142"/>
      <c r="J34" s="142"/>
      <c r="K34" s="142">
        <f>K35+K37+K38</f>
        <v>772</v>
      </c>
      <c r="L34" s="142">
        <f>L35+L37+L38</f>
        <v>772</v>
      </c>
      <c r="M34" s="142">
        <f>M35+M37+M38</f>
        <v>772</v>
      </c>
      <c r="N34" s="143">
        <f t="shared" si="1"/>
        <v>0</v>
      </c>
      <c r="O34" s="143"/>
      <c r="P34" s="143" t="e">
        <f t="shared" si="2"/>
        <v>#DIV/0!</v>
      </c>
      <c r="Q34" s="143">
        <f t="shared" si="3"/>
        <v>100</v>
      </c>
      <c r="R34" s="143"/>
      <c r="S34" s="144">
        <f t="shared" si="4"/>
        <v>100</v>
      </c>
    </row>
    <row r="35" spans="1:19" ht="48" hidden="1">
      <c r="A35" s="37" t="s">
        <v>58</v>
      </c>
      <c r="B35" s="38" t="s">
        <v>59</v>
      </c>
      <c r="C35" s="148"/>
      <c r="D35" s="142">
        <f>D36</f>
        <v>328.22</v>
      </c>
      <c r="E35" s="142"/>
      <c r="F35" s="142"/>
      <c r="G35" s="142"/>
      <c r="H35" s="142"/>
      <c r="I35" s="142"/>
      <c r="J35" s="142"/>
      <c r="K35" s="142">
        <v>763</v>
      </c>
      <c r="L35" s="142">
        <v>763</v>
      </c>
      <c r="M35" s="142">
        <v>763</v>
      </c>
      <c r="N35" s="143">
        <f t="shared" si="1"/>
        <v>0</v>
      </c>
      <c r="O35" s="143"/>
      <c r="P35" s="143" t="e">
        <f t="shared" si="2"/>
        <v>#DIV/0!</v>
      </c>
      <c r="Q35" s="143">
        <f t="shared" si="3"/>
        <v>100</v>
      </c>
      <c r="R35" s="143"/>
      <c r="S35" s="144">
        <f t="shared" si="4"/>
        <v>100</v>
      </c>
    </row>
    <row r="36" spans="1:19" ht="60">
      <c r="A36" s="37" t="s">
        <v>60</v>
      </c>
      <c r="B36" s="38" t="s">
        <v>61</v>
      </c>
      <c r="C36" s="148">
        <v>68.22</v>
      </c>
      <c r="D36" s="142">
        <v>328.22</v>
      </c>
      <c r="E36" s="142">
        <v>97.5</v>
      </c>
      <c r="F36" s="142"/>
      <c r="G36" s="142"/>
      <c r="H36" s="142">
        <v>178.75</v>
      </c>
      <c r="I36" s="142"/>
      <c r="J36" s="142"/>
      <c r="K36" s="142">
        <v>130</v>
      </c>
      <c r="L36" s="142">
        <v>130</v>
      </c>
      <c r="M36" s="142">
        <v>130</v>
      </c>
      <c r="N36" s="143">
        <f t="shared" si="1"/>
        <v>0</v>
      </c>
      <c r="O36" s="143"/>
      <c r="P36" s="143" t="e">
        <f t="shared" si="2"/>
        <v>#DIV/0!</v>
      </c>
      <c r="Q36" s="143">
        <f t="shared" si="3"/>
        <v>100</v>
      </c>
      <c r="R36" s="143"/>
      <c r="S36" s="144">
        <f t="shared" si="4"/>
        <v>100</v>
      </c>
    </row>
    <row r="37" spans="1:19" ht="48" hidden="1">
      <c r="A37" s="37" t="s">
        <v>62</v>
      </c>
      <c r="B37" s="38" t="s">
        <v>63</v>
      </c>
      <c r="C37" s="148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3" t="e">
        <f t="shared" si="1"/>
        <v>#DIV/0!</v>
      </c>
      <c r="O37" s="143"/>
      <c r="P37" s="143" t="e">
        <f t="shared" si="2"/>
        <v>#DIV/0!</v>
      </c>
      <c r="Q37" s="143" t="e">
        <f t="shared" si="3"/>
        <v>#DIV/0!</v>
      </c>
      <c r="R37" s="143"/>
      <c r="S37" s="144" t="e">
        <f t="shared" si="4"/>
        <v>#DIV/0!</v>
      </c>
    </row>
    <row r="38" spans="1:19" ht="24">
      <c r="A38" s="37" t="s">
        <v>64</v>
      </c>
      <c r="B38" s="38" t="s">
        <v>65</v>
      </c>
      <c r="C38" s="148"/>
      <c r="D38" s="142">
        <v>0</v>
      </c>
      <c r="E38" s="142">
        <v>0</v>
      </c>
      <c r="F38" s="142"/>
      <c r="G38" s="142"/>
      <c r="H38" s="142">
        <v>5</v>
      </c>
      <c r="I38" s="142"/>
      <c r="J38" s="142"/>
      <c r="K38" s="142">
        <v>9</v>
      </c>
      <c r="L38" s="142">
        <v>9</v>
      </c>
      <c r="M38" s="142">
        <v>9</v>
      </c>
      <c r="N38" s="143"/>
      <c r="O38" s="143"/>
      <c r="P38" s="143" t="e">
        <f t="shared" si="2"/>
        <v>#DIV/0!</v>
      </c>
      <c r="Q38" s="143">
        <f t="shared" si="3"/>
        <v>100</v>
      </c>
      <c r="R38" s="143"/>
      <c r="S38" s="144">
        <f t="shared" si="4"/>
        <v>100</v>
      </c>
    </row>
    <row r="39" spans="1:19" ht="15">
      <c r="A39" s="37" t="s">
        <v>66</v>
      </c>
      <c r="B39" s="38"/>
      <c r="C39" s="148">
        <f>C40+C44+C45+C46+C49+C52+C66</f>
        <v>1858.0866800000001</v>
      </c>
      <c r="D39" s="142">
        <f>D40+D44+D45+D46+D49+D52+D66</f>
        <v>13281.902699999999</v>
      </c>
      <c r="E39" s="142">
        <f aca="true" t="shared" si="8" ref="E39:M39">E40+E44+E45+E46+E49+E52+E66</f>
        <v>3192.50975</v>
      </c>
      <c r="F39" s="142">
        <f t="shared" si="8"/>
        <v>0</v>
      </c>
      <c r="G39" s="142">
        <f t="shared" si="8"/>
        <v>0</v>
      </c>
      <c r="H39" s="142">
        <f>H40+H44+H45+H46+H49+H52+H66</f>
        <v>7021</v>
      </c>
      <c r="I39" s="142">
        <f>I40+I44+I45+I46+I49+I52+I66</f>
        <v>0</v>
      </c>
      <c r="J39" s="142">
        <f>J40+J44+J45+J46+J49+J52+J66</f>
        <v>0</v>
      </c>
      <c r="K39" s="142">
        <f t="shared" si="8"/>
        <v>5342.484583333333</v>
      </c>
      <c r="L39" s="142">
        <f t="shared" si="8"/>
        <v>3959.450993166666</v>
      </c>
      <c r="M39" s="142">
        <f t="shared" si="8"/>
        <v>3976.621003098333</v>
      </c>
      <c r="N39" s="143">
        <f aca="true" t="shared" si="9" ref="N39:N66">F39/D39*100</f>
        <v>0</v>
      </c>
      <c r="O39" s="143"/>
      <c r="P39" s="143" t="e">
        <f t="shared" si="2"/>
        <v>#DIV/0!</v>
      </c>
      <c r="Q39" s="143">
        <f t="shared" si="3"/>
        <v>74.11253942629533</v>
      </c>
      <c r="R39" s="143"/>
      <c r="S39" s="144">
        <f t="shared" si="4"/>
        <v>100.43364622927015</v>
      </c>
    </row>
    <row r="40" spans="1:19" ht="54.75" customHeight="1">
      <c r="A40" s="37" t="s">
        <v>67</v>
      </c>
      <c r="B40" s="38" t="s">
        <v>68</v>
      </c>
      <c r="C40" s="148">
        <f>SUM(C41:C43)</f>
        <v>686.87446</v>
      </c>
      <c r="D40" s="142">
        <f>SUM(D41:D43)</f>
        <v>1968.1722799999998</v>
      </c>
      <c r="E40" s="142">
        <f aca="true" t="shared" si="10" ref="E40:M40">SUM(E41:E43)</f>
        <v>827.84846</v>
      </c>
      <c r="F40" s="142">
        <f t="shared" si="10"/>
        <v>0</v>
      </c>
      <c r="G40" s="142">
        <f t="shared" si="10"/>
        <v>0</v>
      </c>
      <c r="H40" s="142">
        <f t="shared" si="10"/>
        <v>2015</v>
      </c>
      <c r="I40" s="142">
        <f>SUM(I41:I43)</f>
        <v>0</v>
      </c>
      <c r="J40" s="142">
        <f>SUM(J41:J43)</f>
        <v>0</v>
      </c>
      <c r="K40" s="142">
        <f t="shared" si="10"/>
        <v>2212.0136</v>
      </c>
      <c r="L40" s="142">
        <f t="shared" si="10"/>
        <v>2136.98</v>
      </c>
      <c r="M40" s="142">
        <f t="shared" si="10"/>
        <v>2136.98</v>
      </c>
      <c r="N40" s="143">
        <f t="shared" si="9"/>
        <v>0</v>
      </c>
      <c r="O40" s="143"/>
      <c r="P40" s="143" t="e">
        <f t="shared" si="2"/>
        <v>#DIV/0!</v>
      </c>
      <c r="Q40" s="143">
        <f t="shared" si="3"/>
        <v>96.6079051231873</v>
      </c>
      <c r="R40" s="143"/>
      <c r="S40" s="144">
        <f t="shared" si="4"/>
        <v>100</v>
      </c>
    </row>
    <row r="41" spans="1:19" ht="36">
      <c r="A41" s="37" t="s">
        <v>69</v>
      </c>
      <c r="B41" s="38" t="s">
        <v>70</v>
      </c>
      <c r="C41" s="148"/>
      <c r="D41" s="142">
        <v>2.08928</v>
      </c>
      <c r="E41" s="142">
        <v>10</v>
      </c>
      <c r="F41" s="142"/>
      <c r="G41" s="142"/>
      <c r="H41" s="142"/>
      <c r="I41" s="142"/>
      <c r="J41" s="142"/>
      <c r="K41" s="142"/>
      <c r="L41" s="142"/>
      <c r="M41" s="142"/>
      <c r="N41" s="143">
        <f t="shared" si="9"/>
        <v>0</v>
      </c>
      <c r="O41" s="143"/>
      <c r="P41" s="143"/>
      <c r="Q41" s="143"/>
      <c r="R41" s="143"/>
      <c r="S41" s="144"/>
    </row>
    <row r="42" spans="1:19" ht="60">
      <c r="A42" s="37" t="s">
        <v>71</v>
      </c>
      <c r="B42" s="38" t="s">
        <v>117</v>
      </c>
      <c r="C42" s="148">
        <v>622.53813</v>
      </c>
      <c r="D42" s="142">
        <v>1739.703</v>
      </c>
      <c r="E42" s="142">
        <f>10.0716+698.16474</f>
        <v>708.23634</v>
      </c>
      <c r="F42" s="142"/>
      <c r="G42" s="142"/>
      <c r="H42" s="142">
        <v>1800</v>
      </c>
      <c r="I42" s="142"/>
      <c r="J42" s="142"/>
      <c r="K42" s="142">
        <v>1800</v>
      </c>
      <c r="L42" s="142">
        <v>1800</v>
      </c>
      <c r="M42" s="142">
        <v>1800</v>
      </c>
      <c r="N42" s="143">
        <f t="shared" si="9"/>
        <v>0</v>
      </c>
      <c r="O42" s="143"/>
      <c r="P42" s="143" t="e">
        <f aca="true" t="shared" si="11" ref="P42:P66">K42/F42*100</f>
        <v>#DIV/0!</v>
      </c>
      <c r="Q42" s="143">
        <f>L42/K42*100</f>
        <v>100</v>
      </c>
      <c r="R42" s="143"/>
      <c r="S42" s="144">
        <f>M42/L42*100</f>
        <v>100</v>
      </c>
    </row>
    <row r="43" spans="1:19" ht="60">
      <c r="A43" s="37" t="s">
        <v>72</v>
      </c>
      <c r="B43" s="38" t="s">
        <v>73</v>
      </c>
      <c r="C43" s="148">
        <v>64.33633</v>
      </c>
      <c r="D43" s="142">
        <v>226.38</v>
      </c>
      <c r="E43" s="142">
        <v>109.61212</v>
      </c>
      <c r="F43" s="142"/>
      <c r="G43" s="142"/>
      <c r="H43" s="142">
        <v>215</v>
      </c>
      <c r="I43" s="142"/>
      <c r="J43" s="142"/>
      <c r="K43" s="142">
        <f>'аренда помещения'!E18</f>
        <v>412.0136</v>
      </c>
      <c r="L43" s="142">
        <v>336.98</v>
      </c>
      <c r="M43" s="142">
        <v>336.98</v>
      </c>
      <c r="N43" s="143">
        <f t="shared" si="9"/>
        <v>0</v>
      </c>
      <c r="O43" s="143"/>
      <c r="P43" s="143" t="e">
        <f t="shared" si="11"/>
        <v>#DIV/0!</v>
      </c>
      <c r="Q43" s="143">
        <f>L43/K43*100</f>
        <v>81.78856231930209</v>
      </c>
      <c r="R43" s="143"/>
      <c r="S43" s="144">
        <f>M43/L43*100</f>
        <v>100</v>
      </c>
    </row>
    <row r="44" spans="1:19" ht="24">
      <c r="A44" s="37" t="s">
        <v>74</v>
      </c>
      <c r="B44" s="38" t="s">
        <v>75</v>
      </c>
      <c r="C44" s="148">
        <v>72.34203</v>
      </c>
      <c r="D44" s="142">
        <v>176.967</v>
      </c>
      <c r="E44" s="142">
        <v>84.64473</v>
      </c>
      <c r="F44" s="142"/>
      <c r="G44" s="142"/>
      <c r="H44" s="142">
        <v>122</v>
      </c>
      <c r="I44" s="142"/>
      <c r="J44" s="142"/>
      <c r="K44" s="142">
        <v>105.47</v>
      </c>
      <c r="L44" s="142">
        <v>105.47</v>
      </c>
      <c r="M44" s="142">
        <v>105.47</v>
      </c>
      <c r="N44" s="143">
        <f t="shared" si="9"/>
        <v>0</v>
      </c>
      <c r="O44" s="143"/>
      <c r="P44" s="143" t="e">
        <f t="shared" si="11"/>
        <v>#DIV/0!</v>
      </c>
      <c r="Q44" s="143">
        <f>L44/K44*100</f>
        <v>100</v>
      </c>
      <c r="R44" s="143"/>
      <c r="S44" s="144">
        <f>M44/L44*100</f>
        <v>100</v>
      </c>
    </row>
    <row r="45" spans="1:19" ht="24">
      <c r="A45" s="37" t="s">
        <v>76</v>
      </c>
      <c r="B45" s="38" t="s">
        <v>77</v>
      </c>
      <c r="C45" s="148"/>
      <c r="D45" s="142">
        <v>8521.55456</v>
      </c>
      <c r="E45" s="142">
        <v>226.507</v>
      </c>
      <c r="F45" s="142"/>
      <c r="G45" s="142"/>
      <c r="H45" s="142">
        <v>320</v>
      </c>
      <c r="I45" s="142"/>
      <c r="J45" s="142"/>
      <c r="K45" s="142"/>
      <c r="L45" s="142"/>
      <c r="M45" s="142"/>
      <c r="N45" s="143">
        <f t="shared" si="9"/>
        <v>0</v>
      </c>
      <c r="O45" s="143"/>
      <c r="P45" s="143" t="e">
        <f t="shared" si="11"/>
        <v>#DIV/0!</v>
      </c>
      <c r="Q45" s="143"/>
      <c r="R45" s="143"/>
      <c r="S45" s="144"/>
    </row>
    <row r="46" spans="1:19" ht="24">
      <c r="A46" s="37" t="s">
        <v>78</v>
      </c>
      <c r="B46" s="38" t="s">
        <v>79</v>
      </c>
      <c r="C46" s="148">
        <f>SUM(C47:C48)</f>
        <v>120.91795</v>
      </c>
      <c r="D46" s="142">
        <f>SUM(D47:D48)</f>
        <v>488.95502</v>
      </c>
      <c r="E46" s="142">
        <f aca="true" t="shared" si="12" ref="E46:M46">SUM(E47:E48)</f>
        <v>1120.79414</v>
      </c>
      <c r="F46" s="142">
        <f t="shared" si="12"/>
        <v>0</v>
      </c>
      <c r="G46" s="142">
        <f t="shared" si="12"/>
        <v>0</v>
      </c>
      <c r="H46" s="142">
        <f t="shared" si="12"/>
        <v>2915</v>
      </c>
      <c r="I46" s="142">
        <f>SUM(I47:I48)</f>
        <v>0</v>
      </c>
      <c r="J46" s="142">
        <f>SUM(J47:J48)</f>
        <v>0</v>
      </c>
      <c r="K46" s="142">
        <f t="shared" si="12"/>
        <v>1325</v>
      </c>
      <c r="L46" s="142">
        <f t="shared" si="12"/>
        <v>0</v>
      </c>
      <c r="M46" s="142">
        <f t="shared" si="12"/>
        <v>0</v>
      </c>
      <c r="N46" s="143">
        <f t="shared" si="9"/>
        <v>0</v>
      </c>
      <c r="O46" s="143"/>
      <c r="P46" s="143" t="e">
        <f t="shared" si="11"/>
        <v>#DIV/0!</v>
      </c>
      <c r="Q46" s="143"/>
      <c r="R46" s="143"/>
      <c r="S46" s="144"/>
    </row>
    <row r="47" spans="1:19" ht="72">
      <c r="A47" s="37" t="s">
        <v>80</v>
      </c>
      <c r="B47" s="38" t="s">
        <v>81</v>
      </c>
      <c r="C47" s="148">
        <v>18.2</v>
      </c>
      <c r="D47" s="142">
        <v>206.315</v>
      </c>
      <c r="E47" s="142">
        <v>0</v>
      </c>
      <c r="F47" s="142"/>
      <c r="G47" s="142"/>
      <c r="H47" s="142">
        <v>1325</v>
      </c>
      <c r="I47" s="142"/>
      <c r="J47" s="142"/>
      <c r="K47" s="142">
        <v>1325</v>
      </c>
      <c r="L47" s="142">
        <v>0</v>
      </c>
      <c r="M47" s="142">
        <v>0</v>
      </c>
      <c r="N47" s="143">
        <f t="shared" si="9"/>
        <v>0</v>
      </c>
      <c r="O47" s="143"/>
      <c r="P47" s="143" t="e">
        <f t="shared" si="11"/>
        <v>#DIV/0!</v>
      </c>
      <c r="Q47" s="143">
        <f>L47/K47*100</f>
        <v>0</v>
      </c>
      <c r="R47" s="143"/>
      <c r="S47" s="144"/>
    </row>
    <row r="48" spans="1:19" ht="48">
      <c r="A48" s="37" t="s">
        <v>82</v>
      </c>
      <c r="B48" s="38" t="s">
        <v>83</v>
      </c>
      <c r="C48" s="148">
        <v>102.71795</v>
      </c>
      <c r="D48" s="142">
        <v>282.64002</v>
      </c>
      <c r="E48" s="142">
        <v>1120.79414</v>
      </c>
      <c r="F48" s="142"/>
      <c r="G48" s="142"/>
      <c r="H48" s="142">
        <v>1590</v>
      </c>
      <c r="I48" s="142"/>
      <c r="J48" s="142"/>
      <c r="K48" s="142"/>
      <c r="L48" s="142"/>
      <c r="M48" s="142"/>
      <c r="N48" s="143">
        <f t="shared" si="9"/>
        <v>0</v>
      </c>
      <c r="O48" s="143"/>
      <c r="P48" s="143" t="e">
        <f t="shared" si="11"/>
        <v>#DIV/0!</v>
      </c>
      <c r="Q48" s="143"/>
      <c r="R48" s="143"/>
      <c r="S48" s="144"/>
    </row>
    <row r="49" spans="1:19" ht="15" hidden="1">
      <c r="A49" s="37" t="s">
        <v>84</v>
      </c>
      <c r="B49" s="38" t="s">
        <v>85</v>
      </c>
      <c r="C49" s="148"/>
      <c r="D49" s="142">
        <f>D50</f>
        <v>0</v>
      </c>
      <c r="E49" s="142"/>
      <c r="F49" s="142"/>
      <c r="G49" s="142"/>
      <c r="H49" s="142"/>
      <c r="I49" s="142"/>
      <c r="J49" s="142"/>
      <c r="K49" s="142">
        <f aca="true" t="shared" si="13" ref="K49:M50">K50</f>
        <v>0</v>
      </c>
      <c r="L49" s="142">
        <f t="shared" si="13"/>
        <v>0</v>
      </c>
      <c r="M49" s="142">
        <f t="shared" si="13"/>
        <v>0</v>
      </c>
      <c r="N49" s="143" t="e">
        <f t="shared" si="9"/>
        <v>#DIV/0!</v>
      </c>
      <c r="O49" s="143"/>
      <c r="P49" s="143" t="e">
        <f t="shared" si="11"/>
        <v>#DIV/0!</v>
      </c>
      <c r="Q49" s="143" t="e">
        <f aca="true" t="shared" si="14" ref="Q49:Q65">L49/K49*100</f>
        <v>#DIV/0!</v>
      </c>
      <c r="R49" s="143"/>
      <c r="S49" s="144" t="e">
        <f aca="true" t="shared" si="15" ref="S49:S65">M49/L49*100</f>
        <v>#DIV/0!</v>
      </c>
    </row>
    <row r="50" spans="1:19" ht="24" hidden="1">
      <c r="A50" s="37" t="s">
        <v>86</v>
      </c>
      <c r="B50" s="38" t="s">
        <v>87</v>
      </c>
      <c r="C50" s="148"/>
      <c r="D50" s="142">
        <f>D51</f>
        <v>0</v>
      </c>
      <c r="E50" s="142"/>
      <c r="F50" s="142"/>
      <c r="G50" s="142"/>
      <c r="H50" s="142"/>
      <c r="I50" s="142"/>
      <c r="J50" s="142"/>
      <c r="K50" s="142">
        <f t="shared" si="13"/>
        <v>0</v>
      </c>
      <c r="L50" s="142">
        <f t="shared" si="13"/>
        <v>0</v>
      </c>
      <c r="M50" s="142">
        <f t="shared" si="13"/>
        <v>0</v>
      </c>
      <c r="N50" s="143" t="e">
        <f t="shared" si="9"/>
        <v>#DIV/0!</v>
      </c>
      <c r="O50" s="143"/>
      <c r="P50" s="143" t="e">
        <f t="shared" si="11"/>
        <v>#DIV/0!</v>
      </c>
      <c r="Q50" s="143" t="e">
        <f t="shared" si="14"/>
        <v>#DIV/0!</v>
      </c>
      <c r="R50" s="143"/>
      <c r="S50" s="144" t="e">
        <f t="shared" si="15"/>
        <v>#DIV/0!</v>
      </c>
    </row>
    <row r="51" spans="1:19" ht="24" hidden="1">
      <c r="A51" s="37" t="s">
        <v>88</v>
      </c>
      <c r="B51" s="38" t="s">
        <v>89</v>
      </c>
      <c r="C51" s="148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3" t="e">
        <f t="shared" si="9"/>
        <v>#DIV/0!</v>
      </c>
      <c r="O51" s="143"/>
      <c r="P51" s="143" t="e">
        <f t="shared" si="11"/>
        <v>#DIV/0!</v>
      </c>
      <c r="Q51" s="143" t="e">
        <f t="shared" si="14"/>
        <v>#DIV/0!</v>
      </c>
      <c r="R51" s="143"/>
      <c r="S51" s="144" t="e">
        <f t="shared" si="15"/>
        <v>#DIV/0!</v>
      </c>
    </row>
    <row r="52" spans="1:19" ht="15">
      <c r="A52" s="37" t="s">
        <v>90</v>
      </c>
      <c r="B52" s="38" t="s">
        <v>91</v>
      </c>
      <c r="C52" s="148">
        <v>872.35708</v>
      </c>
      <c r="D52" s="142">
        <v>2088.02397</v>
      </c>
      <c r="E52" s="142">
        <v>751.98746</v>
      </c>
      <c r="F52" s="142"/>
      <c r="G52" s="142"/>
      <c r="H52" s="142">
        <v>1460</v>
      </c>
      <c r="I52" s="142"/>
      <c r="J52" s="142"/>
      <c r="K52" s="142">
        <f>штрафы!F19</f>
        <v>1700.000983333333</v>
      </c>
      <c r="L52" s="142">
        <f>K52*101%</f>
        <v>1717.0009931666661</v>
      </c>
      <c r="M52" s="142">
        <f>L52*101%</f>
        <v>1734.171003098333</v>
      </c>
      <c r="N52" s="143">
        <f t="shared" si="9"/>
        <v>0</v>
      </c>
      <c r="O52" s="143"/>
      <c r="P52" s="143" t="e">
        <f t="shared" si="11"/>
        <v>#DIV/0!</v>
      </c>
      <c r="Q52" s="143">
        <f t="shared" si="14"/>
        <v>101</v>
      </c>
      <c r="R52" s="143"/>
      <c r="S52" s="144">
        <f t="shared" si="15"/>
        <v>101</v>
      </c>
    </row>
    <row r="53" spans="1:19" ht="84" hidden="1">
      <c r="A53" s="37" t="s">
        <v>92</v>
      </c>
      <c r="B53" s="38" t="s">
        <v>93</v>
      </c>
      <c r="C53" s="148"/>
      <c r="D53" s="142">
        <v>6.20041</v>
      </c>
      <c r="E53" s="142">
        <v>26</v>
      </c>
      <c r="F53" s="142" t="e">
        <f>E53/#REF!*100</f>
        <v>#REF!</v>
      </c>
      <c r="G53" s="142"/>
      <c r="H53" s="142">
        <v>26</v>
      </c>
      <c r="I53" s="142"/>
      <c r="J53" s="142"/>
      <c r="K53" s="142" t="e">
        <f aca="true" t="shared" si="16" ref="K53:K61">(D53+F53)/2</f>
        <v>#REF!</v>
      </c>
      <c r="L53" s="142" t="e">
        <f>(#REF!+#REF!)/2</f>
        <v>#REF!</v>
      </c>
      <c r="M53" s="142" t="e">
        <f aca="true" t="shared" si="17" ref="M53:M61">(F53+K53)/2</f>
        <v>#REF!</v>
      </c>
      <c r="N53" s="143" t="e">
        <f t="shared" si="9"/>
        <v>#REF!</v>
      </c>
      <c r="O53" s="143"/>
      <c r="P53" s="143" t="e">
        <f t="shared" si="11"/>
        <v>#REF!</v>
      </c>
      <c r="Q53" s="143" t="e">
        <f t="shared" si="14"/>
        <v>#REF!</v>
      </c>
      <c r="R53" s="143"/>
      <c r="S53" s="144" t="e">
        <f t="shared" si="15"/>
        <v>#REF!</v>
      </c>
    </row>
    <row r="54" spans="1:19" ht="48" hidden="1">
      <c r="A54" s="37" t="s">
        <v>94</v>
      </c>
      <c r="B54" s="38" t="s">
        <v>95</v>
      </c>
      <c r="C54" s="148"/>
      <c r="D54" s="142">
        <v>5.40814</v>
      </c>
      <c r="E54" s="142">
        <v>10</v>
      </c>
      <c r="F54" s="142" t="e">
        <f>E54/#REF!*100</f>
        <v>#REF!</v>
      </c>
      <c r="G54" s="142"/>
      <c r="H54" s="142">
        <v>10</v>
      </c>
      <c r="I54" s="142"/>
      <c r="J54" s="142"/>
      <c r="K54" s="142" t="e">
        <f t="shared" si="16"/>
        <v>#REF!</v>
      </c>
      <c r="L54" s="142" t="e">
        <f>(#REF!+#REF!)/2</f>
        <v>#REF!</v>
      </c>
      <c r="M54" s="142" t="e">
        <f t="shared" si="17"/>
        <v>#REF!</v>
      </c>
      <c r="N54" s="143" t="e">
        <f t="shared" si="9"/>
        <v>#REF!</v>
      </c>
      <c r="O54" s="143"/>
      <c r="P54" s="143" t="e">
        <f t="shared" si="11"/>
        <v>#REF!</v>
      </c>
      <c r="Q54" s="143" t="e">
        <f t="shared" si="14"/>
        <v>#REF!</v>
      </c>
      <c r="R54" s="143"/>
      <c r="S54" s="144" t="e">
        <f t="shared" si="15"/>
        <v>#REF!</v>
      </c>
    </row>
    <row r="55" spans="1:19" ht="63.75" customHeight="1" hidden="1">
      <c r="A55" s="37" t="s">
        <v>96</v>
      </c>
      <c r="B55" s="38" t="s">
        <v>97</v>
      </c>
      <c r="C55" s="148"/>
      <c r="D55" s="142">
        <v>29.42172</v>
      </c>
      <c r="E55" s="142">
        <v>20</v>
      </c>
      <c r="F55" s="142" t="e">
        <f>E55/#REF!*100</f>
        <v>#REF!</v>
      </c>
      <c r="G55" s="142"/>
      <c r="H55" s="142">
        <v>20</v>
      </c>
      <c r="I55" s="142"/>
      <c r="J55" s="142"/>
      <c r="K55" s="142" t="e">
        <f t="shared" si="16"/>
        <v>#REF!</v>
      </c>
      <c r="L55" s="142" t="e">
        <f>(#REF!+#REF!)/2</f>
        <v>#REF!</v>
      </c>
      <c r="M55" s="142" t="e">
        <f t="shared" si="17"/>
        <v>#REF!</v>
      </c>
      <c r="N55" s="143" t="e">
        <f t="shared" si="9"/>
        <v>#REF!</v>
      </c>
      <c r="O55" s="143"/>
      <c r="P55" s="143" t="e">
        <f t="shared" si="11"/>
        <v>#REF!</v>
      </c>
      <c r="Q55" s="143" t="e">
        <f t="shared" si="14"/>
        <v>#REF!</v>
      </c>
      <c r="R55" s="143"/>
      <c r="S55" s="144" t="e">
        <f t="shared" si="15"/>
        <v>#REF!</v>
      </c>
    </row>
    <row r="56" spans="1:19" ht="48" hidden="1">
      <c r="A56" s="37" t="s">
        <v>98</v>
      </c>
      <c r="B56" s="38" t="s">
        <v>99</v>
      </c>
      <c r="C56" s="148"/>
      <c r="D56" s="142">
        <v>3.04</v>
      </c>
      <c r="E56" s="142">
        <v>5</v>
      </c>
      <c r="F56" s="142" t="e">
        <f>E56/#REF!*100</f>
        <v>#REF!</v>
      </c>
      <c r="G56" s="142"/>
      <c r="H56" s="142">
        <v>5</v>
      </c>
      <c r="I56" s="142"/>
      <c r="J56" s="142"/>
      <c r="K56" s="142" t="e">
        <f t="shared" si="16"/>
        <v>#REF!</v>
      </c>
      <c r="L56" s="142" t="e">
        <f>(#REF!+#REF!)/2</f>
        <v>#REF!</v>
      </c>
      <c r="M56" s="142" t="e">
        <f t="shared" si="17"/>
        <v>#REF!</v>
      </c>
      <c r="N56" s="143" t="e">
        <f t="shared" si="9"/>
        <v>#REF!</v>
      </c>
      <c r="O56" s="143"/>
      <c r="P56" s="143" t="e">
        <f t="shared" si="11"/>
        <v>#REF!</v>
      </c>
      <c r="Q56" s="143" t="e">
        <f t="shared" si="14"/>
        <v>#REF!</v>
      </c>
      <c r="R56" s="143"/>
      <c r="S56" s="144" t="e">
        <f t="shared" si="15"/>
        <v>#REF!</v>
      </c>
    </row>
    <row r="57" spans="1:19" ht="36" hidden="1">
      <c r="A57" s="37" t="s">
        <v>156</v>
      </c>
      <c r="B57" s="38" t="s">
        <v>122</v>
      </c>
      <c r="C57" s="148"/>
      <c r="D57" s="142">
        <v>2.5</v>
      </c>
      <c r="E57" s="142">
        <v>1</v>
      </c>
      <c r="F57" s="142" t="e">
        <f>E57/#REF!*100</f>
        <v>#REF!</v>
      </c>
      <c r="G57" s="142"/>
      <c r="H57" s="142">
        <v>1</v>
      </c>
      <c r="I57" s="142"/>
      <c r="J57" s="142"/>
      <c r="K57" s="142" t="e">
        <f t="shared" si="16"/>
        <v>#REF!</v>
      </c>
      <c r="L57" s="142" t="e">
        <f>(#REF!+#REF!)/2</f>
        <v>#REF!</v>
      </c>
      <c r="M57" s="142" t="e">
        <f t="shared" si="17"/>
        <v>#REF!</v>
      </c>
      <c r="N57" s="143" t="e">
        <f t="shared" si="9"/>
        <v>#REF!</v>
      </c>
      <c r="O57" s="143"/>
      <c r="P57" s="143" t="e">
        <f t="shared" si="11"/>
        <v>#REF!</v>
      </c>
      <c r="Q57" s="143" t="e">
        <f t="shared" si="14"/>
        <v>#REF!</v>
      </c>
      <c r="R57" s="143"/>
      <c r="S57" s="144" t="e">
        <f t="shared" si="15"/>
        <v>#REF!</v>
      </c>
    </row>
    <row r="58" spans="1:19" ht="24" hidden="1">
      <c r="A58" s="37" t="s">
        <v>102</v>
      </c>
      <c r="B58" s="38" t="s">
        <v>103</v>
      </c>
      <c r="C58" s="148"/>
      <c r="D58" s="142">
        <v>0.5</v>
      </c>
      <c r="E58" s="142"/>
      <c r="F58" s="142" t="e">
        <f>E58/#REF!*100</f>
        <v>#REF!</v>
      </c>
      <c r="G58" s="142"/>
      <c r="H58" s="142"/>
      <c r="I58" s="142"/>
      <c r="J58" s="142"/>
      <c r="K58" s="142" t="e">
        <f t="shared" si="16"/>
        <v>#REF!</v>
      </c>
      <c r="L58" s="142" t="e">
        <f>(#REF!+#REF!)/2</f>
        <v>#REF!</v>
      </c>
      <c r="M58" s="142" t="e">
        <f t="shared" si="17"/>
        <v>#REF!</v>
      </c>
      <c r="N58" s="143" t="e">
        <f t="shared" si="9"/>
        <v>#REF!</v>
      </c>
      <c r="O58" s="143"/>
      <c r="P58" s="143" t="e">
        <f t="shared" si="11"/>
        <v>#REF!</v>
      </c>
      <c r="Q58" s="143" t="e">
        <f t="shared" si="14"/>
        <v>#REF!</v>
      </c>
      <c r="R58" s="143"/>
      <c r="S58" s="144" t="e">
        <f t="shared" si="15"/>
        <v>#REF!</v>
      </c>
    </row>
    <row r="59" spans="1:19" ht="24" hidden="1">
      <c r="A59" s="37" t="s">
        <v>157</v>
      </c>
      <c r="B59" s="38" t="s">
        <v>118</v>
      </c>
      <c r="C59" s="148"/>
      <c r="D59" s="142">
        <v>0.5</v>
      </c>
      <c r="E59" s="142">
        <v>0.5</v>
      </c>
      <c r="F59" s="142" t="e">
        <f>E59/#REF!*100</f>
        <v>#REF!</v>
      </c>
      <c r="G59" s="142"/>
      <c r="H59" s="142">
        <v>0.5</v>
      </c>
      <c r="I59" s="142"/>
      <c r="J59" s="142"/>
      <c r="K59" s="142" t="e">
        <f t="shared" si="16"/>
        <v>#REF!</v>
      </c>
      <c r="L59" s="142" t="e">
        <f>(#REF!+#REF!)/2</f>
        <v>#REF!</v>
      </c>
      <c r="M59" s="142" t="e">
        <f t="shared" si="17"/>
        <v>#REF!</v>
      </c>
      <c r="N59" s="143" t="e">
        <f t="shared" si="9"/>
        <v>#REF!</v>
      </c>
      <c r="O59" s="143"/>
      <c r="P59" s="143" t="e">
        <f t="shared" si="11"/>
        <v>#REF!</v>
      </c>
      <c r="Q59" s="143" t="e">
        <f t="shared" si="14"/>
        <v>#REF!</v>
      </c>
      <c r="R59" s="143"/>
      <c r="S59" s="144" t="e">
        <f t="shared" si="15"/>
        <v>#REF!</v>
      </c>
    </row>
    <row r="60" spans="1:19" ht="24" hidden="1">
      <c r="A60" s="37" t="s">
        <v>104</v>
      </c>
      <c r="B60" s="38" t="s">
        <v>105</v>
      </c>
      <c r="C60" s="148"/>
      <c r="D60" s="142">
        <v>34.1</v>
      </c>
      <c r="E60" s="142">
        <v>36</v>
      </c>
      <c r="F60" s="142" t="e">
        <f>E60/#REF!*100</f>
        <v>#REF!</v>
      </c>
      <c r="G60" s="142"/>
      <c r="H60" s="142">
        <v>36</v>
      </c>
      <c r="I60" s="142"/>
      <c r="J60" s="142"/>
      <c r="K60" s="142" t="e">
        <f t="shared" si="16"/>
        <v>#REF!</v>
      </c>
      <c r="L60" s="142" t="e">
        <f>(#REF!+#REF!)/2</f>
        <v>#REF!</v>
      </c>
      <c r="M60" s="142" t="e">
        <f t="shared" si="17"/>
        <v>#REF!</v>
      </c>
      <c r="N60" s="143" t="e">
        <f t="shared" si="9"/>
        <v>#REF!</v>
      </c>
      <c r="O60" s="143"/>
      <c r="P60" s="143" t="e">
        <f t="shared" si="11"/>
        <v>#REF!</v>
      </c>
      <c r="Q60" s="143" t="e">
        <f t="shared" si="14"/>
        <v>#REF!</v>
      </c>
      <c r="R60" s="143"/>
      <c r="S60" s="144" t="e">
        <f t="shared" si="15"/>
        <v>#REF!</v>
      </c>
    </row>
    <row r="61" spans="1:19" ht="48" hidden="1">
      <c r="A61" s="37" t="s">
        <v>106</v>
      </c>
      <c r="B61" s="38" t="s">
        <v>107</v>
      </c>
      <c r="C61" s="148"/>
      <c r="D61" s="142">
        <v>432.66041</v>
      </c>
      <c r="E61" s="142">
        <v>385</v>
      </c>
      <c r="F61" s="142" t="e">
        <f>E61/#REF!*100</f>
        <v>#REF!</v>
      </c>
      <c r="G61" s="142"/>
      <c r="H61" s="142">
        <v>385</v>
      </c>
      <c r="I61" s="142"/>
      <c r="J61" s="142"/>
      <c r="K61" s="142" t="e">
        <f t="shared" si="16"/>
        <v>#REF!</v>
      </c>
      <c r="L61" s="142" t="e">
        <f>(#REF!+#REF!)/2</f>
        <v>#REF!</v>
      </c>
      <c r="M61" s="142" t="e">
        <f t="shared" si="17"/>
        <v>#REF!</v>
      </c>
      <c r="N61" s="143" t="e">
        <f t="shared" si="9"/>
        <v>#REF!</v>
      </c>
      <c r="O61" s="143"/>
      <c r="P61" s="143" t="e">
        <f t="shared" si="11"/>
        <v>#REF!</v>
      </c>
      <c r="Q61" s="143" t="e">
        <f t="shared" si="14"/>
        <v>#REF!</v>
      </c>
      <c r="R61" s="143"/>
      <c r="S61" s="144" t="e">
        <f t="shared" si="15"/>
        <v>#REF!</v>
      </c>
    </row>
    <row r="62" spans="1:19" ht="24" hidden="1">
      <c r="A62" s="37" t="s">
        <v>155</v>
      </c>
      <c r="B62" s="38" t="s">
        <v>123</v>
      </c>
      <c r="C62" s="148"/>
      <c r="D62" s="142"/>
      <c r="E62" s="142">
        <v>6.5</v>
      </c>
      <c r="F62" s="142" t="e">
        <f>E62/#REF!*100</f>
        <v>#REF!</v>
      </c>
      <c r="G62" s="142"/>
      <c r="H62" s="142">
        <v>6.5</v>
      </c>
      <c r="I62" s="142"/>
      <c r="J62" s="142"/>
      <c r="K62" s="142"/>
      <c r="L62" s="142"/>
      <c r="M62" s="142"/>
      <c r="N62" s="143" t="e">
        <f t="shared" si="9"/>
        <v>#REF!</v>
      </c>
      <c r="O62" s="143"/>
      <c r="P62" s="143" t="e">
        <f t="shared" si="11"/>
        <v>#REF!</v>
      </c>
      <c r="Q62" s="143" t="e">
        <f t="shared" si="14"/>
        <v>#DIV/0!</v>
      </c>
      <c r="R62" s="143"/>
      <c r="S62" s="144" t="e">
        <f t="shared" si="15"/>
        <v>#DIV/0!</v>
      </c>
    </row>
    <row r="63" spans="1:19" ht="48" hidden="1">
      <c r="A63" s="37" t="s">
        <v>108</v>
      </c>
      <c r="B63" s="38" t="s">
        <v>109</v>
      </c>
      <c r="C63" s="148"/>
      <c r="D63" s="142">
        <v>0</v>
      </c>
      <c r="E63" s="142"/>
      <c r="F63" s="142" t="e">
        <f>E63/#REF!*100</f>
        <v>#REF!</v>
      </c>
      <c r="G63" s="142"/>
      <c r="H63" s="142"/>
      <c r="I63" s="142"/>
      <c r="J63" s="142"/>
      <c r="K63" s="142" t="e">
        <f>(D63+F63)/2</f>
        <v>#REF!</v>
      </c>
      <c r="L63" s="142" t="e">
        <f>(#REF!+#REF!)/2</f>
        <v>#REF!</v>
      </c>
      <c r="M63" s="142" t="e">
        <f>(F63+K63)/2</f>
        <v>#REF!</v>
      </c>
      <c r="N63" s="143" t="e">
        <f t="shared" si="9"/>
        <v>#REF!</v>
      </c>
      <c r="O63" s="143"/>
      <c r="P63" s="143" t="e">
        <f t="shared" si="11"/>
        <v>#REF!</v>
      </c>
      <c r="Q63" s="143" t="e">
        <f t="shared" si="14"/>
        <v>#REF!</v>
      </c>
      <c r="R63" s="143"/>
      <c r="S63" s="144" t="e">
        <f t="shared" si="15"/>
        <v>#REF!</v>
      </c>
    </row>
    <row r="64" spans="1:19" ht="60" hidden="1">
      <c r="A64" s="37" t="s">
        <v>100</v>
      </c>
      <c r="B64" s="38" t="s">
        <v>101</v>
      </c>
      <c r="C64" s="148"/>
      <c r="D64" s="142">
        <v>403.75228</v>
      </c>
      <c r="E64" s="142">
        <v>285</v>
      </c>
      <c r="F64" s="142" t="e">
        <f>E64/#REF!*100</f>
        <v>#REF!</v>
      </c>
      <c r="G64" s="142"/>
      <c r="H64" s="142">
        <v>285</v>
      </c>
      <c r="I64" s="142"/>
      <c r="J64" s="142"/>
      <c r="K64" s="142" t="e">
        <f>(D64+F64)/2+0.01</f>
        <v>#REF!</v>
      </c>
      <c r="L64" s="142" t="e">
        <f>(#REF!+#REF!)/2+0.01</f>
        <v>#REF!</v>
      </c>
      <c r="M64" s="142" t="e">
        <f>(F64+K64)/2+0.01</f>
        <v>#REF!</v>
      </c>
      <c r="N64" s="143" t="e">
        <f t="shared" si="9"/>
        <v>#REF!</v>
      </c>
      <c r="O64" s="143"/>
      <c r="P64" s="143" t="e">
        <f t="shared" si="11"/>
        <v>#REF!</v>
      </c>
      <c r="Q64" s="143" t="e">
        <f t="shared" si="14"/>
        <v>#REF!</v>
      </c>
      <c r="R64" s="143"/>
      <c r="S64" s="144" t="e">
        <f t="shared" si="15"/>
        <v>#REF!</v>
      </c>
    </row>
    <row r="65" spans="1:19" ht="36" hidden="1">
      <c r="A65" s="37" t="s">
        <v>110</v>
      </c>
      <c r="B65" s="38" t="s">
        <v>111</v>
      </c>
      <c r="C65" s="148"/>
      <c r="D65" s="142">
        <v>986.59341</v>
      </c>
      <c r="E65" s="142">
        <v>1000</v>
      </c>
      <c r="F65" s="142" t="e">
        <f>E65/#REF!*100</f>
        <v>#REF!</v>
      </c>
      <c r="G65" s="142"/>
      <c r="H65" s="142">
        <v>1000</v>
      </c>
      <c r="I65" s="142"/>
      <c r="J65" s="142"/>
      <c r="K65" s="142" t="e">
        <f>(D65+F65)/2</f>
        <v>#REF!</v>
      </c>
      <c r="L65" s="142" t="e">
        <f>(#REF!+#REF!)/2</f>
        <v>#REF!</v>
      </c>
      <c r="M65" s="142" t="e">
        <f>(F65+K65)/2</f>
        <v>#REF!</v>
      </c>
      <c r="N65" s="143" t="e">
        <f t="shared" si="9"/>
        <v>#REF!</v>
      </c>
      <c r="O65" s="143"/>
      <c r="P65" s="143" t="e">
        <f t="shared" si="11"/>
        <v>#REF!</v>
      </c>
      <c r="Q65" s="143" t="e">
        <f t="shared" si="14"/>
        <v>#REF!</v>
      </c>
      <c r="R65" s="143"/>
      <c r="S65" s="144" t="e">
        <f t="shared" si="15"/>
        <v>#REF!</v>
      </c>
    </row>
    <row r="66" spans="1:19" ht="15">
      <c r="A66" s="37" t="s">
        <v>112</v>
      </c>
      <c r="B66" s="38" t="s">
        <v>113</v>
      </c>
      <c r="C66" s="148">
        <v>105.59516</v>
      </c>
      <c r="D66" s="142">
        <v>38.22987</v>
      </c>
      <c r="E66" s="142">
        <v>180.72796</v>
      </c>
      <c r="F66" s="142"/>
      <c r="G66" s="142"/>
      <c r="H66" s="142">
        <v>189</v>
      </c>
      <c r="I66" s="142"/>
      <c r="J66" s="142"/>
      <c r="K66" s="142"/>
      <c r="L66" s="142"/>
      <c r="M66" s="142"/>
      <c r="N66" s="143">
        <f t="shared" si="9"/>
        <v>0</v>
      </c>
      <c r="O66" s="143"/>
      <c r="P66" s="143" t="e">
        <f t="shared" si="11"/>
        <v>#DIV/0!</v>
      </c>
      <c r="Q66" s="143"/>
      <c r="R66" s="143"/>
      <c r="S66" s="144"/>
    </row>
  </sheetData>
  <sheetProtection/>
  <mergeCells count="11">
    <mergeCell ref="C9:D10"/>
    <mergeCell ref="N1:S1"/>
    <mergeCell ref="N2:S2"/>
    <mergeCell ref="N3:S4"/>
    <mergeCell ref="A5:N6"/>
    <mergeCell ref="A9:A11"/>
    <mergeCell ref="B9:B11"/>
    <mergeCell ref="K9:M10"/>
    <mergeCell ref="N9:S10"/>
    <mergeCell ref="E9:F10"/>
    <mergeCell ref="G9:J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39.140625" style="33" customWidth="1"/>
    <col min="2" max="2" width="29.140625" style="28" hidden="1" customWidth="1"/>
    <col min="3" max="3" width="19.00390625" style="28" customWidth="1"/>
    <col min="4" max="10" width="15.7109375" style="27" customWidth="1"/>
    <col min="11" max="11" width="17.140625" style="26" customWidth="1"/>
    <col min="12" max="12" width="16.00390625" style="26" customWidth="1"/>
    <col min="13" max="13" width="15.140625" style="26" customWidth="1"/>
    <col min="14" max="15" width="12.00390625" style="26" customWidth="1"/>
    <col min="16" max="17" width="10.7109375" style="26" customWidth="1"/>
    <col min="18" max="18" width="13.8515625" style="26" customWidth="1"/>
    <col min="19" max="19" width="15.28125" style="26" customWidth="1"/>
    <col min="20" max="20" width="12.8515625" style="26" customWidth="1"/>
    <col min="21" max="21" width="9.8515625" style="26" customWidth="1"/>
    <col min="22" max="22" width="12.8515625" style="26" customWidth="1"/>
    <col min="23" max="16384" width="9.140625" style="26" customWidth="1"/>
  </cols>
  <sheetData>
    <row r="1" spans="1:21" ht="12">
      <c r="A1" s="24"/>
      <c r="B1" s="25"/>
      <c r="C1" s="25"/>
      <c r="D1" s="25"/>
      <c r="E1" s="25"/>
      <c r="F1" s="25"/>
      <c r="G1" s="25"/>
      <c r="H1" s="25"/>
      <c r="I1" s="25"/>
      <c r="J1" s="25"/>
      <c r="K1" s="147"/>
      <c r="L1" s="147"/>
      <c r="M1" s="147"/>
      <c r="N1" s="380" t="s">
        <v>14</v>
      </c>
      <c r="O1" s="380"/>
      <c r="P1" s="380"/>
      <c r="Q1" s="380"/>
      <c r="R1" s="380"/>
      <c r="S1" s="380"/>
      <c r="T1" s="380"/>
      <c r="U1" s="380"/>
    </row>
    <row r="2" spans="1:21" ht="12.75" customHeight="1">
      <c r="A2" s="24"/>
      <c r="D2" s="39"/>
      <c r="E2" s="39"/>
      <c r="F2" s="39"/>
      <c r="G2" s="39"/>
      <c r="H2" s="39"/>
      <c r="I2" s="39"/>
      <c r="J2" s="39"/>
      <c r="K2" s="29"/>
      <c r="L2" s="29"/>
      <c r="M2" s="29"/>
      <c r="N2" s="381"/>
      <c r="O2" s="381"/>
      <c r="P2" s="381"/>
      <c r="Q2" s="381"/>
      <c r="R2" s="381"/>
      <c r="S2" s="381"/>
      <c r="T2" s="381"/>
      <c r="U2" s="381"/>
    </row>
    <row r="3" spans="1:21" ht="4.5" customHeight="1">
      <c r="A3" s="24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381"/>
      <c r="O3" s="381"/>
      <c r="P3" s="381"/>
      <c r="Q3" s="381"/>
      <c r="R3" s="381"/>
      <c r="S3" s="381"/>
      <c r="T3" s="381"/>
      <c r="U3" s="381"/>
    </row>
    <row r="4" spans="2:21" ht="12" customHeight="1">
      <c r="B4" s="32"/>
      <c r="C4" s="32"/>
      <c r="D4" s="382" t="s">
        <v>537</v>
      </c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0"/>
      <c r="R4" s="30"/>
      <c r="S4" s="30"/>
      <c r="T4" s="30"/>
      <c r="U4" s="31"/>
    </row>
    <row r="5" spans="1:21" ht="12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0"/>
      <c r="P5" s="30"/>
      <c r="Q5" s="30"/>
      <c r="R5" s="30"/>
      <c r="S5" s="30"/>
      <c r="T5" s="30"/>
      <c r="U5" s="30"/>
    </row>
    <row r="6" spans="1:3" s="27" customFormat="1" ht="12" hidden="1">
      <c r="A6" s="33"/>
      <c r="B6" s="28"/>
      <c r="C6" s="28"/>
    </row>
    <row r="7" spans="1:22" s="27" customFormat="1" ht="15.75" customHeight="1">
      <c r="A7" s="383" t="s">
        <v>15</v>
      </c>
      <c r="B7" s="386" t="s">
        <v>16</v>
      </c>
      <c r="C7" s="389" t="s">
        <v>535</v>
      </c>
      <c r="D7" s="389"/>
      <c r="E7" s="389" t="s">
        <v>527</v>
      </c>
      <c r="F7" s="389"/>
      <c r="G7" s="394" t="s">
        <v>256</v>
      </c>
      <c r="H7" s="395"/>
      <c r="I7" s="395"/>
      <c r="J7" s="396"/>
      <c r="K7" s="389" t="s">
        <v>259</v>
      </c>
      <c r="L7" s="389"/>
      <c r="M7" s="389"/>
      <c r="N7" s="400" t="s">
        <v>17</v>
      </c>
      <c r="O7" s="400"/>
      <c r="P7" s="400"/>
      <c r="Q7" s="400"/>
      <c r="R7" s="400"/>
      <c r="S7" s="400"/>
      <c r="T7" s="400"/>
      <c r="U7" s="400"/>
      <c r="V7" s="400"/>
    </row>
    <row r="8" spans="1:22" s="34" customFormat="1" ht="12">
      <c r="A8" s="384"/>
      <c r="B8" s="387"/>
      <c r="C8" s="389"/>
      <c r="D8" s="389"/>
      <c r="E8" s="389"/>
      <c r="F8" s="389"/>
      <c r="G8" s="397"/>
      <c r="H8" s="398"/>
      <c r="I8" s="398"/>
      <c r="J8" s="399"/>
      <c r="K8" s="389"/>
      <c r="L8" s="389"/>
      <c r="M8" s="389"/>
      <c r="N8" s="400"/>
      <c r="O8" s="400"/>
      <c r="P8" s="400"/>
      <c r="Q8" s="400"/>
      <c r="R8" s="400"/>
      <c r="S8" s="400"/>
      <c r="T8" s="400"/>
      <c r="U8" s="400"/>
      <c r="V8" s="400"/>
    </row>
    <row r="9" spans="1:22" s="36" customFormat="1" ht="45" customHeight="1">
      <c r="A9" s="385"/>
      <c r="B9" s="388"/>
      <c r="C9" s="146" t="s">
        <v>528</v>
      </c>
      <c r="D9" s="146" t="s">
        <v>529</v>
      </c>
      <c r="E9" s="146" t="s">
        <v>528</v>
      </c>
      <c r="F9" s="146" t="s">
        <v>529</v>
      </c>
      <c r="G9" s="146" t="s">
        <v>533</v>
      </c>
      <c r="H9" s="146" t="s">
        <v>528</v>
      </c>
      <c r="I9" s="146" t="s">
        <v>530</v>
      </c>
      <c r="J9" s="146" t="s">
        <v>536</v>
      </c>
      <c r="K9" s="146" t="s">
        <v>257</v>
      </c>
      <c r="L9" s="146" t="s">
        <v>258</v>
      </c>
      <c r="M9" s="146" t="s">
        <v>531</v>
      </c>
      <c r="N9" s="35" t="s">
        <v>541</v>
      </c>
      <c r="O9" s="35" t="s">
        <v>534</v>
      </c>
      <c r="P9" s="35" t="s">
        <v>542</v>
      </c>
      <c r="Q9" s="401" t="s">
        <v>543</v>
      </c>
      <c r="R9" s="402"/>
      <c r="S9" s="401" t="s">
        <v>262</v>
      </c>
      <c r="T9" s="402"/>
      <c r="U9" s="35" t="s">
        <v>544</v>
      </c>
      <c r="V9" s="151" t="s">
        <v>545</v>
      </c>
    </row>
    <row r="10" spans="1:22" ht="17.25" customHeight="1">
      <c r="A10" s="37" t="s">
        <v>19</v>
      </c>
      <c r="B10" s="38" t="s">
        <v>20</v>
      </c>
      <c r="C10" s="150">
        <f aca="true" t="shared" si="0" ref="C10:I10">C11+C34</f>
        <v>49848.35051</v>
      </c>
      <c r="D10" s="150">
        <f t="shared" si="0"/>
        <v>111126.07103</v>
      </c>
      <c r="E10" s="145">
        <f t="shared" si="0"/>
        <v>48729.31305</v>
      </c>
      <c r="F10" s="145">
        <f t="shared" si="0"/>
        <v>100484.25363</v>
      </c>
      <c r="G10" s="145">
        <f t="shared" si="0"/>
        <v>111743.28</v>
      </c>
      <c r="H10" s="145">
        <f t="shared" si="0"/>
        <v>63663.63951</v>
      </c>
      <c r="I10" s="142">
        <f t="shared" si="0"/>
        <v>112897.54332</v>
      </c>
      <c r="J10" s="142">
        <f>I10/G10*100</f>
        <v>101.03295994175221</v>
      </c>
      <c r="K10" s="142" t="e">
        <f>K11+K34</f>
        <v>#REF!</v>
      </c>
      <c r="L10" s="142" t="e">
        <f>L11+L34</f>
        <v>#REF!</v>
      </c>
      <c r="M10" s="142" t="e">
        <f>M11+M34</f>
        <v>#REF!</v>
      </c>
      <c r="N10" s="143">
        <f>E10/C10*100</f>
        <v>97.7551163708506</v>
      </c>
      <c r="O10" s="143">
        <f>H10/E10*100</f>
        <v>130.6475210202045</v>
      </c>
      <c r="P10" s="143">
        <f>F10/D10*100</f>
        <v>90.42365369227613</v>
      </c>
      <c r="Q10" s="143">
        <f>I10/F10*100</f>
        <v>112.35346757483798</v>
      </c>
      <c r="R10" s="143"/>
      <c r="S10" s="143" t="e">
        <f>K10/I10*100</f>
        <v>#REF!</v>
      </c>
      <c r="T10" s="143"/>
      <c r="U10" s="144" t="e">
        <f aca="true" t="shared" si="1" ref="U10:V12">L10/K10*100</f>
        <v>#REF!</v>
      </c>
      <c r="V10" s="144" t="e">
        <f t="shared" si="1"/>
        <v>#REF!</v>
      </c>
    </row>
    <row r="11" spans="1:22" ht="15">
      <c r="A11" s="37" t="s">
        <v>21</v>
      </c>
      <c r="B11" s="38"/>
      <c r="C11" s="148">
        <f>C12+C14+C19+C23+C26+C13+C33</f>
        <v>47758.870279999996</v>
      </c>
      <c r="D11" s="148">
        <f>D12+D14+D19+D23+D26+D13+D33</f>
        <v>97532.62571000001</v>
      </c>
      <c r="E11" s="148">
        <f aca="true" t="shared" si="2" ref="E11:M11">E12+E14+E19+E23+E26+E13+E33</f>
        <v>45380.63632</v>
      </c>
      <c r="F11" s="148">
        <f t="shared" si="2"/>
        <v>93858.50134</v>
      </c>
      <c r="G11" s="148">
        <f t="shared" si="2"/>
        <v>92784.52</v>
      </c>
      <c r="H11" s="148">
        <f>H12+H14+H19+H23+H26+H13+H33</f>
        <v>47737.60411</v>
      </c>
      <c r="I11" s="148">
        <f>I12+I14+I19+I23+I26+I13+I33</f>
        <v>93938.78332</v>
      </c>
      <c r="J11" s="142">
        <f>I11/G11*100</f>
        <v>101.24402574912281</v>
      </c>
      <c r="K11" s="148" t="e">
        <f t="shared" si="2"/>
        <v>#REF!</v>
      </c>
      <c r="L11" s="148" t="e">
        <f t="shared" si="2"/>
        <v>#REF!</v>
      </c>
      <c r="M11" s="142" t="e">
        <f t="shared" si="2"/>
        <v>#REF!</v>
      </c>
      <c r="N11" s="143">
        <f aca="true" t="shared" si="3" ref="N11:N34">E11/C11*100</f>
        <v>95.0203303678313</v>
      </c>
      <c r="O11" s="143">
        <f aca="true" t="shared" si="4" ref="O11:O34">H11/E11*100</f>
        <v>105.19377421986754</v>
      </c>
      <c r="P11" s="143">
        <f aca="true" t="shared" si="5" ref="P11:P34">F11/D11*100</f>
        <v>96.23292786054533</v>
      </c>
      <c r="Q11" s="143">
        <f>I11/F11*100</f>
        <v>100.08553511813403</v>
      </c>
      <c r="R11" s="143"/>
      <c r="S11" s="143" t="e">
        <f>K11/I11*100</f>
        <v>#REF!</v>
      </c>
      <c r="T11" s="143"/>
      <c r="U11" s="144" t="e">
        <f t="shared" si="1"/>
        <v>#REF!</v>
      </c>
      <c r="V11" s="144" t="e">
        <f t="shared" si="1"/>
        <v>#REF!</v>
      </c>
    </row>
    <row r="12" spans="1:22" ht="41.25" customHeight="1">
      <c r="A12" s="37" t="s">
        <v>255</v>
      </c>
      <c r="B12" s="38" t="s">
        <v>119</v>
      </c>
      <c r="C12" s="148">
        <v>19855.90937</v>
      </c>
      <c r="D12" s="142">
        <v>45391.92782</v>
      </c>
      <c r="E12" s="142">
        <v>17753.29032</v>
      </c>
      <c r="F12" s="142">
        <v>42916.19945</v>
      </c>
      <c r="G12" s="142">
        <v>44018.36</v>
      </c>
      <c r="H12" s="142">
        <v>20645.45012</v>
      </c>
      <c r="I12" s="142">
        <v>44018.36</v>
      </c>
      <c r="J12" s="142">
        <f aca="true" t="shared" si="6" ref="J12:J34">I12/G12*100</f>
        <v>100</v>
      </c>
      <c r="K12" s="142">
        <v>44629.25</v>
      </c>
      <c r="L12" s="142">
        <v>46370.85</v>
      </c>
      <c r="M12" s="142">
        <f>L12</f>
        <v>46370.85</v>
      </c>
      <c r="N12" s="143">
        <f t="shared" si="3"/>
        <v>89.41061317908301</v>
      </c>
      <c r="O12" s="143">
        <f t="shared" si="4"/>
        <v>116.29083819319865</v>
      </c>
      <c r="P12" s="143">
        <f t="shared" si="5"/>
        <v>94.54588406155075</v>
      </c>
      <c r="Q12" s="143">
        <f aca="true" t="shared" si="7" ref="Q12:Q34">I12/F12*100</f>
        <v>102.56816904601276</v>
      </c>
      <c r="R12" s="152" t="s">
        <v>546</v>
      </c>
      <c r="S12" s="143">
        <f>K12/I12*100</f>
        <v>101.38780726951208</v>
      </c>
      <c r="T12" s="143"/>
      <c r="U12" s="144">
        <f t="shared" si="1"/>
        <v>103.90237344342555</v>
      </c>
      <c r="V12" s="144">
        <f t="shared" si="1"/>
        <v>100</v>
      </c>
    </row>
    <row r="13" spans="1:22" ht="36">
      <c r="A13" s="37" t="s">
        <v>121</v>
      </c>
      <c r="B13" s="38" t="s">
        <v>120</v>
      </c>
      <c r="C13" s="148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3"/>
      <c r="O13" s="143"/>
      <c r="P13" s="143"/>
      <c r="Q13" s="143"/>
      <c r="R13" s="143"/>
      <c r="S13" s="143"/>
      <c r="T13" s="143"/>
      <c r="U13" s="144"/>
      <c r="V13" s="144"/>
    </row>
    <row r="14" spans="1:22" ht="15">
      <c r="A14" s="37" t="s">
        <v>22</v>
      </c>
      <c r="B14" s="38" t="s">
        <v>23</v>
      </c>
      <c r="C14" s="148">
        <f aca="true" t="shared" si="8" ref="C14:I14">C15+C16+C17+C18</f>
        <v>10618.394049999999</v>
      </c>
      <c r="D14" s="148">
        <f t="shared" si="8"/>
        <v>18064.956869999998</v>
      </c>
      <c r="E14" s="142">
        <f t="shared" si="8"/>
        <v>10723.8913</v>
      </c>
      <c r="F14" s="142">
        <f t="shared" si="8"/>
        <v>17053.28561</v>
      </c>
      <c r="G14" s="142">
        <f t="shared" si="8"/>
        <v>16920.46</v>
      </c>
      <c r="H14" s="142">
        <f t="shared" si="8"/>
        <v>10372.95585</v>
      </c>
      <c r="I14" s="142">
        <f t="shared" si="8"/>
        <v>16477</v>
      </c>
      <c r="J14" s="142">
        <f t="shared" si="6"/>
        <v>97.37914926662751</v>
      </c>
      <c r="K14" s="142" t="e">
        <f>K15+K16+K17+K18</f>
        <v>#REF!</v>
      </c>
      <c r="L14" s="142" t="e">
        <f>L15+L16+L17+L18</f>
        <v>#REF!</v>
      </c>
      <c r="M14" s="142" t="e">
        <f>M15+M16+M17+M18</f>
        <v>#REF!</v>
      </c>
      <c r="N14" s="143">
        <f t="shared" si="3"/>
        <v>100.99353300982459</v>
      </c>
      <c r="O14" s="143">
        <f t="shared" si="4"/>
        <v>96.72753630018612</v>
      </c>
      <c r="P14" s="143">
        <f t="shared" si="5"/>
        <v>94.39981358781955</v>
      </c>
      <c r="Q14" s="143">
        <f t="shared" si="7"/>
        <v>96.6206769582158</v>
      </c>
      <c r="R14" s="403" t="s">
        <v>551</v>
      </c>
      <c r="S14" s="143" t="e">
        <f aca="true" t="shared" si="9" ref="S14:S34">K14/I14*100</f>
        <v>#REF!</v>
      </c>
      <c r="T14" s="143"/>
      <c r="U14" s="144" t="e">
        <f aca="true" t="shared" si="10" ref="U14:U34">L14/K14*100</f>
        <v>#REF!</v>
      </c>
      <c r="V14" s="144" t="e">
        <f aca="true" t="shared" si="11" ref="V14:V34">M14/L14*100</f>
        <v>#REF!</v>
      </c>
    </row>
    <row r="15" spans="1:22" ht="29.25" customHeight="1">
      <c r="A15" s="37" t="s">
        <v>24</v>
      </c>
      <c r="B15" s="38" t="s">
        <v>25</v>
      </c>
      <c r="C15" s="148">
        <v>5788.27357</v>
      </c>
      <c r="D15" s="142">
        <v>8231.57476</v>
      </c>
      <c r="E15" s="142">
        <v>4867.10976</v>
      </c>
      <c r="F15" s="142">
        <v>6804.92</v>
      </c>
      <c r="G15" s="142">
        <v>7486.65</v>
      </c>
      <c r="H15" s="142">
        <v>4765.17521</v>
      </c>
      <c r="I15" s="142">
        <v>6800</v>
      </c>
      <c r="J15" s="142">
        <f t="shared" si="6"/>
        <v>90.82834111384932</v>
      </c>
      <c r="K15" s="142">
        <v>7612.73</v>
      </c>
      <c r="L15" s="142">
        <v>7741.35</v>
      </c>
      <c r="M15" s="142">
        <f>L15</f>
        <v>7741.35</v>
      </c>
      <c r="N15" s="143">
        <f t="shared" si="3"/>
        <v>84.08568981994402</v>
      </c>
      <c r="O15" s="143">
        <f t="shared" si="4"/>
        <v>97.90564513589273</v>
      </c>
      <c r="P15" s="143">
        <f t="shared" si="5"/>
        <v>82.66850752625614</v>
      </c>
      <c r="Q15" s="143">
        <f t="shared" si="7"/>
        <v>99.92769937045549</v>
      </c>
      <c r="R15" s="404"/>
      <c r="S15" s="143">
        <f t="shared" si="9"/>
        <v>111.95191176470587</v>
      </c>
      <c r="T15" s="143"/>
      <c r="U15" s="144">
        <f t="shared" si="10"/>
        <v>101.68953844415867</v>
      </c>
      <c r="V15" s="144">
        <f t="shared" si="11"/>
        <v>100</v>
      </c>
    </row>
    <row r="16" spans="1:22" ht="24">
      <c r="A16" s="37" t="s">
        <v>26</v>
      </c>
      <c r="B16" s="38" t="s">
        <v>27</v>
      </c>
      <c r="C16" s="148">
        <v>3901.08171</v>
      </c>
      <c r="D16" s="142">
        <v>8232.74919</v>
      </c>
      <c r="E16" s="142">
        <v>3619.65796</v>
      </c>
      <c r="F16" s="142">
        <v>7324.34</v>
      </c>
      <c r="G16" s="142">
        <v>6551.41</v>
      </c>
      <c r="H16" s="142">
        <v>3520.08943</v>
      </c>
      <c r="I16" s="142">
        <v>7000</v>
      </c>
      <c r="J16" s="142">
        <f t="shared" si="6"/>
        <v>106.84722830657829</v>
      </c>
      <c r="K16" s="142" t="e">
        <f>енвд!#REF!</f>
        <v>#REF!</v>
      </c>
      <c r="L16" s="142" t="e">
        <f>K16</f>
        <v>#REF!</v>
      </c>
      <c r="M16" s="142" t="e">
        <f>L16*103%</f>
        <v>#REF!</v>
      </c>
      <c r="N16" s="143">
        <f t="shared" si="3"/>
        <v>92.7860072943717</v>
      </c>
      <c r="O16" s="143">
        <f t="shared" si="4"/>
        <v>97.24922821160705</v>
      </c>
      <c r="P16" s="143">
        <f t="shared" si="5"/>
        <v>88.96590714674741</v>
      </c>
      <c r="Q16" s="143">
        <f t="shared" si="7"/>
        <v>95.57175117484988</v>
      </c>
      <c r="R16" s="404"/>
      <c r="S16" s="143" t="e">
        <f t="shared" si="9"/>
        <v>#REF!</v>
      </c>
      <c r="T16" s="143"/>
      <c r="U16" s="144" t="e">
        <f t="shared" si="10"/>
        <v>#REF!</v>
      </c>
      <c r="V16" s="144" t="e">
        <f t="shared" si="11"/>
        <v>#REF!</v>
      </c>
    </row>
    <row r="17" spans="1:22" ht="15">
      <c r="A17" s="37" t="s">
        <v>28</v>
      </c>
      <c r="B17" s="38" t="s">
        <v>29</v>
      </c>
      <c r="C17" s="148">
        <v>929.03877</v>
      </c>
      <c r="D17" s="142">
        <v>1584.74492</v>
      </c>
      <c r="E17" s="142">
        <v>2224.81158</v>
      </c>
      <c r="F17" s="142">
        <v>2890.72561</v>
      </c>
      <c r="G17" s="142">
        <v>2858.4</v>
      </c>
      <c r="H17" s="142">
        <v>2073.15021</v>
      </c>
      <c r="I17" s="142">
        <v>2653</v>
      </c>
      <c r="J17" s="142">
        <f t="shared" si="6"/>
        <v>92.81416176882172</v>
      </c>
      <c r="K17" s="142">
        <v>2928.67</v>
      </c>
      <c r="L17" s="142">
        <v>2966.39</v>
      </c>
      <c r="M17" s="142">
        <f aca="true" t="shared" si="12" ref="M17:M25">L17*103%</f>
        <v>3055.3817</v>
      </c>
      <c r="N17" s="143">
        <f t="shared" si="3"/>
        <v>239.474567891284</v>
      </c>
      <c r="O17" s="143">
        <f t="shared" si="4"/>
        <v>93.18318138203864</v>
      </c>
      <c r="P17" s="143">
        <f t="shared" si="5"/>
        <v>182.4095205176616</v>
      </c>
      <c r="Q17" s="143">
        <f t="shared" si="7"/>
        <v>91.77626512950152</v>
      </c>
      <c r="R17" s="405"/>
      <c r="S17" s="143">
        <f t="shared" si="9"/>
        <v>110.39087825103657</v>
      </c>
      <c r="T17" s="143"/>
      <c r="U17" s="144">
        <f t="shared" si="10"/>
        <v>101.287956649264</v>
      </c>
      <c r="V17" s="144">
        <f t="shared" si="11"/>
        <v>103</v>
      </c>
    </row>
    <row r="18" spans="1:22" ht="34.5" customHeight="1">
      <c r="A18" s="37" t="s">
        <v>260</v>
      </c>
      <c r="B18" s="38"/>
      <c r="C18" s="148"/>
      <c r="D18" s="142">
        <v>15.888</v>
      </c>
      <c r="E18" s="142">
        <v>12.312</v>
      </c>
      <c r="F18" s="142">
        <v>33.3</v>
      </c>
      <c r="G18" s="142">
        <v>24</v>
      </c>
      <c r="H18" s="142">
        <v>14.541</v>
      </c>
      <c r="I18" s="142">
        <v>24</v>
      </c>
      <c r="J18" s="142">
        <f t="shared" si="6"/>
        <v>100</v>
      </c>
      <c r="K18" s="142">
        <v>24</v>
      </c>
      <c r="L18" s="142">
        <v>24</v>
      </c>
      <c r="M18" s="142">
        <f t="shared" si="12"/>
        <v>24.72</v>
      </c>
      <c r="N18" s="143"/>
      <c r="O18" s="143">
        <f t="shared" si="4"/>
        <v>118.10428849902534</v>
      </c>
      <c r="P18" s="143">
        <f t="shared" si="5"/>
        <v>209.5921450151057</v>
      </c>
      <c r="Q18" s="143">
        <f t="shared" si="7"/>
        <v>72.07207207207207</v>
      </c>
      <c r="R18" s="152" t="s">
        <v>547</v>
      </c>
      <c r="S18" s="143">
        <f t="shared" si="9"/>
        <v>100</v>
      </c>
      <c r="T18" s="143"/>
      <c r="U18" s="144">
        <f t="shared" si="10"/>
        <v>100</v>
      </c>
      <c r="V18" s="144">
        <f t="shared" si="11"/>
        <v>103</v>
      </c>
    </row>
    <row r="19" spans="1:22" ht="15">
      <c r="A19" s="37" t="s">
        <v>30</v>
      </c>
      <c r="B19" s="38" t="s">
        <v>31</v>
      </c>
      <c r="C19" s="148">
        <f>SUM(C20:C22)</f>
        <v>16629.95869</v>
      </c>
      <c r="D19" s="148">
        <f aca="true" t="shared" si="13" ref="D19:L19">SUM(D20:D22)</f>
        <v>31955.40988</v>
      </c>
      <c r="E19" s="148">
        <f t="shared" si="13"/>
        <v>15796.902020000001</v>
      </c>
      <c r="F19" s="148">
        <f t="shared" si="13"/>
        <v>32107.93281</v>
      </c>
      <c r="G19" s="148">
        <f t="shared" si="13"/>
        <v>29906.2</v>
      </c>
      <c r="H19" s="148">
        <f t="shared" si="13"/>
        <v>16103.11318</v>
      </c>
      <c r="I19" s="142">
        <f aca="true" t="shared" si="14" ref="I19:I33">H19*2</f>
        <v>32206.22636</v>
      </c>
      <c r="J19" s="142">
        <f t="shared" si="6"/>
        <v>107.69080110478764</v>
      </c>
      <c r="K19" s="148">
        <f t="shared" si="13"/>
        <v>31626.72</v>
      </c>
      <c r="L19" s="148">
        <f t="shared" si="13"/>
        <v>32539.82</v>
      </c>
      <c r="M19" s="142">
        <f t="shared" si="12"/>
        <v>33516.0146</v>
      </c>
      <c r="N19" s="143">
        <f t="shared" si="3"/>
        <v>94.99062694304264</v>
      </c>
      <c r="O19" s="143">
        <f t="shared" si="4"/>
        <v>101.93842539260112</v>
      </c>
      <c r="P19" s="143">
        <f t="shared" si="5"/>
        <v>100.47729924470616</v>
      </c>
      <c r="Q19" s="143">
        <f t="shared" si="7"/>
        <v>100.30613478164932</v>
      </c>
      <c r="R19" s="143"/>
      <c r="S19" s="143">
        <f t="shared" si="9"/>
        <v>98.20063874133437</v>
      </c>
      <c r="T19" s="143"/>
      <c r="U19" s="144">
        <f t="shared" si="10"/>
        <v>102.88711570469526</v>
      </c>
      <c r="V19" s="144">
        <f t="shared" si="11"/>
        <v>103</v>
      </c>
    </row>
    <row r="20" spans="1:22" ht="15">
      <c r="A20" s="37" t="s">
        <v>539</v>
      </c>
      <c r="B20" s="38"/>
      <c r="C20" s="148">
        <v>82.01986</v>
      </c>
      <c r="D20" s="142">
        <v>852.37776</v>
      </c>
      <c r="E20" s="142">
        <v>34.33443</v>
      </c>
      <c r="F20" s="142">
        <v>1442.43524</v>
      </c>
      <c r="G20" s="142">
        <v>1425.73</v>
      </c>
      <c r="H20" s="142">
        <v>160.28539</v>
      </c>
      <c r="I20" s="142">
        <v>1425.73</v>
      </c>
      <c r="J20" s="142">
        <f t="shared" si="6"/>
        <v>100</v>
      </c>
      <c r="K20" s="142">
        <v>1438.44</v>
      </c>
      <c r="L20" s="142">
        <v>1462.91</v>
      </c>
      <c r="M20" s="142">
        <f t="shared" si="12"/>
        <v>1506.7973000000002</v>
      </c>
      <c r="N20" s="143">
        <f t="shared" si="3"/>
        <v>41.86111753909358</v>
      </c>
      <c r="O20" s="143">
        <f t="shared" si="4"/>
        <v>466.8357389361058</v>
      </c>
      <c r="P20" s="143">
        <f t="shared" si="5"/>
        <v>169.22487982323707</v>
      </c>
      <c r="Q20" s="143">
        <f t="shared" si="7"/>
        <v>98.84187244343808</v>
      </c>
      <c r="R20" s="143"/>
      <c r="S20" s="143">
        <f t="shared" si="9"/>
        <v>100.8914731400756</v>
      </c>
      <c r="T20" s="143"/>
      <c r="U20" s="144">
        <f t="shared" si="10"/>
        <v>101.70114846639416</v>
      </c>
      <c r="V20" s="144">
        <f t="shared" si="11"/>
        <v>103</v>
      </c>
    </row>
    <row r="21" spans="1:22" ht="33.75">
      <c r="A21" s="37" t="s">
        <v>32</v>
      </c>
      <c r="B21" s="38"/>
      <c r="C21" s="148">
        <v>13240.38508</v>
      </c>
      <c r="D21" s="142">
        <v>25790.0331</v>
      </c>
      <c r="E21" s="142">
        <v>12707.34455</v>
      </c>
      <c r="F21" s="142">
        <v>25441.85041</v>
      </c>
      <c r="G21" s="142">
        <v>23783.7</v>
      </c>
      <c r="H21" s="142">
        <v>12115.85935</v>
      </c>
      <c r="I21" s="142">
        <v>24000</v>
      </c>
      <c r="J21" s="142">
        <f>I21/G21*100</f>
        <v>100.90944638554977</v>
      </c>
      <c r="K21" s="142">
        <v>24663.7</v>
      </c>
      <c r="L21" s="142">
        <v>25526.93</v>
      </c>
      <c r="M21" s="142">
        <f t="shared" si="12"/>
        <v>26292.7379</v>
      </c>
      <c r="N21" s="143">
        <f t="shared" si="3"/>
        <v>95.97413121461872</v>
      </c>
      <c r="O21" s="143">
        <f t="shared" si="4"/>
        <v>95.34532806856174</v>
      </c>
      <c r="P21" s="143">
        <f t="shared" si="5"/>
        <v>98.64993314025642</v>
      </c>
      <c r="Q21" s="143">
        <f t="shared" si="7"/>
        <v>94.33276123094696</v>
      </c>
      <c r="R21" s="143"/>
      <c r="S21" s="143">
        <f t="shared" si="9"/>
        <v>102.76541666666668</v>
      </c>
      <c r="T21" s="152" t="s">
        <v>550</v>
      </c>
      <c r="U21" s="144">
        <f t="shared" si="10"/>
        <v>103.50000202727085</v>
      </c>
      <c r="V21" s="144">
        <f t="shared" si="11"/>
        <v>103</v>
      </c>
    </row>
    <row r="22" spans="1:22" ht="33.75">
      <c r="A22" s="37" t="s">
        <v>538</v>
      </c>
      <c r="B22" s="38" t="s">
        <v>33</v>
      </c>
      <c r="C22" s="148">
        <v>3307.55375</v>
      </c>
      <c r="D22" s="142">
        <v>5312.99902</v>
      </c>
      <c r="E22" s="142">
        <v>3055.22304</v>
      </c>
      <c r="F22" s="142">
        <v>5223.64716</v>
      </c>
      <c r="G22" s="142">
        <v>4696.77</v>
      </c>
      <c r="H22" s="142">
        <v>3826.96844</v>
      </c>
      <c r="I22" s="142">
        <v>5300</v>
      </c>
      <c r="J22" s="142">
        <f t="shared" si="6"/>
        <v>112.84350734653815</v>
      </c>
      <c r="K22" s="142">
        <v>5524.58</v>
      </c>
      <c r="L22" s="142">
        <v>5549.98</v>
      </c>
      <c r="M22" s="142">
        <f t="shared" si="12"/>
        <v>5716.479399999999</v>
      </c>
      <c r="N22" s="143">
        <f t="shared" si="3"/>
        <v>92.37107756752252</v>
      </c>
      <c r="O22" s="143">
        <f t="shared" si="4"/>
        <v>125.25987104365383</v>
      </c>
      <c r="P22" s="143">
        <f t="shared" si="5"/>
        <v>98.31824060829585</v>
      </c>
      <c r="Q22" s="143">
        <f t="shared" si="7"/>
        <v>101.46167682581377</v>
      </c>
      <c r="R22" s="152" t="s">
        <v>548</v>
      </c>
      <c r="S22" s="143">
        <f t="shared" si="9"/>
        <v>104.23735849056604</v>
      </c>
      <c r="T22" s="152" t="s">
        <v>548</v>
      </c>
      <c r="U22" s="144">
        <f t="shared" si="10"/>
        <v>100.45976345713157</v>
      </c>
      <c r="V22" s="144">
        <f t="shared" si="11"/>
        <v>103</v>
      </c>
    </row>
    <row r="23" spans="1:22" ht="36">
      <c r="A23" s="37" t="s">
        <v>44</v>
      </c>
      <c r="B23" s="38" t="s">
        <v>45</v>
      </c>
      <c r="C23" s="148">
        <v>18.87919</v>
      </c>
      <c r="D23" s="142">
        <v>60.08281</v>
      </c>
      <c r="E23" s="142">
        <v>23.5374</v>
      </c>
      <c r="F23" s="142">
        <v>31.86</v>
      </c>
      <c r="G23" s="142">
        <v>55</v>
      </c>
      <c r="H23" s="142">
        <v>13.48648</v>
      </c>
      <c r="I23" s="142">
        <v>32</v>
      </c>
      <c r="J23" s="142">
        <f t="shared" si="6"/>
        <v>58.18181818181818</v>
      </c>
      <c r="K23" s="142">
        <v>56</v>
      </c>
      <c r="L23" s="142">
        <v>57</v>
      </c>
      <c r="M23" s="142">
        <f t="shared" si="12"/>
        <v>58.71</v>
      </c>
      <c r="N23" s="143">
        <f t="shared" si="3"/>
        <v>124.67378102556306</v>
      </c>
      <c r="O23" s="143">
        <f t="shared" si="4"/>
        <v>57.29808729936187</v>
      </c>
      <c r="P23" s="143">
        <f t="shared" si="5"/>
        <v>53.02681415865869</v>
      </c>
      <c r="Q23" s="143">
        <f t="shared" si="7"/>
        <v>100.43942247332079</v>
      </c>
      <c r="R23" s="143"/>
      <c r="S23" s="143">
        <f t="shared" si="9"/>
        <v>175</v>
      </c>
      <c r="T23" s="143"/>
      <c r="U23" s="144">
        <f t="shared" si="10"/>
        <v>101.78571428571428</v>
      </c>
      <c r="V23" s="144">
        <f t="shared" si="11"/>
        <v>103</v>
      </c>
    </row>
    <row r="24" spans="1:22" ht="15" hidden="1">
      <c r="A24" s="37" t="s">
        <v>46</v>
      </c>
      <c r="B24" s="38" t="s">
        <v>47</v>
      </c>
      <c r="C24" s="148"/>
      <c r="D24" s="142">
        <f>D25</f>
        <v>7</v>
      </c>
      <c r="E24" s="142"/>
      <c r="F24" s="142" t="e">
        <f>E24/#REF!*100</f>
        <v>#REF!</v>
      </c>
      <c r="G24" s="142"/>
      <c r="H24" s="142"/>
      <c r="I24" s="142">
        <f t="shared" si="14"/>
        <v>0</v>
      </c>
      <c r="J24" s="142" t="e">
        <f t="shared" si="6"/>
        <v>#DIV/0!</v>
      </c>
      <c r="K24" s="142">
        <f>K25</f>
        <v>9</v>
      </c>
      <c r="L24" s="142">
        <f>L25</f>
        <v>10</v>
      </c>
      <c r="M24" s="142">
        <f t="shared" si="12"/>
        <v>10.3</v>
      </c>
      <c r="N24" s="143" t="e">
        <f t="shared" si="3"/>
        <v>#DIV/0!</v>
      </c>
      <c r="O24" s="143" t="e">
        <f t="shared" si="4"/>
        <v>#DIV/0!</v>
      </c>
      <c r="P24" s="143" t="e">
        <f t="shared" si="5"/>
        <v>#REF!</v>
      </c>
      <c r="Q24" s="143" t="e">
        <f t="shared" si="7"/>
        <v>#REF!</v>
      </c>
      <c r="R24" s="143"/>
      <c r="S24" s="143" t="e">
        <f t="shared" si="9"/>
        <v>#DIV/0!</v>
      </c>
      <c r="T24" s="143"/>
      <c r="U24" s="144">
        <f t="shared" si="10"/>
        <v>111.11111111111111</v>
      </c>
      <c r="V24" s="144">
        <f t="shared" si="11"/>
        <v>103</v>
      </c>
    </row>
    <row r="25" spans="1:22" ht="24" hidden="1">
      <c r="A25" s="37" t="s">
        <v>48</v>
      </c>
      <c r="B25" s="38" t="s">
        <v>49</v>
      </c>
      <c r="C25" s="148"/>
      <c r="D25" s="142">
        <v>7</v>
      </c>
      <c r="E25" s="142"/>
      <c r="F25" s="142" t="e">
        <f>E25/#REF!*100</f>
        <v>#REF!</v>
      </c>
      <c r="G25" s="142"/>
      <c r="H25" s="142"/>
      <c r="I25" s="142">
        <f t="shared" si="14"/>
        <v>0</v>
      </c>
      <c r="J25" s="142" t="e">
        <f t="shared" si="6"/>
        <v>#DIV/0!</v>
      </c>
      <c r="K25" s="142">
        <v>9</v>
      </c>
      <c r="L25" s="142">
        <v>10</v>
      </c>
      <c r="M25" s="142">
        <f t="shared" si="12"/>
        <v>10.3</v>
      </c>
      <c r="N25" s="143" t="e">
        <f t="shared" si="3"/>
        <v>#DIV/0!</v>
      </c>
      <c r="O25" s="143" t="e">
        <f t="shared" si="4"/>
        <v>#DIV/0!</v>
      </c>
      <c r="P25" s="143" t="e">
        <f t="shared" si="5"/>
        <v>#REF!</v>
      </c>
      <c r="Q25" s="143" t="e">
        <f t="shared" si="7"/>
        <v>#REF!</v>
      </c>
      <c r="R25" s="143"/>
      <c r="S25" s="143" t="e">
        <f t="shared" si="9"/>
        <v>#DIV/0!</v>
      </c>
      <c r="T25" s="143"/>
      <c r="U25" s="144">
        <f t="shared" si="10"/>
        <v>111.11111111111111</v>
      </c>
      <c r="V25" s="144">
        <f t="shared" si="11"/>
        <v>103</v>
      </c>
    </row>
    <row r="26" spans="1:22" ht="15">
      <c r="A26" s="37" t="s">
        <v>50</v>
      </c>
      <c r="B26" s="38" t="s">
        <v>51</v>
      </c>
      <c r="C26" s="142">
        <f>C28+C30+C32+C29</f>
        <v>635.9153299999999</v>
      </c>
      <c r="D26" s="142">
        <f>D28+D30+D32+D29</f>
        <v>2060.4346800000003</v>
      </c>
      <c r="E26" s="142">
        <f aca="true" t="shared" si="15" ref="E26:M26">E28+E30+E32+E29</f>
        <v>1083.01528</v>
      </c>
      <c r="F26" s="142">
        <f t="shared" si="15"/>
        <v>1748.82645</v>
      </c>
      <c r="G26" s="142">
        <f t="shared" si="15"/>
        <v>1884.5</v>
      </c>
      <c r="H26" s="142">
        <f t="shared" si="15"/>
        <v>602.59848</v>
      </c>
      <c r="I26" s="142">
        <f t="shared" si="14"/>
        <v>1205.19696</v>
      </c>
      <c r="J26" s="142">
        <f t="shared" si="6"/>
        <v>63.95314194746617</v>
      </c>
      <c r="K26" s="142">
        <f t="shared" si="15"/>
        <v>1908</v>
      </c>
      <c r="L26" s="142">
        <f t="shared" si="15"/>
        <v>1933.8</v>
      </c>
      <c r="M26" s="142">
        <f t="shared" si="15"/>
        <v>1933.8</v>
      </c>
      <c r="N26" s="143">
        <f t="shared" si="3"/>
        <v>170.308094318154</v>
      </c>
      <c r="O26" s="143">
        <f t="shared" si="4"/>
        <v>55.64081053408591</v>
      </c>
      <c r="P26" s="143">
        <f t="shared" si="5"/>
        <v>84.87657808205789</v>
      </c>
      <c r="Q26" s="143">
        <f t="shared" si="7"/>
        <v>68.91461185299434</v>
      </c>
      <c r="R26" s="143"/>
      <c r="S26" s="143">
        <f t="shared" si="9"/>
        <v>158.31437211723468</v>
      </c>
      <c r="T26" s="143"/>
      <c r="U26" s="144">
        <f t="shared" si="10"/>
        <v>101.35220125786164</v>
      </c>
      <c r="V26" s="144">
        <f t="shared" si="11"/>
        <v>100</v>
      </c>
    </row>
    <row r="27" spans="1:22" ht="36" hidden="1">
      <c r="A27" s="37" t="s">
        <v>52</v>
      </c>
      <c r="B27" s="38" t="s">
        <v>53</v>
      </c>
      <c r="C27" s="148"/>
      <c r="D27" s="142">
        <f>D28</f>
        <v>1670.44468</v>
      </c>
      <c r="E27" s="142"/>
      <c r="F27" s="142" t="e">
        <f>E27/#REF!*100</f>
        <v>#REF!</v>
      </c>
      <c r="G27" s="142"/>
      <c r="H27" s="142"/>
      <c r="I27" s="142">
        <f t="shared" si="14"/>
        <v>0</v>
      </c>
      <c r="J27" s="142" t="e">
        <f t="shared" si="6"/>
        <v>#DIV/0!</v>
      </c>
      <c r="K27" s="142">
        <f>K28</f>
        <v>1717</v>
      </c>
      <c r="L27" s="142">
        <f>L28</f>
        <v>1737.6</v>
      </c>
      <c r="M27" s="142">
        <f>M28</f>
        <v>1737.6</v>
      </c>
      <c r="N27" s="143" t="e">
        <f t="shared" si="3"/>
        <v>#DIV/0!</v>
      </c>
      <c r="O27" s="143" t="e">
        <f t="shared" si="4"/>
        <v>#DIV/0!</v>
      </c>
      <c r="P27" s="143" t="e">
        <f t="shared" si="5"/>
        <v>#REF!</v>
      </c>
      <c r="Q27" s="143" t="e">
        <f t="shared" si="7"/>
        <v>#REF!</v>
      </c>
      <c r="R27" s="143"/>
      <c r="S27" s="143" t="e">
        <f t="shared" si="9"/>
        <v>#DIV/0!</v>
      </c>
      <c r="T27" s="143"/>
      <c r="U27" s="144">
        <f t="shared" si="10"/>
        <v>101.19976703552706</v>
      </c>
      <c r="V27" s="144">
        <f t="shared" si="11"/>
        <v>100</v>
      </c>
    </row>
    <row r="28" spans="1:22" ht="48">
      <c r="A28" s="37" t="s">
        <v>54</v>
      </c>
      <c r="B28" s="38" t="s">
        <v>55</v>
      </c>
      <c r="C28" s="148">
        <v>551.89533</v>
      </c>
      <c r="D28" s="142">
        <v>1670.44468</v>
      </c>
      <c r="E28" s="142">
        <v>969.41528</v>
      </c>
      <c r="F28" s="142">
        <v>1530.32645</v>
      </c>
      <c r="G28" s="142">
        <v>1700</v>
      </c>
      <c r="H28" s="142">
        <f>602.59848-65.2</f>
        <v>537.39848</v>
      </c>
      <c r="I28" s="142">
        <v>1400</v>
      </c>
      <c r="J28" s="142">
        <f t="shared" si="6"/>
        <v>82.35294117647058</v>
      </c>
      <c r="K28" s="142">
        <v>1717</v>
      </c>
      <c r="L28" s="142">
        <v>1737.6</v>
      </c>
      <c r="M28" s="142">
        <v>1737.6</v>
      </c>
      <c r="N28" s="143">
        <f t="shared" si="3"/>
        <v>175.65201720405938</v>
      </c>
      <c r="O28" s="143">
        <f t="shared" si="4"/>
        <v>55.43532179521659</v>
      </c>
      <c r="P28" s="143">
        <f t="shared" si="5"/>
        <v>91.61192036601894</v>
      </c>
      <c r="Q28" s="143">
        <f t="shared" si="7"/>
        <v>91.4837484511883</v>
      </c>
      <c r="R28" s="143"/>
      <c r="S28" s="143">
        <f t="shared" si="9"/>
        <v>122.64285714285714</v>
      </c>
      <c r="T28" s="143"/>
      <c r="U28" s="144">
        <f t="shared" si="10"/>
        <v>101.19976703552706</v>
      </c>
      <c r="V28" s="144">
        <f t="shared" si="11"/>
        <v>100</v>
      </c>
    </row>
    <row r="29" spans="1:22" ht="36">
      <c r="A29" s="37" t="s">
        <v>56</v>
      </c>
      <c r="B29" s="38" t="s">
        <v>57</v>
      </c>
      <c r="C29" s="148">
        <v>15.8</v>
      </c>
      <c r="D29" s="142">
        <v>61.77</v>
      </c>
      <c r="E29" s="142">
        <v>16.1</v>
      </c>
      <c r="F29" s="142">
        <v>38.75</v>
      </c>
      <c r="G29" s="142">
        <v>45.5</v>
      </c>
      <c r="H29" s="142">
        <v>0.2</v>
      </c>
      <c r="I29" s="142">
        <f t="shared" si="14"/>
        <v>0.4</v>
      </c>
      <c r="J29" s="142">
        <f t="shared" si="6"/>
        <v>0.8791208791208791</v>
      </c>
      <c r="K29" s="142">
        <v>52</v>
      </c>
      <c r="L29" s="142">
        <v>57.2</v>
      </c>
      <c r="M29" s="142">
        <v>57.2</v>
      </c>
      <c r="N29" s="143">
        <f t="shared" si="3"/>
        <v>101.8987341772152</v>
      </c>
      <c r="O29" s="143">
        <f t="shared" si="4"/>
        <v>1.2422360248447204</v>
      </c>
      <c r="P29" s="143">
        <f t="shared" si="5"/>
        <v>62.73271814796827</v>
      </c>
      <c r="Q29" s="143">
        <f t="shared" si="7"/>
        <v>1.032258064516129</v>
      </c>
      <c r="R29" s="143"/>
      <c r="S29" s="143">
        <f t="shared" si="9"/>
        <v>13000</v>
      </c>
      <c r="T29" s="143"/>
      <c r="U29" s="144">
        <f t="shared" si="10"/>
        <v>110.00000000000001</v>
      </c>
      <c r="V29" s="144">
        <f t="shared" si="11"/>
        <v>100</v>
      </c>
    </row>
    <row r="30" spans="1:22" ht="72">
      <c r="A30" s="37" t="s">
        <v>60</v>
      </c>
      <c r="B30" s="38" t="s">
        <v>61</v>
      </c>
      <c r="C30" s="148">
        <v>68.22</v>
      </c>
      <c r="D30" s="142">
        <v>328.22</v>
      </c>
      <c r="E30" s="142">
        <v>97.5</v>
      </c>
      <c r="F30" s="142">
        <v>178.75</v>
      </c>
      <c r="G30" s="142">
        <v>130</v>
      </c>
      <c r="H30" s="142">
        <v>65</v>
      </c>
      <c r="I30" s="142">
        <v>130</v>
      </c>
      <c r="J30" s="142">
        <f t="shared" si="6"/>
        <v>100</v>
      </c>
      <c r="K30" s="142">
        <v>130</v>
      </c>
      <c r="L30" s="142">
        <v>130</v>
      </c>
      <c r="M30" s="142">
        <v>130</v>
      </c>
      <c r="N30" s="143">
        <f t="shared" si="3"/>
        <v>142.91996481970097</v>
      </c>
      <c r="O30" s="143">
        <f t="shared" si="4"/>
        <v>66.66666666666666</v>
      </c>
      <c r="P30" s="143">
        <f t="shared" si="5"/>
        <v>54.46042288708792</v>
      </c>
      <c r="Q30" s="143">
        <f t="shared" si="7"/>
        <v>72.72727272727273</v>
      </c>
      <c r="R30" s="152" t="s">
        <v>549</v>
      </c>
      <c r="S30" s="143">
        <f t="shared" si="9"/>
        <v>100</v>
      </c>
      <c r="T30" s="143"/>
      <c r="U30" s="144">
        <f t="shared" si="10"/>
        <v>100</v>
      </c>
      <c r="V30" s="144">
        <f t="shared" si="11"/>
        <v>100</v>
      </c>
    </row>
    <row r="31" spans="1:22" ht="72" hidden="1">
      <c r="A31" s="37" t="s">
        <v>62</v>
      </c>
      <c r="B31" s="38" t="s">
        <v>63</v>
      </c>
      <c r="C31" s="148"/>
      <c r="D31" s="142"/>
      <c r="E31" s="142"/>
      <c r="F31" s="142"/>
      <c r="G31" s="142"/>
      <c r="H31" s="142"/>
      <c r="I31" s="142">
        <f t="shared" si="14"/>
        <v>0</v>
      </c>
      <c r="J31" s="142" t="e">
        <f t="shared" si="6"/>
        <v>#DIV/0!</v>
      </c>
      <c r="K31" s="142"/>
      <c r="L31" s="142"/>
      <c r="M31" s="142"/>
      <c r="N31" s="143" t="e">
        <f t="shared" si="3"/>
        <v>#DIV/0!</v>
      </c>
      <c r="O31" s="143" t="e">
        <f t="shared" si="4"/>
        <v>#DIV/0!</v>
      </c>
      <c r="P31" s="143" t="e">
        <f t="shared" si="5"/>
        <v>#DIV/0!</v>
      </c>
      <c r="Q31" s="143" t="e">
        <f t="shared" si="7"/>
        <v>#DIV/0!</v>
      </c>
      <c r="R31" s="143"/>
      <c r="S31" s="143" t="e">
        <f t="shared" si="9"/>
        <v>#DIV/0!</v>
      </c>
      <c r="T31" s="143"/>
      <c r="U31" s="144" t="e">
        <f t="shared" si="10"/>
        <v>#DIV/0!</v>
      </c>
      <c r="V31" s="144" t="e">
        <f t="shared" si="11"/>
        <v>#DIV/0!</v>
      </c>
    </row>
    <row r="32" spans="1:22" ht="24">
      <c r="A32" s="37" t="s">
        <v>64</v>
      </c>
      <c r="B32" s="38" t="s">
        <v>65</v>
      </c>
      <c r="C32" s="148"/>
      <c r="D32" s="142">
        <v>0</v>
      </c>
      <c r="E32" s="142">
        <v>0</v>
      </c>
      <c r="F32" s="142">
        <v>1</v>
      </c>
      <c r="G32" s="142">
        <v>9</v>
      </c>
      <c r="H32" s="142">
        <v>0</v>
      </c>
      <c r="I32" s="142">
        <v>9</v>
      </c>
      <c r="J32" s="142">
        <f t="shared" si="6"/>
        <v>100</v>
      </c>
      <c r="K32" s="142">
        <v>9</v>
      </c>
      <c r="L32" s="142">
        <v>9</v>
      </c>
      <c r="M32" s="142">
        <v>9</v>
      </c>
      <c r="N32" s="143" t="e">
        <f t="shared" si="3"/>
        <v>#DIV/0!</v>
      </c>
      <c r="O32" s="143" t="e">
        <f t="shared" si="4"/>
        <v>#DIV/0!</v>
      </c>
      <c r="P32" s="143" t="e">
        <f t="shared" si="5"/>
        <v>#DIV/0!</v>
      </c>
      <c r="Q32" s="143">
        <f t="shared" si="7"/>
        <v>900</v>
      </c>
      <c r="R32" s="143"/>
      <c r="S32" s="143">
        <f t="shared" si="9"/>
        <v>100</v>
      </c>
      <c r="T32" s="143"/>
      <c r="U32" s="144">
        <f t="shared" si="10"/>
        <v>100</v>
      </c>
      <c r="V32" s="144">
        <f t="shared" si="11"/>
        <v>100</v>
      </c>
    </row>
    <row r="33" spans="1:22" ht="42.75" hidden="1">
      <c r="A33" s="149" t="s">
        <v>540</v>
      </c>
      <c r="B33" s="38"/>
      <c r="C33" s="148">
        <v>-0.18635</v>
      </c>
      <c r="D33" s="142">
        <v>-0.18635</v>
      </c>
      <c r="E33" s="142"/>
      <c r="F33" s="142">
        <v>0.39702</v>
      </c>
      <c r="G33" s="142"/>
      <c r="H33" s="142"/>
      <c r="I33" s="142">
        <f t="shared" si="14"/>
        <v>0</v>
      </c>
      <c r="J33" s="142"/>
      <c r="K33" s="142"/>
      <c r="L33" s="142"/>
      <c r="M33" s="142"/>
      <c r="N33" s="143">
        <f t="shared" si="3"/>
        <v>0</v>
      </c>
      <c r="O33" s="143" t="e">
        <f t="shared" si="4"/>
        <v>#DIV/0!</v>
      </c>
      <c r="P33" s="143">
        <f t="shared" si="5"/>
        <v>-213.05071102763614</v>
      </c>
      <c r="Q33" s="143">
        <f t="shared" si="7"/>
        <v>0</v>
      </c>
      <c r="R33" s="143"/>
      <c r="S33" s="143" t="e">
        <f t="shared" si="9"/>
        <v>#DIV/0!</v>
      </c>
      <c r="T33" s="143"/>
      <c r="U33" s="144" t="e">
        <f t="shared" si="10"/>
        <v>#DIV/0!</v>
      </c>
      <c r="V33" s="144" t="e">
        <f t="shared" si="11"/>
        <v>#DIV/0!</v>
      </c>
    </row>
    <row r="34" spans="1:22" ht="15">
      <c r="A34" s="37" t="s">
        <v>66</v>
      </c>
      <c r="B34" s="38"/>
      <c r="C34" s="148">
        <v>2089.48023</v>
      </c>
      <c r="D34" s="142">
        <v>13593.44532</v>
      </c>
      <c r="E34" s="142">
        <v>3348.67673</v>
      </c>
      <c r="F34" s="142">
        <v>6625.75229</v>
      </c>
      <c r="G34" s="142">
        <v>18958.76</v>
      </c>
      <c r="H34" s="142">
        <v>15926.0354</v>
      </c>
      <c r="I34" s="142">
        <v>18958.76</v>
      </c>
      <c r="J34" s="142">
        <f t="shared" si="6"/>
        <v>100</v>
      </c>
      <c r="K34" s="142">
        <v>4048.25</v>
      </c>
      <c r="L34" s="142">
        <v>4075.82</v>
      </c>
      <c r="M34" s="142">
        <v>4075.82</v>
      </c>
      <c r="N34" s="143">
        <f t="shared" si="3"/>
        <v>160.26362355196824</v>
      </c>
      <c r="O34" s="143">
        <f t="shared" si="4"/>
        <v>475.59190343225515</v>
      </c>
      <c r="P34" s="143">
        <f t="shared" si="5"/>
        <v>48.74225874327495</v>
      </c>
      <c r="Q34" s="143">
        <f t="shared" si="7"/>
        <v>286.1374704365834</v>
      </c>
      <c r="R34" s="143"/>
      <c r="S34" s="143">
        <f t="shared" si="9"/>
        <v>21.352926035247034</v>
      </c>
      <c r="T34" s="143"/>
      <c r="U34" s="144">
        <f t="shared" si="10"/>
        <v>100.68103501512999</v>
      </c>
      <c r="V34" s="144">
        <f t="shared" si="11"/>
        <v>100</v>
      </c>
    </row>
  </sheetData>
  <sheetProtection/>
  <mergeCells count="13">
    <mergeCell ref="N7:V8"/>
    <mergeCell ref="D4:P4"/>
    <mergeCell ref="Q9:R9"/>
    <mergeCell ref="R14:R17"/>
    <mergeCell ref="S9:T9"/>
    <mergeCell ref="N1:U1"/>
    <mergeCell ref="N2:U3"/>
    <mergeCell ref="A7:A9"/>
    <mergeCell ref="B7:B9"/>
    <mergeCell ref="C7:D8"/>
    <mergeCell ref="E7:F8"/>
    <mergeCell ref="G7:J8"/>
    <mergeCell ref="K7:M8"/>
  </mergeCells>
  <printOptions/>
  <pageMargins left="0.31" right="0.16" top="0.2" bottom="0.34" header="0.31496062992125984" footer="0.31496062992125984"/>
  <pageSetup fitToHeight="0" fitToWidth="1" horizontalDpi="600" verticalDpi="600" orientation="landscape" paperSize="9" scale="39" r:id="rId1"/>
  <colBreaks count="3" manualBreakCount="3">
    <brk id="6" max="65535" man="1"/>
    <brk id="10" max="65535" man="1"/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="60" zoomScalePageLayoutView="0" workbookViewId="0" topLeftCell="A1">
      <selection activeCell="C8" sqref="C8"/>
    </sheetView>
  </sheetViews>
  <sheetFormatPr defaultColWidth="9.140625" defaultRowHeight="12.75"/>
  <cols>
    <col min="1" max="1" width="65.421875" style="1" customWidth="1"/>
    <col min="2" max="2" width="21.8515625" style="1" customWidth="1"/>
    <col min="3" max="3" width="34.00390625" style="1" customWidth="1"/>
    <col min="4" max="4" width="35.28125" style="1" customWidth="1"/>
    <col min="5" max="5" width="37.140625" style="1" customWidth="1"/>
    <col min="6" max="6" width="17.8515625" style="1" customWidth="1"/>
    <col min="7" max="16384" width="9.140625" style="1" customWidth="1"/>
  </cols>
  <sheetData>
    <row r="1" spans="1:5" ht="18.75">
      <c r="A1" s="2"/>
      <c r="B1" s="2"/>
      <c r="C1" s="3"/>
      <c r="D1" s="3"/>
      <c r="E1" s="4"/>
    </row>
    <row r="2" spans="1:6" ht="18.75" customHeight="1">
      <c r="A2" s="2"/>
      <c r="B2" s="2"/>
      <c r="C2" s="5"/>
      <c r="D2" s="5"/>
      <c r="E2" s="5"/>
      <c r="F2" s="6"/>
    </row>
    <row r="3" spans="1:7" ht="23.25" customHeight="1">
      <c r="A3" s="406" t="s">
        <v>556</v>
      </c>
      <c r="B3" s="406"/>
      <c r="C3" s="406"/>
      <c r="D3" s="406"/>
      <c r="E3" s="406"/>
      <c r="F3" s="7"/>
      <c r="G3" s="7"/>
    </row>
    <row r="4" spans="1:7" ht="12" customHeight="1" thickBot="1">
      <c r="A4" s="8"/>
      <c r="B4" s="8"/>
      <c r="C4" s="8"/>
      <c r="D4" s="8"/>
      <c r="E4" s="8"/>
      <c r="F4" s="7"/>
      <c r="G4" s="7"/>
    </row>
    <row r="5" spans="1:7" ht="101.25" customHeight="1" thickBot="1">
      <c r="A5" s="158" t="s">
        <v>0</v>
      </c>
      <c r="B5" s="158" t="s">
        <v>557</v>
      </c>
      <c r="C5" s="153" t="s">
        <v>552</v>
      </c>
      <c r="D5" s="153" t="s">
        <v>553</v>
      </c>
      <c r="E5" s="153" t="s">
        <v>554</v>
      </c>
      <c r="F5" s="7"/>
      <c r="G5" s="7"/>
    </row>
    <row r="6" spans="1:7" ht="54" customHeight="1">
      <c r="A6" s="407" t="s">
        <v>5</v>
      </c>
      <c r="B6" s="408"/>
      <c r="C6" s="409"/>
      <c r="D6" s="409"/>
      <c r="E6" s="410"/>
      <c r="F6" s="7"/>
      <c r="G6" s="7"/>
    </row>
    <row r="7" spans="1:7" ht="61.5" customHeight="1">
      <c r="A7" s="159" t="s">
        <v>9</v>
      </c>
      <c r="B7" s="10">
        <f>694130</f>
        <v>694130</v>
      </c>
      <c r="C7" s="10">
        <v>787981</v>
      </c>
      <c r="D7" s="11">
        <v>821184</v>
      </c>
      <c r="E7" s="11">
        <v>855812</v>
      </c>
      <c r="F7" s="7"/>
      <c r="G7" s="7"/>
    </row>
    <row r="8" spans="1:7" ht="77.25" customHeight="1">
      <c r="A8" s="159" t="s">
        <v>4</v>
      </c>
      <c r="B8" s="10">
        <v>83852</v>
      </c>
      <c r="C8" s="11">
        <f>B8*4/100+B8</f>
        <v>87206.08</v>
      </c>
      <c r="D8" s="11">
        <f>C8*4/100+C8</f>
        <v>90694.3232</v>
      </c>
      <c r="E8" s="11">
        <f>D8*4/100+D8</f>
        <v>94322.096128</v>
      </c>
      <c r="F8" s="7"/>
      <c r="G8" s="7"/>
    </row>
    <row r="9" spans="1:7" ht="53.25" customHeight="1">
      <c r="A9" s="159" t="s">
        <v>1</v>
      </c>
      <c r="B9" s="10">
        <f>B7-B8</f>
        <v>610278</v>
      </c>
      <c r="C9" s="10">
        <f>C7-C8</f>
        <v>700774.92</v>
      </c>
      <c r="D9" s="10">
        <f>D7-D8</f>
        <v>730489.6768</v>
      </c>
      <c r="E9" s="10">
        <f>E7-E8</f>
        <v>761489.903872</v>
      </c>
      <c r="F9" s="9"/>
      <c r="G9" s="7"/>
    </row>
    <row r="10" spans="1:7" ht="49.5" customHeight="1">
      <c r="A10" s="159" t="s">
        <v>3</v>
      </c>
      <c r="B10" s="10">
        <f>B9*13%</f>
        <v>79336.14</v>
      </c>
      <c r="C10" s="10">
        <f>C9*13%</f>
        <v>91100.73960000002</v>
      </c>
      <c r="D10" s="10">
        <f>D9*13%</f>
        <v>94963.657984</v>
      </c>
      <c r="E10" s="10">
        <f>E9*13%</f>
        <v>98993.68750336001</v>
      </c>
      <c r="F10" s="7"/>
      <c r="G10" s="7"/>
    </row>
    <row r="11" spans="1:7" ht="60" customHeight="1">
      <c r="A11" s="159" t="s">
        <v>8</v>
      </c>
      <c r="B11" s="10">
        <f>B10*97%</f>
        <v>76956.0558</v>
      </c>
      <c r="C11" s="10">
        <f>C10*97%</f>
        <v>88367.71741200001</v>
      </c>
      <c r="D11" s="10">
        <f>D10*97%</f>
        <v>92114.74824448</v>
      </c>
      <c r="E11" s="10">
        <f>E10*97%</f>
        <v>96023.87687825921</v>
      </c>
      <c r="F11" s="7"/>
      <c r="G11" s="7"/>
    </row>
    <row r="12" spans="1:7" ht="42" customHeight="1">
      <c r="A12" s="159" t="s">
        <v>2</v>
      </c>
      <c r="B12" s="10"/>
      <c r="C12" s="10"/>
      <c r="D12" s="12">
        <f>C12*53%</f>
        <v>0</v>
      </c>
      <c r="E12" s="11">
        <f>C12*2%</f>
        <v>0</v>
      </c>
      <c r="F12" s="7"/>
      <c r="G12" s="7"/>
    </row>
    <row r="13" spans="1:7" ht="96" customHeight="1">
      <c r="A13" s="155" t="s">
        <v>6</v>
      </c>
      <c r="B13" s="154">
        <f>B11+B12</f>
        <v>76956.0558</v>
      </c>
      <c r="C13" s="154">
        <f>C11+C12</f>
        <v>88367.71741200001</v>
      </c>
      <c r="D13" s="154">
        <f>D11+D12</f>
        <v>92114.74824448</v>
      </c>
      <c r="E13" s="154">
        <f>E11+E12</f>
        <v>96023.87687825921</v>
      </c>
      <c r="F13" s="7"/>
      <c r="G13" s="7"/>
    </row>
    <row r="14" spans="1:5" ht="20.25">
      <c r="A14" s="155" t="s">
        <v>555</v>
      </c>
      <c r="B14" s="156">
        <f>B13*53/100</f>
        <v>40786.709574</v>
      </c>
      <c r="C14" s="156">
        <f>C13*53/100</f>
        <v>46834.890228360004</v>
      </c>
      <c r="D14" s="156">
        <f>D13*53/100</f>
        <v>48820.8165695744</v>
      </c>
      <c r="E14" s="156">
        <f>E13*53/100</f>
        <v>50892.65474547738</v>
      </c>
    </row>
    <row r="16" spans="1:2" ht="18.75">
      <c r="A16" s="157" t="s">
        <v>558</v>
      </c>
      <c r="B16" s="160">
        <v>29540</v>
      </c>
    </row>
    <row r="17" spans="1:2" ht="18.75">
      <c r="A17" s="157" t="s">
        <v>559</v>
      </c>
      <c r="B17" s="160">
        <v>40939</v>
      </c>
    </row>
  </sheetData>
  <sheetProtection/>
  <mergeCells count="2">
    <mergeCell ref="A3:E3"/>
    <mergeCell ref="A6:E6"/>
  </mergeCells>
  <printOptions/>
  <pageMargins left="0.7" right="0.7" top="0.75" bottom="0.75" header="0.3" footer="0.3"/>
  <pageSetup horizontalDpi="600" verticalDpi="600" orientation="portrait" paperSize="9" scale="4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="60" zoomScalePageLayoutView="0" workbookViewId="0" topLeftCell="A1">
      <selection activeCell="F13" sqref="F13"/>
    </sheetView>
  </sheetViews>
  <sheetFormatPr defaultColWidth="9.140625" defaultRowHeight="12.75"/>
  <cols>
    <col min="5" max="5" width="32.00390625" style="0" customWidth="1"/>
    <col min="6" max="6" width="21.8515625" style="0" customWidth="1"/>
    <col min="7" max="7" width="17.140625" style="0" customWidth="1"/>
    <col min="8" max="8" width="18.00390625" style="0" customWidth="1"/>
    <col min="9" max="9" width="21.00390625" style="0" customWidth="1"/>
  </cols>
  <sheetData>
    <row r="1" spans="1:9" ht="15.75">
      <c r="A1" s="162"/>
      <c r="B1" s="162"/>
      <c r="C1" s="188"/>
      <c r="D1" s="188"/>
      <c r="E1" s="188"/>
      <c r="F1" s="188"/>
      <c r="G1" s="188"/>
      <c r="H1" s="188"/>
      <c r="I1" s="162"/>
    </row>
    <row r="2" spans="1:9" ht="15.75">
      <c r="A2" s="162"/>
      <c r="B2" s="162"/>
      <c r="C2" s="188"/>
      <c r="D2" s="188"/>
      <c r="E2" s="188"/>
      <c r="F2" s="188"/>
      <c r="G2" s="188"/>
      <c r="H2" s="292" t="s">
        <v>658</v>
      </c>
      <c r="I2" s="292"/>
    </row>
    <row r="3" spans="1:9" ht="15.75">
      <c r="A3" s="162"/>
      <c r="B3" s="162"/>
      <c r="C3" s="188"/>
      <c r="D3" s="188"/>
      <c r="E3" s="188"/>
      <c r="F3" s="188"/>
      <c r="G3" s="188"/>
      <c r="H3" s="292" t="s">
        <v>7</v>
      </c>
      <c r="I3" s="292"/>
    </row>
    <row r="4" spans="1:9" ht="15.75">
      <c r="A4" s="162"/>
      <c r="B4" s="162"/>
      <c r="C4" s="188"/>
      <c r="D4" s="188"/>
      <c r="E4" s="188"/>
      <c r="F4" s="188"/>
      <c r="G4" s="188"/>
      <c r="H4" s="255"/>
      <c r="I4" s="44" t="s">
        <v>659</v>
      </c>
    </row>
    <row r="5" spans="1:9" ht="15.75">
      <c r="A5" s="162"/>
      <c r="B5" s="162"/>
      <c r="C5" s="188"/>
      <c r="D5" s="188"/>
      <c r="E5" s="188"/>
      <c r="F5" s="188"/>
      <c r="G5" s="188"/>
      <c r="H5" s="255"/>
      <c r="I5" s="44" t="s">
        <v>660</v>
      </c>
    </row>
    <row r="6" spans="1:9" ht="15.75">
      <c r="A6" s="162"/>
      <c r="B6" s="162"/>
      <c r="C6" s="188"/>
      <c r="D6" s="188"/>
      <c r="E6" s="188"/>
      <c r="F6" s="188"/>
      <c r="G6" s="188"/>
      <c r="H6" s="255"/>
      <c r="I6" s="44" t="s">
        <v>661</v>
      </c>
    </row>
    <row r="7" spans="1:9" ht="15.75">
      <c r="A7" s="162"/>
      <c r="B7" s="162"/>
      <c r="C7" s="162"/>
      <c r="D7" s="162"/>
      <c r="E7" s="162"/>
      <c r="F7" s="162"/>
      <c r="G7" s="162"/>
      <c r="H7" s="162"/>
      <c r="I7" s="162"/>
    </row>
    <row r="8" spans="1:9" ht="18.75">
      <c r="A8" s="406" t="s">
        <v>662</v>
      </c>
      <c r="B8" s="406"/>
      <c r="C8" s="406"/>
      <c r="D8" s="406"/>
      <c r="E8" s="406"/>
      <c r="F8" s="406"/>
      <c r="G8" s="406"/>
      <c r="H8" s="406"/>
      <c r="I8" s="406"/>
    </row>
    <row r="9" spans="1:9" ht="16.5" thickBot="1">
      <c r="A9" s="256"/>
      <c r="B9" s="256"/>
      <c r="C9" s="256"/>
      <c r="D9" s="256"/>
      <c r="E9" s="256"/>
      <c r="F9" s="256"/>
      <c r="G9" s="256"/>
      <c r="H9" s="257"/>
      <c r="I9" s="257"/>
    </row>
    <row r="10" spans="1:9" ht="54" customHeight="1">
      <c r="A10" s="411" t="s">
        <v>0</v>
      </c>
      <c r="B10" s="412"/>
      <c r="C10" s="412"/>
      <c r="D10" s="412"/>
      <c r="E10" s="412"/>
      <c r="F10" s="415" t="s">
        <v>663</v>
      </c>
      <c r="G10" s="415"/>
      <c r="H10" s="415" t="s">
        <v>664</v>
      </c>
      <c r="I10" s="416"/>
    </row>
    <row r="11" spans="1:9" ht="111.75" customHeight="1" thickBot="1">
      <c r="A11" s="413"/>
      <c r="B11" s="414"/>
      <c r="C11" s="414"/>
      <c r="D11" s="414"/>
      <c r="E11" s="414"/>
      <c r="F11" s="258" t="s">
        <v>665</v>
      </c>
      <c r="G11" s="258" t="s">
        <v>666</v>
      </c>
      <c r="H11" s="258" t="s">
        <v>665</v>
      </c>
      <c r="I11" s="258" t="s">
        <v>667</v>
      </c>
    </row>
    <row r="12" spans="1:9" ht="58.5" customHeight="1">
      <c r="A12" s="417" t="s">
        <v>5</v>
      </c>
      <c r="B12" s="418"/>
      <c r="C12" s="418"/>
      <c r="D12" s="418"/>
      <c r="E12" s="418"/>
      <c r="F12" s="418"/>
      <c r="G12" s="418"/>
      <c r="H12" s="418"/>
      <c r="I12" s="419"/>
    </row>
    <row r="13" spans="1:9" ht="75.75" customHeight="1">
      <c r="A13" s="305" t="s">
        <v>668</v>
      </c>
      <c r="B13" s="306"/>
      <c r="C13" s="306"/>
      <c r="D13" s="306"/>
      <c r="E13" s="307"/>
      <c r="F13" s="259">
        <v>840400</v>
      </c>
      <c r="G13" s="260" t="s">
        <v>669</v>
      </c>
      <c r="H13" s="259">
        <v>882420</v>
      </c>
      <c r="I13" s="260" t="s">
        <v>669</v>
      </c>
    </row>
    <row r="14" spans="1:9" ht="84" customHeight="1">
      <c r="A14" s="420" t="s">
        <v>4</v>
      </c>
      <c r="B14" s="421"/>
      <c r="C14" s="421"/>
      <c r="D14" s="421"/>
      <c r="E14" s="421"/>
      <c r="F14" s="259">
        <v>92442</v>
      </c>
      <c r="G14" s="260" t="s">
        <v>669</v>
      </c>
      <c r="H14" s="259">
        <v>97066</v>
      </c>
      <c r="I14" s="260" t="s">
        <v>669</v>
      </c>
    </row>
    <row r="15" spans="1:9" ht="40.5" customHeight="1">
      <c r="A15" s="422" t="s">
        <v>1</v>
      </c>
      <c r="B15" s="423"/>
      <c r="C15" s="423"/>
      <c r="D15" s="423"/>
      <c r="E15" s="423"/>
      <c r="F15" s="259">
        <v>747958</v>
      </c>
      <c r="G15" s="260" t="s">
        <v>669</v>
      </c>
      <c r="H15" s="259">
        <v>785354</v>
      </c>
      <c r="I15" s="260" t="s">
        <v>669</v>
      </c>
    </row>
    <row r="16" spans="1:9" ht="44.25" customHeight="1">
      <c r="A16" s="422" t="s">
        <v>3</v>
      </c>
      <c r="B16" s="423"/>
      <c r="C16" s="423"/>
      <c r="D16" s="423"/>
      <c r="E16" s="423"/>
      <c r="F16" s="259">
        <v>97235</v>
      </c>
      <c r="G16" s="260">
        <v>51534.5</v>
      </c>
      <c r="H16" s="259">
        <v>102096</v>
      </c>
      <c r="I16" s="260">
        <v>54110.9</v>
      </c>
    </row>
    <row r="17" spans="1:9" ht="64.5" customHeight="1">
      <c r="A17" s="305" t="s">
        <v>670</v>
      </c>
      <c r="B17" s="286"/>
      <c r="C17" s="286"/>
      <c r="D17" s="286"/>
      <c r="E17" s="287"/>
      <c r="F17" s="261">
        <v>-1358.5</v>
      </c>
      <c r="G17" s="262">
        <v>-720</v>
      </c>
      <c r="H17" s="261">
        <v>-1385</v>
      </c>
      <c r="I17" s="260">
        <v>-734</v>
      </c>
    </row>
    <row r="18" spans="1:9" ht="57" customHeight="1">
      <c r="A18" s="430" t="s">
        <v>2</v>
      </c>
      <c r="B18" s="431"/>
      <c r="C18" s="431"/>
      <c r="D18" s="431"/>
      <c r="E18" s="432"/>
      <c r="F18" s="261">
        <v>0</v>
      </c>
      <c r="G18" s="262">
        <v>0</v>
      </c>
      <c r="H18" s="261">
        <v>0</v>
      </c>
      <c r="I18" s="260">
        <v>0</v>
      </c>
    </row>
    <row r="19" spans="1:9" ht="103.5" customHeight="1" thickBot="1">
      <c r="A19" s="424" t="s">
        <v>6</v>
      </c>
      <c r="B19" s="425"/>
      <c r="C19" s="425"/>
      <c r="D19" s="425"/>
      <c r="E19" s="426"/>
      <c r="F19" s="263">
        <f>F16+F17</f>
        <v>95876.5</v>
      </c>
      <c r="G19" s="263">
        <f>G16+G17</f>
        <v>50814.5</v>
      </c>
      <c r="H19" s="263">
        <f>H16+H17</f>
        <v>100711</v>
      </c>
      <c r="I19" s="264">
        <f>I16+I17</f>
        <v>53376.9</v>
      </c>
    </row>
    <row r="20" spans="1:9" ht="37.5" customHeight="1" thickBot="1">
      <c r="A20" s="433" t="s">
        <v>671</v>
      </c>
      <c r="B20" s="434"/>
      <c r="C20" s="434"/>
      <c r="D20" s="434"/>
      <c r="E20" s="434"/>
      <c r="F20" s="434"/>
      <c r="G20" s="434"/>
      <c r="H20" s="434"/>
      <c r="I20" s="435"/>
    </row>
    <row r="21" spans="1:9" ht="150.75" customHeight="1">
      <c r="A21" s="436" t="s">
        <v>672</v>
      </c>
      <c r="B21" s="437"/>
      <c r="C21" s="437"/>
      <c r="D21" s="437"/>
      <c r="E21" s="438"/>
      <c r="F21" s="265">
        <v>305.6</v>
      </c>
      <c r="G21" s="266">
        <v>161.9</v>
      </c>
      <c r="H21" s="265">
        <v>311.7</v>
      </c>
      <c r="I21" s="266">
        <v>165.2</v>
      </c>
    </row>
    <row r="22" spans="1:9" ht="106.5" customHeight="1">
      <c r="A22" s="420" t="s">
        <v>673</v>
      </c>
      <c r="B22" s="439"/>
      <c r="C22" s="439"/>
      <c r="D22" s="439"/>
      <c r="E22" s="440"/>
      <c r="F22" s="259">
        <v>1224.3</v>
      </c>
      <c r="G22" s="260">
        <v>648.9</v>
      </c>
      <c r="H22" s="259">
        <v>1248.6</v>
      </c>
      <c r="I22" s="260">
        <v>661.8</v>
      </c>
    </row>
    <row r="23" spans="1:9" ht="106.5" customHeight="1">
      <c r="A23" s="441" t="s">
        <v>674</v>
      </c>
      <c r="B23" s="439"/>
      <c r="C23" s="439"/>
      <c r="D23" s="439"/>
      <c r="E23" s="440"/>
      <c r="F23" s="259"/>
      <c r="G23" s="260"/>
      <c r="H23" s="259"/>
      <c r="I23" s="260"/>
    </row>
    <row r="24" spans="1:9" ht="51.75" customHeight="1" thickBot="1">
      <c r="A24" s="424" t="s">
        <v>675</v>
      </c>
      <c r="B24" s="425"/>
      <c r="C24" s="425"/>
      <c r="D24" s="425"/>
      <c r="E24" s="426"/>
      <c r="F24" s="263">
        <f>F21+F22</f>
        <v>1529.9</v>
      </c>
      <c r="G24" s="263">
        <f>G21+G22</f>
        <v>810.8</v>
      </c>
      <c r="H24" s="263">
        <f>H21+H22</f>
        <v>1560.3</v>
      </c>
      <c r="I24" s="263">
        <f>I21+I22</f>
        <v>827</v>
      </c>
    </row>
    <row r="25" spans="1:9" ht="69.75" customHeight="1" thickBot="1">
      <c r="A25" s="427" t="s">
        <v>676</v>
      </c>
      <c r="B25" s="428"/>
      <c r="C25" s="428"/>
      <c r="D25" s="428"/>
      <c r="E25" s="429"/>
      <c r="F25" s="267">
        <f>F19+F24</f>
        <v>97406.4</v>
      </c>
      <c r="G25" s="267">
        <f>G19+G24</f>
        <v>51625.3</v>
      </c>
      <c r="H25" s="267">
        <f>H24+H19</f>
        <v>102271.3</v>
      </c>
      <c r="I25" s="268">
        <f>I24+I19</f>
        <v>54203.9</v>
      </c>
    </row>
  </sheetData>
  <sheetProtection/>
  <mergeCells count="20">
    <mergeCell ref="A24:E24"/>
    <mergeCell ref="A25:E25"/>
    <mergeCell ref="A18:E18"/>
    <mergeCell ref="A19:E19"/>
    <mergeCell ref="A20:I20"/>
    <mergeCell ref="A21:E21"/>
    <mergeCell ref="A22:E22"/>
    <mergeCell ref="A23:E23"/>
    <mergeCell ref="A12:I12"/>
    <mergeCell ref="A13:E13"/>
    <mergeCell ref="A14:E14"/>
    <mergeCell ref="A15:E15"/>
    <mergeCell ref="A16:E16"/>
    <mergeCell ref="A17:E17"/>
    <mergeCell ref="H2:I2"/>
    <mergeCell ref="H3:I3"/>
    <mergeCell ref="A8:I8"/>
    <mergeCell ref="A10:E11"/>
    <mergeCell ref="F10:G10"/>
    <mergeCell ref="H10:I10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59"/>
  <sheetViews>
    <sheetView view="pageBreakPreview" zoomScale="60" zoomScalePageLayoutView="0" workbookViewId="0" topLeftCell="A37">
      <selection activeCell="C2" sqref="C2"/>
    </sheetView>
  </sheetViews>
  <sheetFormatPr defaultColWidth="9.140625" defaultRowHeight="12.75"/>
  <cols>
    <col min="1" max="1" width="8.7109375" style="13" customWidth="1"/>
    <col min="2" max="2" width="88.140625" style="1" customWidth="1"/>
    <col min="3" max="3" width="43.57421875" style="1" customWidth="1"/>
    <col min="4" max="16384" width="9.140625" style="1" customWidth="1"/>
  </cols>
  <sheetData>
    <row r="1" ht="18.75">
      <c r="C1" s="163" t="s">
        <v>644</v>
      </c>
    </row>
    <row r="2" ht="81.75" customHeight="1">
      <c r="C2" s="208" t="s">
        <v>645</v>
      </c>
    </row>
    <row r="3" spans="1:3" ht="67.5" customHeight="1">
      <c r="A3" s="1"/>
      <c r="B3" s="311" t="s">
        <v>579</v>
      </c>
      <c r="C3" s="311"/>
    </row>
    <row r="4" spans="2:3" ht="13.5" customHeight="1" thickBot="1">
      <c r="B4" s="14"/>
      <c r="C4" s="14"/>
    </row>
    <row r="5" spans="1:3" s="13" customFormat="1" ht="109.5" customHeight="1" thickBot="1">
      <c r="A5" s="217" t="s">
        <v>10</v>
      </c>
      <c r="B5" s="218" t="s">
        <v>0</v>
      </c>
      <c r="C5" s="219" t="s">
        <v>642</v>
      </c>
    </row>
    <row r="6" spans="1:3" s="13" customFormat="1" ht="24.75" customHeight="1">
      <c r="A6" s="15">
        <v>1</v>
      </c>
      <c r="B6" s="16" t="s">
        <v>600</v>
      </c>
      <c r="C6" s="232">
        <f>C8/C7*100</f>
        <v>1.5404565772348109</v>
      </c>
    </row>
    <row r="7" spans="1:3" ht="40.5" customHeight="1">
      <c r="A7" s="17">
        <v>2</v>
      </c>
      <c r="B7" s="18" t="s">
        <v>560</v>
      </c>
      <c r="C7" s="226">
        <v>2883499</v>
      </c>
    </row>
    <row r="8" spans="1:3" ht="18.75">
      <c r="A8" s="312">
        <v>3</v>
      </c>
      <c r="B8" s="19" t="s">
        <v>598</v>
      </c>
      <c r="C8" s="314">
        <v>44419.05</v>
      </c>
    </row>
    <row r="9" spans="1:3" ht="18.75">
      <c r="A9" s="313"/>
      <c r="B9" s="19" t="s">
        <v>11</v>
      </c>
      <c r="C9" s="314"/>
    </row>
    <row r="10" spans="1:3" ht="38.25" customHeight="1">
      <c r="A10" s="222">
        <v>4</v>
      </c>
      <c r="B10" s="20" t="s">
        <v>599</v>
      </c>
      <c r="C10" s="227">
        <v>12813.55</v>
      </c>
    </row>
    <row r="11" spans="1:3" ht="38.25" customHeight="1">
      <c r="A11" s="220">
        <v>5</v>
      </c>
      <c r="B11" s="16" t="s">
        <v>601</v>
      </c>
      <c r="C11" s="228">
        <f>C13/C12*100</f>
        <v>1.9836998818329614</v>
      </c>
    </row>
    <row r="12" spans="1:3" ht="38.25" customHeight="1">
      <c r="A12" s="17">
        <v>6</v>
      </c>
      <c r="B12" s="21" t="s">
        <v>561</v>
      </c>
      <c r="C12" s="226">
        <v>2807940.38</v>
      </c>
    </row>
    <row r="13" spans="1:3" ht="21.75" customHeight="1">
      <c r="A13" s="315">
        <v>7</v>
      </c>
      <c r="B13" s="19" t="s">
        <v>562</v>
      </c>
      <c r="C13" s="317">
        <v>55701.11</v>
      </c>
    </row>
    <row r="14" spans="1:3" ht="21" customHeight="1">
      <c r="A14" s="316"/>
      <c r="B14" s="19" t="s">
        <v>11</v>
      </c>
      <c r="C14" s="317"/>
    </row>
    <row r="15" spans="1:3" ht="46.5" customHeight="1">
      <c r="A15" s="22">
        <v>8</v>
      </c>
      <c r="B15" s="20" t="s">
        <v>602</v>
      </c>
      <c r="C15" s="229">
        <v>42887.56</v>
      </c>
    </row>
    <row r="16" spans="1:3" ht="70.5" customHeight="1">
      <c r="A16" s="22">
        <v>9</v>
      </c>
      <c r="B16" s="20" t="s">
        <v>605</v>
      </c>
      <c r="C16" s="229">
        <v>210</v>
      </c>
    </row>
    <row r="17" spans="1:3" ht="42.75" customHeight="1">
      <c r="A17" s="15">
        <v>10</v>
      </c>
      <c r="B17" s="18" t="s">
        <v>606</v>
      </c>
      <c r="C17" s="229">
        <f>C10+C15+C16</f>
        <v>55911.11</v>
      </c>
    </row>
    <row r="18" spans="1:3" ht="28.5" customHeight="1">
      <c r="A18" s="15">
        <v>11</v>
      </c>
      <c r="B18" s="18" t="s">
        <v>12</v>
      </c>
      <c r="C18" s="230">
        <v>95</v>
      </c>
    </row>
    <row r="19" spans="1:3" s="2" customFormat="1" ht="42.75" customHeight="1">
      <c r="A19" s="22">
        <v>12</v>
      </c>
      <c r="B19" s="20" t="s">
        <v>607</v>
      </c>
      <c r="C19" s="231">
        <f>C17*C18%</f>
        <v>53115.5545</v>
      </c>
    </row>
    <row r="20" spans="1:3" s="23" customFormat="1" ht="24.75" customHeight="1">
      <c r="A20" s="15">
        <v>13</v>
      </c>
      <c r="B20" s="18" t="s">
        <v>13</v>
      </c>
      <c r="C20" s="227">
        <v>0</v>
      </c>
    </row>
    <row r="21" spans="1:3" ht="41.25" customHeight="1" thickBot="1">
      <c r="A21" s="221">
        <v>14</v>
      </c>
      <c r="B21" s="19" t="s">
        <v>604</v>
      </c>
      <c r="C21" s="233">
        <f>C19+C20</f>
        <v>53115.5545</v>
      </c>
    </row>
    <row r="22" spans="1:3" ht="54.75" customHeight="1" thickBot="1">
      <c r="A22" s="223">
        <v>15</v>
      </c>
      <c r="B22" s="224" t="s">
        <v>608</v>
      </c>
      <c r="C22" s="225">
        <f>C21*50%</f>
        <v>26557.77725</v>
      </c>
    </row>
    <row r="23" spans="1:3" ht="18.75">
      <c r="A23" s="15">
        <v>1</v>
      </c>
      <c r="B23" s="16" t="s">
        <v>601</v>
      </c>
      <c r="C23" s="232">
        <f>C25/C24*100</f>
        <v>1.9836995257000434</v>
      </c>
    </row>
    <row r="24" spans="1:3" ht="37.5">
      <c r="A24" s="17">
        <v>2</v>
      </c>
      <c r="B24" s="18" t="s">
        <v>561</v>
      </c>
      <c r="C24" s="226">
        <v>2807940.38</v>
      </c>
    </row>
    <row r="25" spans="1:3" ht="18.75">
      <c r="A25" s="312">
        <v>3</v>
      </c>
      <c r="B25" s="19" t="s">
        <v>624</v>
      </c>
      <c r="C25" s="314">
        <v>55701.1</v>
      </c>
    </row>
    <row r="26" spans="1:3" ht="18.75">
      <c r="A26" s="313"/>
      <c r="B26" s="19" t="s">
        <v>11</v>
      </c>
      <c r="C26" s="314"/>
    </row>
    <row r="27" spans="1:3" ht="37.5">
      <c r="A27" s="222">
        <v>4</v>
      </c>
      <c r="B27" s="20" t="s">
        <v>625</v>
      </c>
      <c r="C27" s="227">
        <v>13925.28</v>
      </c>
    </row>
    <row r="28" spans="1:3" ht="18.75">
      <c r="A28" s="220">
        <v>5</v>
      </c>
      <c r="B28" s="16" t="s">
        <v>626</v>
      </c>
      <c r="C28" s="228">
        <f>C30/C29*100</f>
        <v>1.9837086528768964</v>
      </c>
    </row>
    <row r="29" spans="1:3" ht="37.5">
      <c r="A29" s="17">
        <v>6</v>
      </c>
      <c r="B29" s="21" t="s">
        <v>623</v>
      </c>
      <c r="C29" s="226">
        <v>2914641.72</v>
      </c>
    </row>
    <row r="30" spans="1:3" ht="18.75">
      <c r="A30" s="315">
        <v>7</v>
      </c>
      <c r="B30" s="19" t="s">
        <v>627</v>
      </c>
      <c r="C30" s="317">
        <v>57818</v>
      </c>
    </row>
    <row r="31" spans="1:3" ht="18.75">
      <c r="A31" s="316"/>
      <c r="B31" s="19" t="s">
        <v>11</v>
      </c>
      <c r="C31" s="317"/>
    </row>
    <row r="32" spans="1:3" ht="37.5">
      <c r="A32" s="22">
        <v>8</v>
      </c>
      <c r="B32" s="20" t="s">
        <v>628</v>
      </c>
      <c r="C32" s="229">
        <f>C30/4*3</f>
        <v>43363.5</v>
      </c>
    </row>
    <row r="33" spans="1:3" ht="56.25">
      <c r="A33" s="22">
        <v>9</v>
      </c>
      <c r="B33" s="20" t="s">
        <v>605</v>
      </c>
      <c r="C33" s="229">
        <v>0</v>
      </c>
    </row>
    <row r="34" spans="1:3" ht="37.5">
      <c r="A34" s="15">
        <v>10</v>
      </c>
      <c r="B34" s="18" t="s">
        <v>629</v>
      </c>
      <c r="C34" s="229">
        <f>C27+C32+C33</f>
        <v>57288.78</v>
      </c>
    </row>
    <row r="35" spans="1:3" ht="18.75">
      <c r="A35" s="15">
        <v>11</v>
      </c>
      <c r="B35" s="18" t="s">
        <v>12</v>
      </c>
      <c r="C35" s="230">
        <v>95</v>
      </c>
    </row>
    <row r="36" spans="1:3" ht="37.5">
      <c r="A36" s="22">
        <v>12</v>
      </c>
      <c r="B36" s="20" t="s">
        <v>630</v>
      </c>
      <c r="C36" s="231">
        <f>C34*C35%</f>
        <v>54424.34099999999</v>
      </c>
    </row>
    <row r="37" spans="1:3" ht="37.5">
      <c r="A37" s="15">
        <v>13</v>
      </c>
      <c r="B37" s="18" t="s">
        <v>13</v>
      </c>
      <c r="C37" s="227">
        <v>0</v>
      </c>
    </row>
    <row r="38" spans="1:3" ht="38.25" thickBot="1">
      <c r="A38" s="221">
        <v>14</v>
      </c>
      <c r="B38" s="19" t="s">
        <v>631</v>
      </c>
      <c r="C38" s="233">
        <f>C36+C37</f>
        <v>54424.34099999999</v>
      </c>
    </row>
    <row r="39" spans="1:3" ht="38.25" thickBot="1">
      <c r="A39" s="223">
        <v>15</v>
      </c>
      <c r="B39" s="224" t="s">
        <v>632</v>
      </c>
      <c r="C39" s="225">
        <f>C38*50%</f>
        <v>27212.170499999997</v>
      </c>
    </row>
    <row r="40" spans="1:3" ht="18.75">
      <c r="A40" s="15">
        <v>1</v>
      </c>
      <c r="B40" s="16" t="s">
        <v>626</v>
      </c>
      <c r="C40" s="232">
        <f>C42/C41*100</f>
        <v>1.9837084623085786</v>
      </c>
    </row>
    <row r="41" spans="1:3" ht="37.5">
      <c r="A41" s="17">
        <v>2</v>
      </c>
      <c r="B41" s="18" t="s">
        <v>623</v>
      </c>
      <c r="C41" s="226">
        <v>2914642</v>
      </c>
    </row>
    <row r="42" spans="1:3" ht="18.75">
      <c r="A42" s="312">
        <v>3</v>
      </c>
      <c r="B42" s="19" t="s">
        <v>633</v>
      </c>
      <c r="C42" s="314">
        <v>57818</v>
      </c>
    </row>
    <row r="43" spans="1:3" ht="18.75">
      <c r="A43" s="313"/>
      <c r="B43" s="19" t="s">
        <v>11</v>
      </c>
      <c r="C43" s="314"/>
    </row>
    <row r="44" spans="1:3" ht="37.5">
      <c r="A44" s="222">
        <v>4</v>
      </c>
      <c r="B44" s="20" t="s">
        <v>634</v>
      </c>
      <c r="C44" s="227">
        <f>C42/4</f>
        <v>14454.5</v>
      </c>
    </row>
    <row r="45" spans="1:3" ht="18.75">
      <c r="A45" s="220">
        <v>5</v>
      </c>
      <c r="B45" s="16" t="s">
        <v>635</v>
      </c>
      <c r="C45" s="228">
        <f>C47/C46*100</f>
        <v>1.9791018612833369</v>
      </c>
    </row>
    <row r="46" spans="1:3" ht="37.5">
      <c r="A46" s="17">
        <v>6</v>
      </c>
      <c r="B46" s="21" t="s">
        <v>636</v>
      </c>
      <c r="C46" s="226">
        <f>3031228+177096</f>
        <v>3208324</v>
      </c>
    </row>
    <row r="47" spans="1:3" ht="18.75">
      <c r="A47" s="315">
        <v>7</v>
      </c>
      <c r="B47" s="19" t="s">
        <v>643</v>
      </c>
      <c r="C47" s="317">
        <f>60131+3365</f>
        <v>63496</v>
      </c>
    </row>
    <row r="48" spans="1:3" ht="18.75">
      <c r="A48" s="316"/>
      <c r="B48" s="19" t="s">
        <v>11</v>
      </c>
      <c r="C48" s="317"/>
    </row>
    <row r="49" spans="1:3" ht="47.25" customHeight="1">
      <c r="A49" s="22">
        <v>8</v>
      </c>
      <c r="B49" s="20" t="s">
        <v>637</v>
      </c>
      <c r="C49" s="229">
        <f>C47/4*3</f>
        <v>47622</v>
      </c>
    </row>
    <row r="50" spans="1:3" ht="56.25">
      <c r="A50" s="22">
        <v>9</v>
      </c>
      <c r="B50" s="20" t="s">
        <v>605</v>
      </c>
      <c r="C50" s="229">
        <v>0</v>
      </c>
    </row>
    <row r="51" spans="1:3" ht="37.5">
      <c r="A51" s="15">
        <v>10</v>
      </c>
      <c r="B51" s="18" t="s">
        <v>638</v>
      </c>
      <c r="C51" s="229">
        <f>C44+C49+C50</f>
        <v>62076.5</v>
      </c>
    </row>
    <row r="52" spans="1:3" ht="18.75">
      <c r="A52" s="15">
        <v>11</v>
      </c>
      <c r="B52" s="18" t="s">
        <v>12</v>
      </c>
      <c r="C52" s="230">
        <v>95</v>
      </c>
    </row>
    <row r="53" spans="1:3" ht="37.5">
      <c r="A53" s="22">
        <v>12</v>
      </c>
      <c r="B53" s="20" t="s">
        <v>639</v>
      </c>
      <c r="C53" s="231">
        <f>C51*C52%</f>
        <v>58972.674999999996</v>
      </c>
    </row>
    <row r="54" spans="1:3" ht="37.5">
      <c r="A54" s="15">
        <v>13</v>
      </c>
      <c r="B54" s="18" t="s">
        <v>13</v>
      </c>
      <c r="C54" s="227">
        <v>0</v>
      </c>
    </row>
    <row r="55" spans="1:3" ht="38.25" thickBot="1">
      <c r="A55" s="221">
        <v>14</v>
      </c>
      <c r="B55" s="19" t="s">
        <v>640</v>
      </c>
      <c r="C55" s="233">
        <f>C53+C54</f>
        <v>58972.674999999996</v>
      </c>
    </row>
    <row r="56" spans="1:3" ht="38.25" thickBot="1">
      <c r="A56" s="223">
        <v>15</v>
      </c>
      <c r="B56" s="224" t="s">
        <v>641</v>
      </c>
      <c r="C56" s="225">
        <f>C55*50%</f>
        <v>29486.337499999998</v>
      </c>
    </row>
    <row r="57" spans="2:3" ht="18.75">
      <c r="B57" s="199"/>
      <c r="C57" s="207"/>
    </row>
    <row r="58" spans="2:3" ht="18.75">
      <c r="B58" s="199"/>
      <c r="C58" s="207"/>
    </row>
    <row r="59" spans="2:3" ht="18.75">
      <c r="B59" s="47"/>
      <c r="C59" s="47"/>
    </row>
  </sheetData>
  <sheetProtection/>
  <mergeCells count="13">
    <mergeCell ref="A47:A48"/>
    <mergeCell ref="C47:C48"/>
    <mergeCell ref="A30:A31"/>
    <mergeCell ref="C30:C31"/>
    <mergeCell ref="A42:A43"/>
    <mergeCell ref="C42:C43"/>
    <mergeCell ref="B3:C3"/>
    <mergeCell ref="A8:A9"/>
    <mergeCell ref="C8:C9"/>
    <mergeCell ref="A13:A14"/>
    <mergeCell ref="C13:C14"/>
    <mergeCell ref="A25:A26"/>
    <mergeCell ref="C25:C26"/>
  </mergeCells>
  <printOptions/>
  <pageMargins left="1.1811023622047245" right="0.6299212598425197" top="0.9448818897637796" bottom="0.9448818897637796" header="0" footer="0"/>
  <pageSetup fitToHeight="2" fitToWidth="1" horizontalDpi="600" verticalDpi="600" orientation="portrait" paperSize="9" scale="59" r:id="rId1"/>
  <rowBreaks count="1" manualBreakCount="1">
    <brk id="39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41"/>
  <sheetViews>
    <sheetView view="pageBreakPreview" zoomScale="60" zoomScalePageLayoutView="0" workbookViewId="0" topLeftCell="H19">
      <selection activeCell="X11" sqref="X11"/>
    </sheetView>
  </sheetViews>
  <sheetFormatPr defaultColWidth="9.140625" defaultRowHeight="12.75"/>
  <cols>
    <col min="1" max="1" width="3.57421875" style="0" customWidth="1"/>
    <col min="2" max="2" width="49.421875" style="0" customWidth="1"/>
    <col min="3" max="3" width="14.57421875" style="0" hidden="1" customWidth="1"/>
    <col min="4" max="4" width="14.140625" style="0" hidden="1" customWidth="1"/>
    <col min="5" max="5" width="16.421875" style="0" hidden="1" customWidth="1"/>
    <col min="6" max="7" width="13.8515625" style="0" hidden="1" customWidth="1"/>
    <col min="8" max="8" width="18.421875" style="47" customWidth="1"/>
    <col min="9" max="9" width="18.57421875" style="47" customWidth="1"/>
    <col min="10" max="10" width="18.57421875" style="0" customWidth="1"/>
    <col min="11" max="11" width="10.421875" style="0" customWidth="1"/>
    <col min="12" max="12" width="11.7109375" style="0" customWidth="1"/>
    <col min="13" max="13" width="11.57421875" style="241" customWidth="1"/>
    <col min="14" max="14" width="12.7109375" style="241" customWidth="1"/>
    <col min="15" max="15" width="11.28125" style="241" customWidth="1"/>
    <col min="16" max="16" width="12.28125" style="241" customWidth="1"/>
    <col min="17" max="22" width="10.421875" style="241" customWidth="1"/>
    <col min="23" max="244" width="10.421875" style="0" customWidth="1"/>
  </cols>
  <sheetData>
    <row r="1" spans="1:10" ht="15.75">
      <c r="A1" s="162"/>
      <c r="B1" s="162"/>
      <c r="C1" s="162"/>
      <c r="D1" s="162"/>
      <c r="E1" s="162"/>
      <c r="F1" s="162"/>
      <c r="G1" s="162"/>
      <c r="H1" s="173"/>
      <c r="I1" s="335" t="s">
        <v>566</v>
      </c>
      <c r="J1" s="336"/>
    </row>
    <row r="2" spans="1:22" s="42" customFormat="1" ht="60.75" customHeight="1">
      <c r="A2" s="40"/>
      <c r="B2" s="41"/>
      <c r="F2" s="48"/>
      <c r="G2" s="48"/>
      <c r="H2" s="337" t="s">
        <v>563</v>
      </c>
      <c r="I2" s="336"/>
      <c r="J2" s="336"/>
      <c r="M2" s="242"/>
      <c r="N2" s="242" t="s">
        <v>618</v>
      </c>
      <c r="O2" s="242" t="s">
        <v>619</v>
      </c>
      <c r="P2" s="242"/>
      <c r="Q2" s="242"/>
      <c r="R2" s="242"/>
      <c r="S2" s="242"/>
      <c r="T2" s="242"/>
      <c r="U2" s="242"/>
      <c r="V2" s="242"/>
    </row>
    <row r="3" spans="1:15" ht="54.75" customHeight="1">
      <c r="A3" s="162"/>
      <c r="B3" s="322" t="s">
        <v>564</v>
      </c>
      <c r="C3" s="322"/>
      <c r="D3" s="322"/>
      <c r="E3" s="322"/>
      <c r="F3" s="322"/>
      <c r="G3" s="322"/>
      <c r="H3" s="322"/>
      <c r="I3" s="322"/>
      <c r="J3" s="322"/>
      <c r="N3" s="241">
        <v>9040</v>
      </c>
      <c r="O3" s="241">
        <f>O7-N3</f>
        <v>-787.6700000000001</v>
      </c>
    </row>
    <row r="4" spans="1:10" ht="15.75">
      <c r="A4" s="162"/>
      <c r="B4" s="162"/>
      <c r="C4" s="162"/>
      <c r="D4" s="162"/>
      <c r="E4" s="162"/>
      <c r="F4" s="162"/>
      <c r="G4" s="162"/>
      <c r="H4" s="173"/>
      <c r="I4" s="173"/>
      <c r="J4" s="162"/>
    </row>
    <row r="5" spans="1:15" ht="22.5" customHeight="1">
      <c r="A5" s="318" t="s">
        <v>10</v>
      </c>
      <c r="B5" s="323" t="s">
        <v>0</v>
      </c>
      <c r="C5" s="323" t="s">
        <v>132</v>
      </c>
      <c r="D5" s="325" t="s">
        <v>133</v>
      </c>
      <c r="E5" s="326"/>
      <c r="F5" s="327"/>
      <c r="G5" s="334">
        <v>2013</v>
      </c>
      <c r="H5" s="320" t="s">
        <v>580</v>
      </c>
      <c r="I5" s="320" t="s">
        <v>603</v>
      </c>
      <c r="J5" s="320" t="s">
        <v>581</v>
      </c>
      <c r="O5" s="241" t="s">
        <v>613</v>
      </c>
    </row>
    <row r="6" spans="1:21" ht="54.75" customHeight="1">
      <c r="A6" s="319"/>
      <c r="B6" s="324"/>
      <c r="C6" s="324"/>
      <c r="D6" s="328"/>
      <c r="E6" s="329"/>
      <c r="F6" s="330"/>
      <c r="G6" s="334"/>
      <c r="H6" s="321"/>
      <c r="I6" s="321"/>
      <c r="J6" s="321"/>
      <c r="N6" s="253"/>
      <c r="O6" s="254" t="s">
        <v>622</v>
      </c>
      <c r="P6" s="253" t="s">
        <v>614</v>
      </c>
      <c r="Q6" s="253" t="s">
        <v>617</v>
      </c>
      <c r="R6" s="253"/>
      <c r="S6" s="253" t="s">
        <v>620</v>
      </c>
      <c r="T6" s="253" t="s">
        <v>614</v>
      </c>
      <c r="U6" s="253" t="s">
        <v>621</v>
      </c>
    </row>
    <row r="7" spans="1:21" ht="15.75">
      <c r="A7" s="164">
        <v>1</v>
      </c>
      <c r="B7" s="59" t="s">
        <v>567</v>
      </c>
      <c r="C7" s="59"/>
      <c r="D7" s="166"/>
      <c r="E7" s="166"/>
      <c r="F7" s="166"/>
      <c r="G7" s="166"/>
      <c r="H7" s="178">
        <f>H8+H9</f>
        <v>150963</v>
      </c>
      <c r="I7" s="178">
        <f>I8+I9</f>
        <v>156699</v>
      </c>
      <c r="J7" s="178">
        <f>J8+J9</f>
        <v>162967</v>
      </c>
      <c r="N7" s="253"/>
      <c r="O7" s="253">
        <f>O8+O9</f>
        <v>8252.33</v>
      </c>
      <c r="P7" s="253">
        <f>P8+P9</f>
        <v>103301</v>
      </c>
      <c r="Q7" s="253">
        <f>Q8+Q9</f>
        <v>107742.943</v>
      </c>
      <c r="R7" s="253"/>
      <c r="S7" s="253">
        <f>S8+S9</f>
        <v>9040</v>
      </c>
      <c r="T7" s="253">
        <f>T8+T9</f>
        <v>112696</v>
      </c>
      <c r="U7" s="253">
        <f>U8+U9</f>
        <v>117541.928</v>
      </c>
    </row>
    <row r="8" spans="1:21" ht="15.75">
      <c r="A8" s="164"/>
      <c r="B8" s="174" t="s">
        <v>134</v>
      </c>
      <c r="C8" s="175">
        <v>53602</v>
      </c>
      <c r="D8" s="176">
        <v>42299</v>
      </c>
      <c r="E8" s="176">
        <v>11303</v>
      </c>
      <c r="F8" s="177">
        <v>59051</v>
      </c>
      <c r="G8" s="177">
        <v>57165</v>
      </c>
      <c r="H8" s="178">
        <v>130240</v>
      </c>
      <c r="I8" s="178">
        <v>135189</v>
      </c>
      <c r="J8" s="178">
        <v>140597</v>
      </c>
      <c r="N8" s="253" t="s">
        <v>615</v>
      </c>
      <c r="O8" s="253">
        <v>4828.55</v>
      </c>
      <c r="P8" s="253">
        <v>80476</v>
      </c>
      <c r="Q8" s="253">
        <f>P8*1.043</f>
        <v>83936.468</v>
      </c>
      <c r="R8" s="253"/>
      <c r="S8" s="253">
        <f>N3-S9</f>
        <v>5243</v>
      </c>
      <c r="T8" s="253">
        <v>87383</v>
      </c>
      <c r="U8" s="253">
        <f>T8*1.043</f>
        <v>91140.469</v>
      </c>
    </row>
    <row r="9" spans="1:21" ht="15.75">
      <c r="A9" s="164"/>
      <c r="B9" s="174" t="s">
        <v>135</v>
      </c>
      <c r="C9" s="175">
        <v>22993</v>
      </c>
      <c r="D9" s="176">
        <v>13966</v>
      </c>
      <c r="E9" s="176">
        <v>9027</v>
      </c>
      <c r="F9" s="177">
        <v>23494</v>
      </c>
      <c r="G9" s="177">
        <v>48368</v>
      </c>
      <c r="H9" s="178">
        <v>20723</v>
      </c>
      <c r="I9" s="178">
        <v>21510</v>
      </c>
      <c r="J9" s="178">
        <v>22370</v>
      </c>
      <c r="N9" s="253" t="s">
        <v>616</v>
      </c>
      <c r="O9" s="253">
        <v>3423.78</v>
      </c>
      <c r="P9" s="253">
        <v>22825</v>
      </c>
      <c r="Q9" s="253">
        <f>P9*1.043</f>
        <v>23806.475</v>
      </c>
      <c r="R9" s="253"/>
      <c r="S9" s="253">
        <v>3797</v>
      </c>
      <c r="T9" s="253">
        <v>25313</v>
      </c>
      <c r="U9" s="253">
        <f>T9*1.043</f>
        <v>26401.459</v>
      </c>
    </row>
    <row r="10" spans="1:10" ht="15.75">
      <c r="A10" s="164">
        <v>2</v>
      </c>
      <c r="B10" s="59" t="s">
        <v>136</v>
      </c>
      <c r="C10" s="59"/>
      <c r="D10" s="176"/>
      <c r="E10" s="176"/>
      <c r="F10" s="177"/>
      <c r="G10" s="177"/>
      <c r="H10" s="166"/>
      <c r="I10" s="166"/>
      <c r="J10" s="166"/>
    </row>
    <row r="11" spans="1:10" ht="15.75">
      <c r="A11" s="164"/>
      <c r="B11" s="174" t="s">
        <v>134</v>
      </c>
      <c r="C11" s="179">
        <v>0.06</v>
      </c>
      <c r="D11" s="179">
        <v>0.06</v>
      </c>
      <c r="E11" s="179">
        <v>0.06</v>
      </c>
      <c r="F11" s="179">
        <v>0.06</v>
      </c>
      <c r="G11" s="179">
        <v>0.06</v>
      </c>
      <c r="H11" s="180">
        <v>6</v>
      </c>
      <c r="I11" s="180">
        <v>6</v>
      </c>
      <c r="J11" s="180">
        <v>6</v>
      </c>
    </row>
    <row r="12" spans="1:10" ht="15.75">
      <c r="A12" s="164"/>
      <c r="B12" s="174" t="s">
        <v>135</v>
      </c>
      <c r="C12" s="179">
        <v>0.09687</v>
      </c>
      <c r="D12" s="179">
        <v>0.09687</v>
      </c>
      <c r="E12" s="179">
        <v>0.09687</v>
      </c>
      <c r="F12" s="179">
        <v>0.09687</v>
      </c>
      <c r="G12" s="179">
        <v>0.09687</v>
      </c>
      <c r="H12" s="180">
        <v>15</v>
      </c>
      <c r="I12" s="180">
        <v>15</v>
      </c>
      <c r="J12" s="180">
        <v>15</v>
      </c>
    </row>
    <row r="13" spans="1:22" s="49" customFormat="1" ht="31.5">
      <c r="A13" s="164">
        <v>3</v>
      </c>
      <c r="B13" s="59" t="s">
        <v>568</v>
      </c>
      <c r="C13" s="178">
        <f aca="true" t="shared" si="0" ref="C13:J13">SUM(C15:C16)</f>
        <v>5443.45191</v>
      </c>
      <c r="D13" s="178">
        <f t="shared" si="0"/>
        <v>3890.8264200000003</v>
      </c>
      <c r="E13" s="178">
        <f t="shared" si="0"/>
        <v>1552.62549</v>
      </c>
      <c r="F13" s="178">
        <f t="shared" si="0"/>
        <v>5818.92378</v>
      </c>
      <c r="G13" s="178">
        <f t="shared" si="0"/>
        <v>8115.3081600000005</v>
      </c>
      <c r="H13" s="178">
        <f>SUM(H15:H16)</f>
        <v>10922.849999999999</v>
      </c>
      <c r="I13" s="178">
        <f t="shared" si="0"/>
        <v>11337.84</v>
      </c>
      <c r="J13" s="178">
        <f t="shared" si="0"/>
        <v>11791.32</v>
      </c>
      <c r="M13" s="241"/>
      <c r="N13" s="241"/>
      <c r="O13" s="241"/>
      <c r="P13" s="241"/>
      <c r="Q13" s="241"/>
      <c r="R13" s="241"/>
      <c r="S13" s="241"/>
      <c r="T13" s="241"/>
      <c r="U13" s="241"/>
      <c r="V13" s="241"/>
    </row>
    <row r="14" spans="1:16" ht="16.5" thickBot="1">
      <c r="A14" s="164"/>
      <c r="B14" s="59" t="s">
        <v>11</v>
      </c>
      <c r="C14" s="166"/>
      <c r="D14" s="166"/>
      <c r="E14" s="166"/>
      <c r="F14" s="166"/>
      <c r="G14" s="166"/>
      <c r="H14" s="181"/>
      <c r="I14" s="166"/>
      <c r="J14" s="166"/>
      <c r="N14" s="87">
        <f>N17+N18</f>
        <v>5062.97</v>
      </c>
      <c r="O14" s="87">
        <f>O17+O18</f>
        <v>3244.86</v>
      </c>
      <c r="P14" s="87">
        <f>N14-O14</f>
        <v>1818.1100000000001</v>
      </c>
    </row>
    <row r="15" spans="1:16" ht="15.75">
      <c r="A15" s="164"/>
      <c r="B15" s="174" t="s">
        <v>137</v>
      </c>
      <c r="C15" s="177">
        <f aca="true" t="shared" si="1" ref="C15:G16">C8*C11</f>
        <v>3216.12</v>
      </c>
      <c r="D15" s="177">
        <f t="shared" si="1"/>
        <v>2537.94</v>
      </c>
      <c r="E15" s="177">
        <f t="shared" si="1"/>
        <v>678.18</v>
      </c>
      <c r="F15" s="177">
        <f t="shared" si="1"/>
        <v>3543.06</v>
      </c>
      <c r="G15" s="177">
        <f t="shared" si="1"/>
        <v>3429.9</v>
      </c>
      <c r="H15" s="177">
        <f aca="true" t="shared" si="2" ref="H15:J16">H8*H11/100</f>
        <v>7814.4</v>
      </c>
      <c r="I15" s="177">
        <f t="shared" si="2"/>
        <v>8111.34</v>
      </c>
      <c r="J15" s="177">
        <f t="shared" si="2"/>
        <v>8435.82</v>
      </c>
      <c r="K15" s="168"/>
      <c r="N15" s="331" t="s">
        <v>611</v>
      </c>
      <c r="O15" s="332"/>
      <c r="P15" s="333"/>
    </row>
    <row r="16" spans="1:16" ht="31.5">
      <c r="A16" s="164"/>
      <c r="B16" s="174" t="s">
        <v>138</v>
      </c>
      <c r="C16" s="177">
        <f t="shared" si="1"/>
        <v>2227.33191</v>
      </c>
      <c r="D16" s="177">
        <f t="shared" si="1"/>
        <v>1352.88642</v>
      </c>
      <c r="E16" s="177">
        <f t="shared" si="1"/>
        <v>874.44549</v>
      </c>
      <c r="F16" s="177">
        <f t="shared" si="1"/>
        <v>2275.86378</v>
      </c>
      <c r="G16" s="177">
        <f t="shared" si="1"/>
        <v>4685.40816</v>
      </c>
      <c r="H16" s="177">
        <f t="shared" si="2"/>
        <v>3108.45</v>
      </c>
      <c r="I16" s="177">
        <f t="shared" si="2"/>
        <v>3226.5</v>
      </c>
      <c r="J16" s="177">
        <f t="shared" si="2"/>
        <v>3355.5</v>
      </c>
      <c r="N16" s="243" t="s">
        <v>609</v>
      </c>
      <c r="O16" s="244" t="s">
        <v>610</v>
      </c>
      <c r="P16" s="245" t="s">
        <v>612</v>
      </c>
    </row>
    <row r="17" spans="1:16" ht="15.75">
      <c r="A17" s="164">
        <v>4</v>
      </c>
      <c r="B17" s="167" t="s">
        <v>592</v>
      </c>
      <c r="C17" s="182"/>
      <c r="D17" s="182"/>
      <c r="E17" s="182"/>
      <c r="F17" s="182"/>
      <c r="G17" s="182"/>
      <c r="H17" s="177">
        <f>H18+H19</f>
        <v>2787</v>
      </c>
      <c r="I17" s="177">
        <f>I18+I19</f>
        <v>2731</v>
      </c>
      <c r="J17" s="177">
        <f>J18+J19</f>
        <v>2835</v>
      </c>
      <c r="N17" s="246">
        <f>N18+N19</f>
        <v>3394.69</v>
      </c>
      <c r="O17" s="247">
        <f>O18+O19</f>
        <v>2179.4</v>
      </c>
      <c r="P17" s="248">
        <f>P18+P19</f>
        <v>2787.045</v>
      </c>
    </row>
    <row r="18" spans="1:16" ht="15.75">
      <c r="A18" s="164"/>
      <c r="B18" s="174" t="s">
        <v>137</v>
      </c>
      <c r="C18" s="182"/>
      <c r="D18" s="182"/>
      <c r="E18" s="182"/>
      <c r="F18" s="182"/>
      <c r="G18" s="182"/>
      <c r="H18" s="177">
        <v>1367</v>
      </c>
      <c r="I18" s="177">
        <v>1954</v>
      </c>
      <c r="J18" s="177">
        <v>2028</v>
      </c>
      <c r="L18" s="62"/>
      <c r="M18" s="87"/>
      <c r="N18" s="246">
        <v>1668.28</v>
      </c>
      <c r="O18" s="249">
        <v>1065.46</v>
      </c>
      <c r="P18" s="245">
        <f>(N18+O18)/2</f>
        <v>1366.87</v>
      </c>
    </row>
    <row r="19" spans="1:16" ht="32.25" thickBot="1">
      <c r="A19" s="164"/>
      <c r="B19" s="174" t="s">
        <v>138</v>
      </c>
      <c r="C19" s="182"/>
      <c r="D19" s="182"/>
      <c r="E19" s="182"/>
      <c r="F19" s="182"/>
      <c r="G19" s="182"/>
      <c r="H19" s="177">
        <v>1420</v>
      </c>
      <c r="I19" s="177">
        <v>777</v>
      </c>
      <c r="J19" s="177">
        <v>807</v>
      </c>
      <c r="L19" s="62"/>
      <c r="M19" s="87"/>
      <c r="N19" s="250">
        <v>1726.41</v>
      </c>
      <c r="O19" s="251">
        <v>1113.94</v>
      </c>
      <c r="P19" s="252">
        <f>(N19+O19)/2</f>
        <v>1420.1750000000002</v>
      </c>
    </row>
    <row r="20" spans="1:13" ht="15.75">
      <c r="A20" s="164">
        <v>5</v>
      </c>
      <c r="B20" s="167" t="s">
        <v>585</v>
      </c>
      <c r="C20" s="182"/>
      <c r="D20" s="182"/>
      <c r="E20" s="182"/>
      <c r="F20" s="182"/>
      <c r="G20" s="182">
        <f>G21+G22</f>
        <v>8115.3081600000005</v>
      </c>
      <c r="H20" s="182">
        <f>H21+H22</f>
        <v>10979.137499999999</v>
      </c>
      <c r="I20" s="182">
        <f>I21+I22</f>
        <v>11234.380000000001</v>
      </c>
      <c r="J20" s="182">
        <f>J21+J22</f>
        <v>11678.49</v>
      </c>
      <c r="L20" s="62"/>
      <c r="M20" s="87"/>
    </row>
    <row r="21" spans="1:10" ht="15.75">
      <c r="A21" s="164"/>
      <c r="B21" s="174" t="s">
        <v>137</v>
      </c>
      <c r="C21" s="177"/>
      <c r="D21" s="177"/>
      <c r="E21" s="177"/>
      <c r="F21" s="177"/>
      <c r="G21" s="177">
        <f>G15+G18</f>
        <v>3429.9</v>
      </c>
      <c r="H21" s="177">
        <f>(H15/4*3)+H18</f>
        <v>7227.799999999999</v>
      </c>
      <c r="I21" s="177">
        <f>I15/4*3+I18</f>
        <v>8037.505</v>
      </c>
      <c r="J21" s="177">
        <f>J15/4*3+J18</f>
        <v>8354.865</v>
      </c>
    </row>
    <row r="22" spans="1:10" ht="31.5">
      <c r="A22" s="164"/>
      <c r="B22" s="174" t="s">
        <v>138</v>
      </c>
      <c r="C22" s="177"/>
      <c r="D22" s="177"/>
      <c r="E22" s="177"/>
      <c r="F22" s="177"/>
      <c r="G22" s="177">
        <f>G16+G19</f>
        <v>4685.40816</v>
      </c>
      <c r="H22" s="177">
        <f>(H16/4*3)+H19</f>
        <v>3751.3374999999996</v>
      </c>
      <c r="I22" s="177">
        <f>I16/4*3+I19</f>
        <v>3196.875</v>
      </c>
      <c r="J22" s="177">
        <f>J16/4*3+J19</f>
        <v>3323.625</v>
      </c>
    </row>
    <row r="23" spans="1:10" ht="31.5">
      <c r="A23" s="164">
        <v>6</v>
      </c>
      <c r="B23" s="167" t="s">
        <v>565</v>
      </c>
      <c r="C23" s="179"/>
      <c r="D23" s="179"/>
      <c r="E23" s="179"/>
      <c r="F23" s="179"/>
      <c r="G23" s="179"/>
      <c r="H23" s="166"/>
      <c r="I23" s="166"/>
      <c r="J23" s="166"/>
    </row>
    <row r="24" spans="1:10" ht="15.75">
      <c r="A24" s="164"/>
      <c r="B24" s="174" t="s">
        <v>137</v>
      </c>
      <c r="C24" s="179">
        <f>90%</f>
        <v>0.9</v>
      </c>
      <c r="D24" s="179">
        <f>90%</f>
        <v>0.9</v>
      </c>
      <c r="E24" s="179">
        <f>90%</f>
        <v>0.9</v>
      </c>
      <c r="F24" s="179">
        <v>1</v>
      </c>
      <c r="G24" s="179">
        <v>1</v>
      </c>
      <c r="H24" s="180">
        <v>100</v>
      </c>
      <c r="I24" s="180">
        <v>100</v>
      </c>
      <c r="J24" s="180">
        <v>100</v>
      </c>
    </row>
    <row r="25" spans="1:10" ht="31.5">
      <c r="A25" s="164"/>
      <c r="B25" s="174" t="s">
        <v>138</v>
      </c>
      <c r="C25" s="179">
        <f>90%</f>
        <v>0.9</v>
      </c>
      <c r="D25" s="179">
        <f>90%</f>
        <v>0.9</v>
      </c>
      <c r="E25" s="179">
        <f>90%</f>
        <v>0.9</v>
      </c>
      <c r="F25" s="179">
        <v>1</v>
      </c>
      <c r="G25" s="179">
        <v>1</v>
      </c>
      <c r="H25" s="180">
        <v>100</v>
      </c>
      <c r="I25" s="180">
        <v>100</v>
      </c>
      <c r="J25" s="180">
        <v>100</v>
      </c>
    </row>
    <row r="26" spans="1:10" ht="15.75">
      <c r="A26" s="164">
        <v>7</v>
      </c>
      <c r="B26" s="174" t="s">
        <v>593</v>
      </c>
      <c r="C26" s="179"/>
      <c r="D26" s="179"/>
      <c r="E26" s="179"/>
      <c r="F26" s="179"/>
      <c r="G26" s="179"/>
      <c r="H26" s="164">
        <v>0</v>
      </c>
      <c r="I26" s="164">
        <v>0</v>
      </c>
      <c r="J26" s="164">
        <v>0</v>
      </c>
    </row>
    <row r="27" spans="1:10" ht="15.75">
      <c r="A27" s="164"/>
      <c r="B27" s="174" t="s">
        <v>137</v>
      </c>
      <c r="C27" s="179"/>
      <c r="D27" s="179"/>
      <c r="E27" s="179"/>
      <c r="F27" s="179"/>
      <c r="G27" s="179"/>
      <c r="H27" s="166"/>
      <c r="I27" s="166"/>
      <c r="J27" s="166"/>
    </row>
    <row r="28" spans="1:10" ht="31.5">
      <c r="A28" s="164"/>
      <c r="B28" s="174" t="s">
        <v>138</v>
      </c>
      <c r="C28" s="179"/>
      <c r="D28" s="179"/>
      <c r="E28" s="179"/>
      <c r="F28" s="179"/>
      <c r="G28" s="179"/>
      <c r="H28" s="166"/>
      <c r="I28" s="166"/>
      <c r="J28" s="166"/>
    </row>
    <row r="29" spans="1:22" s="50" customFormat="1" ht="31.5">
      <c r="A29" s="183">
        <v>8</v>
      </c>
      <c r="B29" s="209" t="s">
        <v>595</v>
      </c>
      <c r="C29" s="185">
        <f>SUM(C30:C31)</f>
        <v>4286.718379124999</v>
      </c>
      <c r="D29" s="185">
        <f>SUM(D30:D31)</f>
        <v>3064.0258057500005</v>
      </c>
      <c r="E29" s="185">
        <f>SUM(E30:E31)</f>
        <v>1222.692573375</v>
      </c>
      <c r="F29" s="185" t="e">
        <f>SUM(F30:F32)</f>
        <v>#REF!</v>
      </c>
      <c r="G29" s="185">
        <f>SUM(G30:G32)</f>
        <v>9387.89464</v>
      </c>
      <c r="H29" s="185">
        <f>SUM(H30:H31)</f>
        <v>10979.137499999999</v>
      </c>
      <c r="I29" s="185">
        <f>SUM(I30:I31)</f>
        <v>11234.380000000001</v>
      </c>
      <c r="J29" s="185">
        <f>SUM(J30:J31)</f>
        <v>11678.49</v>
      </c>
      <c r="M29" s="253"/>
      <c r="N29" s="253"/>
      <c r="O29" s="253"/>
      <c r="P29" s="253"/>
      <c r="Q29" s="253"/>
      <c r="R29" s="253"/>
      <c r="S29" s="253"/>
      <c r="T29" s="253"/>
      <c r="U29" s="253"/>
      <c r="V29" s="253"/>
    </row>
    <row r="30" spans="1:10" ht="15.75">
      <c r="A30" s="164"/>
      <c r="B30" s="174" t="s">
        <v>137</v>
      </c>
      <c r="C30" s="177">
        <f aca="true" t="shared" si="3" ref="C30:F31">((C15+C18-C21)*C24)/4*3.5</f>
        <v>2532.6944999999996</v>
      </c>
      <c r="D30" s="177">
        <f t="shared" si="3"/>
        <v>1998.62775</v>
      </c>
      <c r="E30" s="177">
        <f t="shared" si="3"/>
        <v>534.06675</v>
      </c>
      <c r="F30" s="177">
        <f t="shared" si="3"/>
        <v>3100.1775</v>
      </c>
      <c r="G30" s="177">
        <f>(G21*G24)/4*3.5</f>
        <v>3001.1625</v>
      </c>
      <c r="H30" s="177">
        <f aca="true" t="shared" si="4" ref="H30:J31">H21+H27</f>
        <v>7227.799999999999</v>
      </c>
      <c r="I30" s="177">
        <f t="shared" si="4"/>
        <v>8037.505</v>
      </c>
      <c r="J30" s="177">
        <f t="shared" si="4"/>
        <v>8354.865</v>
      </c>
    </row>
    <row r="31" spans="1:10" ht="31.5">
      <c r="A31" s="164"/>
      <c r="B31" s="174" t="s">
        <v>138</v>
      </c>
      <c r="C31" s="177">
        <f t="shared" si="3"/>
        <v>1754.023879125</v>
      </c>
      <c r="D31" s="177">
        <f t="shared" si="3"/>
        <v>1065.3980557500001</v>
      </c>
      <c r="E31" s="177">
        <f t="shared" si="3"/>
        <v>688.625823375</v>
      </c>
      <c r="F31" s="177">
        <f t="shared" si="3"/>
        <v>1991.3808075000002</v>
      </c>
      <c r="G31" s="177">
        <f>(G22*G25)/4*3.5</f>
        <v>4099.73214</v>
      </c>
      <c r="H31" s="177">
        <f t="shared" si="4"/>
        <v>3751.3374999999996</v>
      </c>
      <c r="I31" s="177">
        <f t="shared" si="4"/>
        <v>3196.875</v>
      </c>
      <c r="J31" s="177">
        <f t="shared" si="4"/>
        <v>3323.625</v>
      </c>
    </row>
    <row r="32" spans="1:10" ht="63">
      <c r="A32" s="183">
        <v>9</v>
      </c>
      <c r="B32" s="184" t="s">
        <v>594</v>
      </c>
      <c r="C32" s="166"/>
      <c r="D32" s="166"/>
      <c r="E32" s="166"/>
      <c r="F32" s="186" t="e">
        <f>#REF!*4</f>
        <v>#REF!</v>
      </c>
      <c r="G32" s="186">
        <v>2287</v>
      </c>
      <c r="H32" s="211">
        <v>43</v>
      </c>
      <c r="I32" s="211">
        <v>43</v>
      </c>
      <c r="J32" s="211">
        <v>43</v>
      </c>
    </row>
    <row r="33" spans="2:7" ht="12.75">
      <c r="B33" s="45"/>
      <c r="D33" s="45"/>
      <c r="E33" s="45"/>
      <c r="F33" s="51"/>
      <c r="G33" s="51"/>
    </row>
    <row r="34" spans="2:7" ht="12.75">
      <c r="B34" s="215"/>
      <c r="C34" s="198"/>
      <c r="D34" s="46"/>
      <c r="E34" s="46"/>
      <c r="F34" s="46"/>
      <c r="G34" s="46"/>
    </row>
    <row r="35" spans="2:7" ht="12.75">
      <c r="B35" s="216"/>
      <c r="C35" s="198"/>
      <c r="D35" s="46"/>
      <c r="E35" s="46"/>
      <c r="F35" s="46"/>
      <c r="G35" s="46"/>
    </row>
    <row r="36" spans="2:7" ht="12.75">
      <c r="B36" s="199"/>
      <c r="C36" s="198"/>
      <c r="D36" s="46"/>
      <c r="E36" s="46"/>
      <c r="F36" s="46"/>
      <c r="G36" s="46"/>
    </row>
    <row r="37" spans="2:7" ht="12.75">
      <c r="B37" s="47"/>
      <c r="C37" s="198"/>
      <c r="D37" s="46"/>
      <c r="E37" s="46"/>
      <c r="F37" s="46"/>
      <c r="G37" s="46"/>
    </row>
    <row r="38" spans="2:7" ht="12.75">
      <c r="B38" s="47"/>
      <c r="C38" s="198"/>
      <c r="D38" s="46"/>
      <c r="E38" s="46"/>
      <c r="F38" s="46"/>
      <c r="G38" s="46"/>
    </row>
    <row r="39" spans="2:7" ht="12.75">
      <c r="B39" s="199"/>
      <c r="C39" s="198"/>
      <c r="D39" s="46"/>
      <c r="E39" s="46"/>
      <c r="F39" s="46"/>
      <c r="G39" s="46"/>
    </row>
    <row r="40" spans="2:7" ht="12.75">
      <c r="B40" s="199"/>
      <c r="C40" s="198"/>
      <c r="D40" s="46"/>
      <c r="E40" s="46"/>
      <c r="F40" s="46"/>
      <c r="G40" s="46"/>
    </row>
    <row r="41" ht="12.75">
      <c r="B41" s="47"/>
    </row>
  </sheetData>
  <sheetProtection/>
  <mergeCells count="12">
    <mergeCell ref="N15:P15"/>
    <mergeCell ref="G5:G6"/>
    <mergeCell ref="I1:J1"/>
    <mergeCell ref="H2:J2"/>
    <mergeCell ref="A5:A6"/>
    <mergeCell ref="H5:H6"/>
    <mergeCell ref="I5:I6"/>
    <mergeCell ref="J5:J6"/>
    <mergeCell ref="B3:J3"/>
    <mergeCell ref="B5:B6"/>
    <mergeCell ref="C5:C6"/>
    <mergeCell ref="D5:F6"/>
  </mergeCells>
  <printOptions/>
  <pageMargins left="1.1023622047244095" right="0.7086614173228347" top="0.7480314960629921" bottom="0.7480314960629921" header="0.31496062992125984" footer="0.31496062992125984"/>
  <pageSetup fitToHeight="0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27"/>
  <sheetViews>
    <sheetView view="pageBreakPreview" zoomScale="60" zoomScalePageLayoutView="0" workbookViewId="0" topLeftCell="A1">
      <selection activeCell="G24" sqref="G24"/>
    </sheetView>
  </sheetViews>
  <sheetFormatPr defaultColWidth="9.140625" defaultRowHeight="12.75"/>
  <cols>
    <col min="1" max="1" width="5.421875" style="0" customWidth="1"/>
    <col min="2" max="2" width="47.421875" style="45" customWidth="1"/>
    <col min="3" max="3" width="13.00390625" style="45" hidden="1" customWidth="1"/>
    <col min="4" max="4" width="18.421875" style="0" hidden="1" customWidth="1"/>
    <col min="5" max="5" width="0.42578125" style="0" hidden="1" customWidth="1"/>
    <col min="6" max="7" width="22.140625" style="0" customWidth="1"/>
    <col min="8" max="8" width="23.140625" style="0" customWidth="1"/>
    <col min="9" max="9" width="12.00390625" style="0" customWidth="1"/>
  </cols>
  <sheetData>
    <row r="1" spans="1:9" ht="15.75">
      <c r="A1" s="169"/>
      <c r="B1" s="43"/>
      <c r="C1" s="43"/>
      <c r="D1" s="169"/>
      <c r="E1" s="169"/>
      <c r="F1" s="169"/>
      <c r="G1" s="335" t="s">
        <v>573</v>
      </c>
      <c r="H1" s="336"/>
      <c r="I1" s="169"/>
    </row>
    <row r="2" spans="1:9" ht="59.25" customHeight="1">
      <c r="A2" s="169"/>
      <c r="B2" s="43"/>
      <c r="C2" s="43"/>
      <c r="D2" s="169"/>
      <c r="E2" s="169"/>
      <c r="F2" s="337" t="s">
        <v>563</v>
      </c>
      <c r="G2" s="339"/>
      <c r="H2" s="339"/>
      <c r="I2" s="169"/>
    </row>
    <row r="3" spans="1:9" ht="42.75" customHeight="1">
      <c r="A3" s="162"/>
      <c r="B3" s="338" t="s">
        <v>577</v>
      </c>
      <c r="C3" s="338"/>
      <c r="D3" s="338"/>
      <c r="E3" s="338"/>
      <c r="F3" s="338"/>
      <c r="G3" s="338"/>
      <c r="H3" s="338"/>
      <c r="I3" s="169"/>
    </row>
    <row r="4" spans="1:9" ht="15.75">
      <c r="A4" s="162"/>
      <c r="B4" s="187"/>
      <c r="C4" s="187"/>
      <c r="D4" s="188"/>
      <c r="E4" s="188"/>
      <c r="F4" s="188"/>
      <c r="G4" s="162"/>
      <c r="H4" s="162"/>
      <c r="I4" s="169"/>
    </row>
    <row r="5" spans="1:9" ht="15.75">
      <c r="A5" s="162"/>
      <c r="B5" s="189"/>
      <c r="C5" s="189"/>
      <c r="D5" s="162"/>
      <c r="E5" s="162"/>
      <c r="F5" s="162"/>
      <c r="G5" s="162"/>
      <c r="H5" s="162"/>
      <c r="I5" s="169"/>
    </row>
    <row r="6" spans="1:9" ht="43.5" customHeight="1">
      <c r="A6" s="60" t="s">
        <v>289</v>
      </c>
      <c r="B6" s="167" t="s">
        <v>124</v>
      </c>
      <c r="C6" s="167" t="s">
        <v>130</v>
      </c>
      <c r="D6" s="60" t="s">
        <v>131</v>
      </c>
      <c r="E6" s="165" t="s">
        <v>125</v>
      </c>
      <c r="F6" s="165" t="s">
        <v>582</v>
      </c>
      <c r="G6" s="165" t="s">
        <v>583</v>
      </c>
      <c r="H6" s="165" t="s">
        <v>584</v>
      </c>
      <c r="I6" s="169"/>
    </row>
    <row r="7" spans="1:9" ht="15.75">
      <c r="A7" s="166"/>
      <c r="B7" s="167"/>
      <c r="C7" s="167"/>
      <c r="D7" s="166"/>
      <c r="E7" s="166"/>
      <c r="F7" s="162"/>
      <c r="G7" s="162"/>
      <c r="H7" s="162"/>
      <c r="I7" s="169"/>
    </row>
    <row r="8" spans="1:9" ht="15.75">
      <c r="A8" s="164">
        <v>1</v>
      </c>
      <c r="B8" s="167" t="s">
        <v>569</v>
      </c>
      <c r="C8" s="175">
        <v>73894</v>
      </c>
      <c r="D8" s="190">
        <v>76664</v>
      </c>
      <c r="E8" s="177">
        <v>88044</v>
      </c>
      <c r="F8" s="194">
        <v>88377</v>
      </c>
      <c r="G8" s="194">
        <v>88500</v>
      </c>
      <c r="H8" s="194">
        <v>88817</v>
      </c>
      <c r="I8" s="169"/>
    </row>
    <row r="9" spans="1:9" ht="15.75">
      <c r="A9" s="164"/>
      <c r="B9" s="167"/>
      <c r="C9" s="182"/>
      <c r="D9" s="182"/>
      <c r="E9" s="182"/>
      <c r="F9" s="182"/>
      <c r="G9" s="182"/>
      <c r="H9" s="182"/>
      <c r="I9" s="169"/>
    </row>
    <row r="10" spans="1:9" ht="15.75">
      <c r="A10" s="164">
        <v>2</v>
      </c>
      <c r="B10" s="167" t="s">
        <v>570</v>
      </c>
      <c r="C10" s="191">
        <v>0.15</v>
      </c>
      <c r="D10" s="191">
        <v>0.15</v>
      </c>
      <c r="E10" s="191">
        <v>0.15</v>
      </c>
      <c r="F10" s="193">
        <v>15</v>
      </c>
      <c r="G10" s="193">
        <v>15</v>
      </c>
      <c r="H10" s="193">
        <v>15</v>
      </c>
      <c r="I10" s="169"/>
    </row>
    <row r="11" spans="1:9" ht="15.75">
      <c r="A11" s="164"/>
      <c r="B11" s="192" t="s">
        <v>575</v>
      </c>
      <c r="C11" s="166">
        <v>1.372</v>
      </c>
      <c r="D11" s="166">
        <v>1.494</v>
      </c>
      <c r="E11" s="166">
        <v>1.494</v>
      </c>
      <c r="F11" s="166">
        <v>1.868</v>
      </c>
      <c r="G11" s="166">
        <v>1.868</v>
      </c>
      <c r="H11" s="166">
        <v>1.868</v>
      </c>
      <c r="I11" s="169"/>
    </row>
    <row r="12" spans="1:9" ht="15.75">
      <c r="A12" s="164"/>
      <c r="B12" s="167" t="s">
        <v>576</v>
      </c>
      <c r="C12" s="166">
        <v>0.467</v>
      </c>
      <c r="D12" s="166">
        <v>0.467</v>
      </c>
      <c r="E12" s="166">
        <v>0.467</v>
      </c>
      <c r="F12" s="166">
        <v>0.253</v>
      </c>
      <c r="G12" s="166">
        <v>0.253</v>
      </c>
      <c r="H12" s="166">
        <v>0.253</v>
      </c>
      <c r="I12" s="169"/>
    </row>
    <row r="13" spans="1:9" ht="15.75">
      <c r="A13" s="164"/>
      <c r="B13" s="167"/>
      <c r="C13" s="182"/>
      <c r="D13" s="182"/>
      <c r="E13" s="182"/>
      <c r="F13" s="182"/>
      <c r="G13" s="182"/>
      <c r="H13" s="182"/>
      <c r="I13" s="169"/>
    </row>
    <row r="14" spans="1:9" ht="15.75">
      <c r="A14" s="164">
        <v>3</v>
      </c>
      <c r="B14" s="167" t="s">
        <v>572</v>
      </c>
      <c r="C14" s="182">
        <f>C8*C10*C11*C12</f>
        <v>7101.848888400002</v>
      </c>
      <c r="D14" s="182">
        <f>D8*D10*D11*D12</f>
        <v>8023.2479208</v>
      </c>
      <c r="E14" s="182">
        <f>E8*E10*E11*E12</f>
        <v>9214.2184068</v>
      </c>
      <c r="F14" s="182">
        <f>F8*F10/100*F11*F12</f>
        <v>6265.0985562000005</v>
      </c>
      <c r="G14" s="182">
        <f>G8*G10/100*G11*G12</f>
        <v>6273.8181</v>
      </c>
      <c r="H14" s="182">
        <f>H8*H10/100*H11*H12</f>
        <v>6296.2904202</v>
      </c>
      <c r="I14" s="169"/>
    </row>
    <row r="15" spans="1:9" ht="15.75">
      <c r="A15" s="164"/>
      <c r="B15" s="167"/>
      <c r="C15" s="182"/>
      <c r="D15" s="182"/>
      <c r="E15" s="182"/>
      <c r="F15" s="182"/>
      <c r="G15" s="182"/>
      <c r="H15" s="182"/>
      <c r="I15" s="169"/>
    </row>
    <row r="16" spans="1:9" ht="15.75">
      <c r="A16" s="164">
        <v>4</v>
      </c>
      <c r="B16" s="167" t="s">
        <v>592</v>
      </c>
      <c r="C16" s="182"/>
      <c r="D16" s="182"/>
      <c r="E16" s="182"/>
      <c r="F16" s="182">
        <v>1300</v>
      </c>
      <c r="G16" s="182">
        <v>1566</v>
      </c>
      <c r="H16" s="182">
        <v>1568</v>
      </c>
      <c r="I16" s="169"/>
    </row>
    <row r="17" spans="1:9" ht="15.75">
      <c r="A17" s="164"/>
      <c r="B17" s="167"/>
      <c r="C17" s="182"/>
      <c r="D17" s="182"/>
      <c r="E17" s="182"/>
      <c r="F17" s="182"/>
      <c r="G17" s="182"/>
      <c r="H17" s="182"/>
      <c r="I17" s="169"/>
    </row>
    <row r="18" spans="1:9" ht="31.5">
      <c r="A18" s="164">
        <v>5</v>
      </c>
      <c r="B18" s="167" t="s">
        <v>591</v>
      </c>
      <c r="C18" s="182"/>
      <c r="D18" s="182"/>
      <c r="E18" s="182"/>
      <c r="F18" s="182">
        <f>F14/4*3</f>
        <v>4698.823917150001</v>
      </c>
      <c r="G18" s="182">
        <f>G14/4*3</f>
        <v>4705.363575</v>
      </c>
      <c r="H18" s="182">
        <f>H14/4*3</f>
        <v>4722.21781515</v>
      </c>
      <c r="I18" s="169"/>
    </row>
    <row r="19" spans="1:9" ht="15.75">
      <c r="A19" s="164"/>
      <c r="B19" s="167"/>
      <c r="C19" s="182"/>
      <c r="D19" s="182"/>
      <c r="E19" s="182"/>
      <c r="F19" s="182"/>
      <c r="G19" s="182"/>
      <c r="H19" s="182"/>
      <c r="I19" s="169"/>
    </row>
    <row r="20" spans="1:9" ht="15.75">
      <c r="A20" s="164">
        <v>6</v>
      </c>
      <c r="B20" s="167" t="s">
        <v>585</v>
      </c>
      <c r="C20" s="182"/>
      <c r="D20" s="182"/>
      <c r="E20" s="182">
        <f>E14</f>
        <v>9214.2184068</v>
      </c>
      <c r="F20" s="182">
        <f>F18+F16</f>
        <v>5998.823917150001</v>
      </c>
      <c r="G20" s="182">
        <f>G18+G16</f>
        <v>6271.363575</v>
      </c>
      <c r="H20" s="182">
        <f>H18+H16</f>
        <v>6290.21781515</v>
      </c>
      <c r="I20" s="169"/>
    </row>
    <row r="21" spans="1:9" ht="31.5">
      <c r="A21" s="164">
        <v>7</v>
      </c>
      <c r="B21" s="167" t="s">
        <v>571</v>
      </c>
      <c r="C21" s="179">
        <v>1</v>
      </c>
      <c r="D21" s="179">
        <v>1</v>
      </c>
      <c r="E21" s="179">
        <v>1</v>
      </c>
      <c r="F21" s="180">
        <v>100</v>
      </c>
      <c r="G21" s="180">
        <v>100</v>
      </c>
      <c r="H21" s="180">
        <v>100</v>
      </c>
      <c r="I21" s="169"/>
    </row>
    <row r="22" spans="1:9" ht="15.75">
      <c r="A22" s="164"/>
      <c r="B22" s="167"/>
      <c r="C22" s="166"/>
      <c r="D22" s="166"/>
      <c r="E22" s="166"/>
      <c r="F22" s="186"/>
      <c r="G22" s="186"/>
      <c r="H22" s="186"/>
      <c r="I22" s="169"/>
    </row>
    <row r="23" spans="1:9" ht="31.5">
      <c r="A23" s="213">
        <v>8</v>
      </c>
      <c r="B23" s="209" t="s">
        <v>586</v>
      </c>
      <c r="C23" s="178">
        <f>C14*C21</f>
        <v>7101.848888400002</v>
      </c>
      <c r="D23" s="178">
        <f>D14*D21</f>
        <v>8023.2479208</v>
      </c>
      <c r="E23" s="178">
        <f>E20*E21</f>
        <v>9214.2184068</v>
      </c>
      <c r="F23" s="212">
        <f>F20*F21/100</f>
        <v>5998.82391715</v>
      </c>
      <c r="G23" s="212">
        <f>G20*G21/100</f>
        <v>6271.363575</v>
      </c>
      <c r="H23" s="212">
        <f>H20*H21/100</f>
        <v>6290.21781515</v>
      </c>
      <c r="I23" s="169"/>
    </row>
    <row r="24" spans="1:9" ht="12.75">
      <c r="A24" s="170"/>
      <c r="B24" s="171"/>
      <c r="C24" s="171"/>
      <c r="D24" s="172"/>
      <c r="E24" s="172"/>
      <c r="F24" s="169"/>
      <c r="G24" s="169"/>
      <c r="H24" s="169"/>
      <c r="I24" s="169"/>
    </row>
    <row r="25" spans="1:9" ht="12.75">
      <c r="A25" s="169"/>
      <c r="B25" s="172"/>
      <c r="C25" s="172"/>
      <c r="D25" s="172"/>
      <c r="E25" s="172"/>
      <c r="F25" s="172"/>
      <c r="G25" s="172"/>
      <c r="H25" s="169"/>
      <c r="I25" s="169"/>
    </row>
    <row r="26" spans="1:9" ht="12.75">
      <c r="A26" s="169"/>
      <c r="B26" s="195"/>
      <c r="C26" s="172"/>
      <c r="D26" s="172"/>
      <c r="E26" s="172"/>
      <c r="F26" s="172"/>
      <c r="G26" s="196"/>
      <c r="H26" s="169"/>
      <c r="I26" s="169"/>
    </row>
    <row r="27" spans="1:9" ht="12.75">
      <c r="A27" s="169"/>
      <c r="B27" s="195"/>
      <c r="C27" s="172"/>
      <c r="D27" s="172"/>
      <c r="E27" s="172"/>
      <c r="F27" s="172"/>
      <c r="G27" s="197"/>
      <c r="H27" s="169"/>
      <c r="I27" s="169"/>
    </row>
  </sheetData>
  <sheetProtection/>
  <mergeCells count="3">
    <mergeCell ref="B3:H3"/>
    <mergeCell ref="G1:H1"/>
    <mergeCell ref="F2:H2"/>
  </mergeCells>
  <printOptions/>
  <pageMargins left="0.7" right="0.7" top="0.75" bottom="0.75" header="0.3" footer="0.3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29"/>
  <sheetViews>
    <sheetView view="pageBreakPreview" zoomScale="60" zoomScalePageLayoutView="0" workbookViewId="0" topLeftCell="A1">
      <selection activeCell="I27" sqref="I27"/>
    </sheetView>
  </sheetViews>
  <sheetFormatPr defaultColWidth="9.140625" defaultRowHeight="12.75"/>
  <cols>
    <col min="1" max="1" width="5.421875" style="0" customWidth="1"/>
    <col min="2" max="2" width="52.7109375" style="45" customWidth="1"/>
    <col min="3" max="3" width="12.7109375" style="45" hidden="1" customWidth="1"/>
    <col min="4" max="4" width="15.7109375" style="0" customWidth="1"/>
    <col min="5" max="5" width="14.28125" style="0" customWidth="1"/>
    <col min="6" max="6" width="14.421875" style="0" customWidth="1"/>
  </cols>
  <sheetData>
    <row r="1" spans="1:7" ht="15.75">
      <c r="A1" s="162"/>
      <c r="B1" s="189"/>
      <c r="C1" s="189"/>
      <c r="D1" s="162"/>
      <c r="E1" s="335" t="s">
        <v>578</v>
      </c>
      <c r="F1" s="336"/>
      <c r="G1" s="162"/>
    </row>
    <row r="2" spans="1:7" ht="68.25" customHeight="1">
      <c r="A2" s="162"/>
      <c r="B2" s="189"/>
      <c r="C2" s="189"/>
      <c r="D2" s="337" t="s">
        <v>563</v>
      </c>
      <c r="E2" s="339"/>
      <c r="F2" s="339"/>
      <c r="G2" s="162"/>
    </row>
    <row r="3" spans="1:7" ht="40.5" customHeight="1">
      <c r="A3" s="162"/>
      <c r="B3" s="338" t="s">
        <v>574</v>
      </c>
      <c r="C3" s="338"/>
      <c r="D3" s="340"/>
      <c r="E3" s="340"/>
      <c r="F3" s="340"/>
      <c r="G3" s="161"/>
    </row>
    <row r="4" spans="1:7" ht="15.75">
      <c r="A4" s="162"/>
      <c r="B4" s="187"/>
      <c r="C4" s="187"/>
      <c r="D4" s="162"/>
      <c r="E4" s="162"/>
      <c r="F4" s="200"/>
      <c r="G4" s="44"/>
    </row>
    <row r="5" spans="1:7" ht="15.75">
      <c r="A5" s="162"/>
      <c r="B5" s="189"/>
      <c r="C5" s="189"/>
      <c r="D5" s="162"/>
      <c r="E5" s="162"/>
      <c r="F5" s="200"/>
      <c r="G5" s="44"/>
    </row>
    <row r="6" spans="1:7" ht="78.75">
      <c r="A6" s="60" t="s">
        <v>10</v>
      </c>
      <c r="B6" s="210" t="s">
        <v>124</v>
      </c>
      <c r="C6" s="165" t="s">
        <v>125</v>
      </c>
      <c r="D6" s="165" t="s">
        <v>587</v>
      </c>
      <c r="E6" s="165" t="s">
        <v>588</v>
      </c>
      <c r="F6" s="165" t="s">
        <v>589</v>
      </c>
      <c r="G6" s="162"/>
    </row>
    <row r="7" spans="1:7" ht="15.75">
      <c r="A7" s="166"/>
      <c r="B7" s="167"/>
      <c r="C7" s="167"/>
      <c r="D7" s="166"/>
      <c r="E7" s="166"/>
      <c r="F7" s="166"/>
      <c r="G7" s="162"/>
    </row>
    <row r="8" spans="1:7" ht="15.75" hidden="1">
      <c r="A8" s="166"/>
      <c r="B8" s="201" t="s">
        <v>126</v>
      </c>
      <c r="C8" s="202"/>
      <c r="D8" s="166"/>
      <c r="E8" s="166"/>
      <c r="F8" s="166"/>
      <c r="G8" s="162"/>
    </row>
    <row r="9" spans="1:7" ht="15.75" hidden="1">
      <c r="A9" s="166"/>
      <c r="B9" s="201" t="s">
        <v>127</v>
      </c>
      <c r="C9" s="202"/>
      <c r="D9" s="166"/>
      <c r="E9" s="166"/>
      <c r="F9" s="166"/>
      <c r="G9" s="162"/>
    </row>
    <row r="10" spans="1:7" ht="15.75">
      <c r="A10" s="164">
        <v>1</v>
      </c>
      <c r="B10" s="201" t="s">
        <v>569</v>
      </c>
      <c r="C10" s="177">
        <v>18914</v>
      </c>
      <c r="D10" s="203">
        <v>23520</v>
      </c>
      <c r="E10" s="203">
        <v>24414</v>
      </c>
      <c r="F10" s="203">
        <v>25391</v>
      </c>
      <c r="G10" s="162"/>
    </row>
    <row r="11" spans="1:7" ht="15.75">
      <c r="A11" s="164"/>
      <c r="B11" s="167"/>
      <c r="C11" s="177"/>
      <c r="D11" s="166"/>
      <c r="E11" s="166"/>
      <c r="F11" s="166"/>
      <c r="G11" s="162"/>
    </row>
    <row r="12" spans="1:7" ht="15.75">
      <c r="A12" s="164">
        <v>2</v>
      </c>
      <c r="B12" s="167" t="s">
        <v>128</v>
      </c>
      <c r="C12" s="204">
        <v>0.06</v>
      </c>
      <c r="D12" s="204">
        <v>0.06</v>
      </c>
      <c r="E12" s="204">
        <v>0.06</v>
      </c>
      <c r="F12" s="204">
        <v>0.06</v>
      </c>
      <c r="G12" s="162"/>
    </row>
    <row r="13" spans="1:7" ht="15.75">
      <c r="A13" s="164"/>
      <c r="B13" s="167"/>
      <c r="C13" s="177"/>
      <c r="D13" s="177"/>
      <c r="E13" s="177"/>
      <c r="F13" s="177"/>
      <c r="G13" s="162"/>
    </row>
    <row r="14" spans="1:7" ht="15.75">
      <c r="A14" s="164">
        <v>3</v>
      </c>
      <c r="B14" s="167" t="s">
        <v>129</v>
      </c>
      <c r="C14" s="186">
        <f>C10*C12</f>
        <v>1134.84</v>
      </c>
      <c r="D14" s="186">
        <f>D10*D12</f>
        <v>1411.2</v>
      </c>
      <c r="E14" s="186">
        <f>E10*E12</f>
        <v>1464.84</v>
      </c>
      <c r="F14" s="186">
        <f>F10*F12</f>
        <v>1523.46</v>
      </c>
      <c r="G14" s="162"/>
    </row>
    <row r="15" spans="1:7" ht="15.75">
      <c r="A15" s="164"/>
      <c r="B15" s="167"/>
      <c r="C15" s="177"/>
      <c r="D15" s="177"/>
      <c r="E15" s="177"/>
      <c r="F15" s="177"/>
      <c r="G15" s="162"/>
    </row>
    <row r="16" spans="1:7" ht="22.5" customHeight="1">
      <c r="A16" s="164">
        <v>4</v>
      </c>
      <c r="B16" s="167" t="s">
        <v>592</v>
      </c>
      <c r="C16" s="177"/>
      <c r="D16" s="177">
        <v>338</v>
      </c>
      <c r="E16" s="177">
        <v>353</v>
      </c>
      <c r="F16" s="177">
        <v>366</v>
      </c>
      <c r="G16" s="162"/>
    </row>
    <row r="17" spans="1:7" ht="15.75">
      <c r="A17" s="164"/>
      <c r="B17" s="167"/>
      <c r="C17" s="177"/>
      <c r="D17" s="177"/>
      <c r="E17" s="177"/>
      <c r="F17" s="177"/>
      <c r="G17" s="162"/>
    </row>
    <row r="18" spans="1:7" ht="22.5" customHeight="1">
      <c r="A18" s="164">
        <v>5</v>
      </c>
      <c r="B18" s="167" t="s">
        <v>591</v>
      </c>
      <c r="C18" s="177">
        <f>C14/4*3</f>
        <v>851.1299999999999</v>
      </c>
      <c r="D18" s="177">
        <f>D14/4*3</f>
        <v>1058.4</v>
      </c>
      <c r="E18" s="177">
        <f>E14/4*3</f>
        <v>1098.6299999999999</v>
      </c>
      <c r="F18" s="177">
        <f>F14/4*3</f>
        <v>1142.595</v>
      </c>
      <c r="G18" s="162"/>
    </row>
    <row r="19" spans="1:7" ht="15.75">
      <c r="A19" s="164"/>
      <c r="B19" s="167"/>
      <c r="C19" s="182"/>
      <c r="D19" s="182"/>
      <c r="E19" s="182"/>
      <c r="F19" s="182"/>
      <c r="G19" s="162"/>
    </row>
    <row r="20" spans="1:7" ht="15.75">
      <c r="A20" s="164">
        <v>6</v>
      </c>
      <c r="B20" s="167" t="s">
        <v>585</v>
      </c>
      <c r="C20" s="177">
        <f>C16+C18</f>
        <v>851.1299999999999</v>
      </c>
      <c r="D20" s="177">
        <f>D16+D18</f>
        <v>1396.4</v>
      </c>
      <c r="E20" s="177">
        <f>E16+E18</f>
        <v>1451.6299999999999</v>
      </c>
      <c r="F20" s="177">
        <f>F16+F18</f>
        <v>1508.595</v>
      </c>
      <c r="G20" s="162"/>
    </row>
    <row r="21" spans="1:7" ht="15.75">
      <c r="A21" s="166"/>
      <c r="B21" s="167"/>
      <c r="C21" s="166"/>
      <c r="D21" s="166"/>
      <c r="E21" s="166"/>
      <c r="F21" s="166"/>
      <c r="G21" s="162"/>
    </row>
    <row r="22" spans="1:7" ht="31.5">
      <c r="A22" s="164">
        <v>8</v>
      </c>
      <c r="B22" s="167" t="s">
        <v>571</v>
      </c>
      <c r="C22" s="179">
        <v>0.65</v>
      </c>
      <c r="D22" s="180">
        <v>70</v>
      </c>
      <c r="E22" s="180">
        <v>70</v>
      </c>
      <c r="F22" s="180">
        <v>70</v>
      </c>
      <c r="G22" s="162"/>
    </row>
    <row r="23" spans="1:7" ht="15.75">
      <c r="A23" s="164"/>
      <c r="B23" s="167"/>
      <c r="C23" s="166"/>
      <c r="D23" s="166"/>
      <c r="E23" s="166"/>
      <c r="F23" s="166"/>
      <c r="G23" s="162"/>
    </row>
    <row r="24" spans="1:7" ht="31.5">
      <c r="A24" s="213">
        <v>9</v>
      </c>
      <c r="B24" s="209" t="s">
        <v>590</v>
      </c>
      <c r="C24" s="214">
        <f>C20*C22</f>
        <v>553.2344999999999</v>
      </c>
      <c r="D24" s="214">
        <f>D20*D22/100</f>
        <v>977.48</v>
      </c>
      <c r="E24" s="214">
        <f>E20*E22/100</f>
        <v>1016.141</v>
      </c>
      <c r="F24" s="214">
        <f>F20*F22/100</f>
        <v>1056.0165000000002</v>
      </c>
      <c r="G24" s="162"/>
    </row>
    <row r="25" spans="1:7" ht="15.75">
      <c r="A25" s="162"/>
      <c r="B25" s="189"/>
      <c r="C25" s="189"/>
      <c r="D25" s="162"/>
      <c r="E25" s="162"/>
      <c r="F25" s="162"/>
      <c r="G25" s="162"/>
    </row>
    <row r="26" spans="1:7" ht="15.75">
      <c r="A26" s="162"/>
      <c r="B26" s="173"/>
      <c r="C26" s="173"/>
      <c r="D26" s="173"/>
      <c r="E26" s="173"/>
      <c r="F26" s="162"/>
      <c r="G26" s="162"/>
    </row>
    <row r="27" spans="1:7" ht="15.75">
      <c r="A27" s="162"/>
      <c r="B27" s="205"/>
      <c r="C27" s="173"/>
      <c r="D27" s="173"/>
      <c r="E27" s="206"/>
      <c r="F27" s="162"/>
      <c r="G27" s="162"/>
    </row>
    <row r="28" spans="1:7" ht="15.75">
      <c r="A28" s="162"/>
      <c r="B28" s="205"/>
      <c r="C28" s="173"/>
      <c r="D28" s="173"/>
      <c r="E28" s="206"/>
      <c r="F28" s="162"/>
      <c r="G28" s="162"/>
    </row>
    <row r="29" spans="1:7" ht="15.75">
      <c r="A29" s="162"/>
      <c r="B29" s="189"/>
      <c r="C29" s="189"/>
      <c r="D29" s="162"/>
      <c r="E29" s="162"/>
      <c r="F29" s="162"/>
      <c r="G29" s="162"/>
    </row>
  </sheetData>
  <sheetProtection/>
  <mergeCells count="3">
    <mergeCell ref="E1:F1"/>
    <mergeCell ref="D2:F2"/>
    <mergeCell ref="B3:F3"/>
  </mergeCells>
  <printOptions/>
  <pageMargins left="0.7" right="0.7" top="0.75" bottom="0.75" header="0.3" footer="0.3"/>
  <pageSetup fitToHeight="0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7.28125" style="0" customWidth="1"/>
    <col min="2" max="2" width="69.140625" style="0" customWidth="1"/>
    <col min="3" max="3" width="26.28125" style="0" customWidth="1"/>
    <col min="4" max="4" width="24.00390625" style="0" customWidth="1"/>
    <col min="5" max="5" width="10.421875" style="0" bestFit="1" customWidth="1"/>
  </cols>
  <sheetData>
    <row r="1" ht="12.75">
      <c r="C1" s="71" t="s">
        <v>147</v>
      </c>
    </row>
    <row r="2" spans="3:4" ht="12" customHeight="1">
      <c r="C2" s="341" t="s">
        <v>525</v>
      </c>
      <c r="D2" s="341"/>
    </row>
    <row r="3" spans="3:4" ht="31.5" customHeight="1">
      <c r="C3" s="341"/>
      <c r="D3" s="341"/>
    </row>
    <row r="4" spans="2:15" ht="44.25" customHeight="1">
      <c r="B4" s="342" t="s">
        <v>287</v>
      </c>
      <c r="C4" s="342"/>
      <c r="D4" s="342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2:15" ht="12" customHeight="1"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spans="1:4" ht="29.25" customHeight="1">
      <c r="A6" s="107" t="s">
        <v>289</v>
      </c>
      <c r="B6" s="108" t="s">
        <v>148</v>
      </c>
      <c r="C6" s="109" t="s">
        <v>290</v>
      </c>
      <c r="D6" s="109" t="s">
        <v>291</v>
      </c>
    </row>
    <row r="7" spans="1:4" ht="29.25" customHeight="1">
      <c r="A7" s="110" t="s">
        <v>292</v>
      </c>
      <c r="B7" s="343" t="s">
        <v>293</v>
      </c>
      <c r="C7" s="344"/>
      <c r="D7" s="111">
        <f>D8+D9+D10+D11+D12+D13+D14+D15+D16+D17+D18+D20+D28+D38+D46</f>
        <v>1532365.0813636363</v>
      </c>
    </row>
    <row r="8" spans="1:5" ht="18.75">
      <c r="A8" s="112" t="s">
        <v>294</v>
      </c>
      <c r="B8" s="107" t="s">
        <v>295</v>
      </c>
      <c r="C8" s="113">
        <f>'[1]Иня'!E50</f>
        <v>812903.7200000001</v>
      </c>
      <c r="D8" s="113">
        <f>'[1]Иня'!F50</f>
        <v>44158.54000000001</v>
      </c>
      <c r="E8" s="62"/>
    </row>
    <row r="9" spans="1:4" ht="18.75">
      <c r="A9" s="112" t="s">
        <v>296</v>
      </c>
      <c r="B9" s="107" t="s">
        <v>297</v>
      </c>
      <c r="C9" s="113">
        <f>'[1]Купчегень'!E45</f>
        <v>110271.38999999998</v>
      </c>
      <c r="D9" s="113">
        <f>'[1]Купчегень'!F45</f>
        <v>10962.789999999999</v>
      </c>
    </row>
    <row r="10" spans="1:4" ht="18.75">
      <c r="A10" s="112" t="s">
        <v>298</v>
      </c>
      <c r="B10" s="107" t="s">
        <v>299</v>
      </c>
      <c r="C10" s="113">
        <f>'[1]Хабаровка'!F61</f>
        <v>717395.04</v>
      </c>
      <c r="D10" s="113">
        <f>'[1]Хабаровка'!G61</f>
        <v>71248.065</v>
      </c>
    </row>
    <row r="11" spans="1:4" ht="18.75">
      <c r="A11" s="112" t="s">
        <v>300</v>
      </c>
      <c r="B11" s="107" t="s">
        <v>301</v>
      </c>
      <c r="C11" s="113">
        <f>'[1]Онгудай'!E127</f>
        <v>5788761</v>
      </c>
      <c r="D11" s="113">
        <f>'[1]Онгудай'!F127</f>
        <v>319351.10000000003</v>
      </c>
    </row>
    <row r="12" spans="1:4" ht="18.75">
      <c r="A12" s="112" t="s">
        <v>302</v>
      </c>
      <c r="B12" s="107" t="s">
        <v>303</v>
      </c>
      <c r="C12" s="113">
        <f>'[1]Шашикман'!F47</f>
        <v>39493.560000000005</v>
      </c>
      <c r="D12" s="113">
        <f>'[1]Шашикман'!G47</f>
        <v>13164.52</v>
      </c>
    </row>
    <row r="13" spans="1:4" ht="18.75">
      <c r="A13" s="112" t="s">
        <v>304</v>
      </c>
      <c r="B13" s="107" t="s">
        <v>305</v>
      </c>
      <c r="C13" s="113">
        <f>'[1]Нталда'!E45</f>
        <v>87917</v>
      </c>
      <c r="D13" s="113">
        <f>'[1]Нталда'!F45</f>
        <v>3304</v>
      </c>
    </row>
    <row r="14" spans="1:4" ht="18.75">
      <c r="A14" s="112" t="s">
        <v>306</v>
      </c>
      <c r="B14" s="107" t="s">
        <v>307</v>
      </c>
      <c r="C14" s="113">
        <f>'[1]Каракол'!F45</f>
        <v>271870</v>
      </c>
      <c r="D14" s="113">
        <f>'[1]Каракол'!G45</f>
        <v>15326.3</v>
      </c>
    </row>
    <row r="15" spans="1:4" ht="18.75">
      <c r="A15" s="112" t="s">
        <v>308</v>
      </c>
      <c r="B15" s="107" t="s">
        <v>309</v>
      </c>
      <c r="C15" s="113">
        <f>'[1]Кулада'!E44</f>
        <v>391888.61000000004</v>
      </c>
      <c r="D15" s="113">
        <f>'[1]Кулада'!F44</f>
        <v>24424.45</v>
      </c>
    </row>
    <row r="16" spans="1:4" ht="18.75">
      <c r="A16" s="112" t="s">
        <v>310</v>
      </c>
      <c r="B16" s="107" t="s">
        <v>311</v>
      </c>
      <c r="C16" s="113">
        <f>'[1]Теньга'!E45</f>
        <v>1051338</v>
      </c>
      <c r="D16" s="113">
        <f>'[1]Теньга'!F45</f>
        <v>164419.07636363636</v>
      </c>
    </row>
    <row r="17" spans="1:4" ht="18.75">
      <c r="A17" s="112" t="s">
        <v>312</v>
      </c>
      <c r="B17" s="107" t="s">
        <v>313</v>
      </c>
      <c r="C17" s="113">
        <f>'[1]Ело'!F79</f>
        <v>1866074.5900000003</v>
      </c>
      <c r="D17" s="113">
        <f>'[1]Ело'!G79</f>
        <v>68201.03999999996</v>
      </c>
    </row>
    <row r="18" spans="1:4" ht="18.75">
      <c r="A18" s="112" t="s">
        <v>314</v>
      </c>
      <c r="B18" s="114" t="s">
        <v>315</v>
      </c>
      <c r="C18" s="113">
        <f>'[1]ОКС'!F27</f>
        <v>1111504</v>
      </c>
      <c r="D18" s="113">
        <f>'[1]ОКС'!G27</f>
        <v>55575.2</v>
      </c>
    </row>
    <row r="19" spans="1:4" ht="36.75" customHeight="1" hidden="1">
      <c r="A19" s="46"/>
      <c r="B19" s="115"/>
      <c r="C19" s="116"/>
      <c r="D19" s="116"/>
    </row>
    <row r="20" spans="1:4" ht="18.75">
      <c r="A20" s="110" t="s">
        <v>316</v>
      </c>
      <c r="B20" s="107" t="s">
        <v>317</v>
      </c>
      <c r="C20" s="46"/>
      <c r="D20" s="117">
        <f>SUM(D22:D25)</f>
        <v>139913</v>
      </c>
    </row>
    <row r="21" spans="1:4" ht="18.75" hidden="1">
      <c r="A21" s="112"/>
      <c r="B21" s="107" t="s">
        <v>318</v>
      </c>
      <c r="C21" s="117">
        <v>1362590</v>
      </c>
      <c r="D21" s="117">
        <v>136259</v>
      </c>
    </row>
    <row r="22" spans="1:4" ht="18.75" hidden="1">
      <c r="A22" s="110"/>
      <c r="B22" s="107" t="s">
        <v>319</v>
      </c>
      <c r="C22" s="117">
        <v>554100</v>
      </c>
      <c r="D22" s="117">
        <v>55410</v>
      </c>
    </row>
    <row r="23" spans="1:4" ht="18.75" hidden="1">
      <c r="A23" s="112"/>
      <c r="B23" s="107" t="s">
        <v>320</v>
      </c>
      <c r="C23" s="117">
        <v>277460</v>
      </c>
      <c r="D23" s="117">
        <v>27746</v>
      </c>
    </row>
    <row r="24" spans="1:4" ht="18.75" hidden="1">
      <c r="A24" s="110"/>
      <c r="B24" s="107" t="s">
        <v>321</v>
      </c>
      <c r="C24" s="117">
        <v>288750</v>
      </c>
      <c r="D24" s="117">
        <v>28875</v>
      </c>
    </row>
    <row r="25" spans="1:4" ht="18.75" hidden="1">
      <c r="A25" s="112"/>
      <c r="B25" s="107" t="s">
        <v>322</v>
      </c>
      <c r="C25" s="117">
        <v>278820</v>
      </c>
      <c r="D25" s="117">
        <v>27882</v>
      </c>
    </row>
    <row r="26" spans="1:4" ht="18.75" hidden="1">
      <c r="A26" s="110"/>
      <c r="B26" s="107" t="s">
        <v>323</v>
      </c>
      <c r="C26" s="117">
        <v>379750</v>
      </c>
      <c r="D26" s="117">
        <v>7750</v>
      </c>
    </row>
    <row r="27" spans="1:4" ht="37.5" hidden="1">
      <c r="A27" s="112"/>
      <c r="B27" s="118" t="s">
        <v>324</v>
      </c>
      <c r="C27" s="117">
        <v>106340</v>
      </c>
      <c r="D27" s="117">
        <v>10634</v>
      </c>
    </row>
    <row r="28" spans="1:4" ht="18.75">
      <c r="A28" s="110" t="s">
        <v>325</v>
      </c>
      <c r="B28" s="107" t="s">
        <v>326</v>
      </c>
      <c r="C28" s="117"/>
      <c r="D28" s="117">
        <f>SUM(D29:D37)</f>
        <v>94673</v>
      </c>
    </row>
    <row r="29" spans="1:4" ht="18.75" hidden="1">
      <c r="A29" s="112"/>
      <c r="B29" s="107" t="s">
        <v>327</v>
      </c>
      <c r="C29" s="117">
        <f>27128*10</f>
        <v>271280</v>
      </c>
      <c r="D29" s="117">
        <v>27128</v>
      </c>
    </row>
    <row r="30" spans="1:4" ht="18.75" hidden="1">
      <c r="A30" s="110"/>
      <c r="B30" s="107" t="s">
        <v>328</v>
      </c>
      <c r="C30" s="117">
        <f>5122*10</f>
        <v>51220</v>
      </c>
      <c r="D30" s="117">
        <v>5122</v>
      </c>
    </row>
    <row r="31" spans="1:4" ht="18.75" hidden="1">
      <c r="A31" s="112"/>
      <c r="B31" s="107" t="s">
        <v>329</v>
      </c>
      <c r="C31" s="117">
        <f>3460*10</f>
        <v>34600</v>
      </c>
      <c r="D31" s="117"/>
    </row>
    <row r="32" spans="1:4" ht="18.75" hidden="1">
      <c r="A32" s="110"/>
      <c r="B32" s="107" t="s">
        <v>330</v>
      </c>
      <c r="C32" s="117">
        <f>2829*20</f>
        <v>56580</v>
      </c>
      <c r="D32" s="117">
        <v>2829</v>
      </c>
    </row>
    <row r="33" spans="1:4" ht="18.75" hidden="1">
      <c r="A33" s="112"/>
      <c r="B33" s="107" t="s">
        <v>331</v>
      </c>
      <c r="C33" s="117">
        <f>4244*15</f>
        <v>63660</v>
      </c>
      <c r="D33" s="117">
        <v>4244</v>
      </c>
    </row>
    <row r="34" spans="1:4" ht="18.75" hidden="1">
      <c r="A34" s="110"/>
      <c r="B34" s="107" t="s">
        <v>332</v>
      </c>
      <c r="C34" s="117">
        <f>38367*30</f>
        <v>1151010</v>
      </c>
      <c r="D34" s="117">
        <v>38367</v>
      </c>
    </row>
    <row r="35" spans="1:4" ht="18.75" hidden="1">
      <c r="A35" s="112"/>
      <c r="B35" s="107" t="s">
        <v>333</v>
      </c>
      <c r="C35" s="117">
        <f>7171*15</f>
        <v>107565</v>
      </c>
      <c r="D35" s="117">
        <v>7171</v>
      </c>
    </row>
    <row r="36" spans="1:4" ht="18.75" hidden="1">
      <c r="A36" s="110"/>
      <c r="B36" s="107" t="s">
        <v>334</v>
      </c>
      <c r="C36" s="117">
        <f>4558*25</f>
        <v>113950</v>
      </c>
      <c r="D36" s="117">
        <v>4558</v>
      </c>
    </row>
    <row r="37" spans="1:4" ht="18.75" hidden="1">
      <c r="A37" s="112"/>
      <c r="B37" s="107" t="s">
        <v>335</v>
      </c>
      <c r="C37" s="117">
        <f>5254*49</f>
        <v>257446</v>
      </c>
      <c r="D37" s="117">
        <v>5254</v>
      </c>
    </row>
    <row r="38" spans="1:4" ht="18.75">
      <c r="A38" s="110" t="s">
        <v>336</v>
      </c>
      <c r="B38" s="107" t="s">
        <v>337</v>
      </c>
      <c r="C38" s="117"/>
      <c r="D38" s="117">
        <f>SUM(D39:D44)</f>
        <v>42644</v>
      </c>
    </row>
    <row r="39" spans="1:4" ht="18.75" hidden="1">
      <c r="A39" s="112"/>
      <c r="B39" s="107" t="s">
        <v>338</v>
      </c>
      <c r="C39" s="117">
        <f>2862*20</f>
        <v>57240</v>
      </c>
      <c r="D39" s="117">
        <v>2862</v>
      </c>
    </row>
    <row r="40" spans="1:4" ht="18.75" hidden="1">
      <c r="A40" s="110"/>
      <c r="B40" s="107" t="s">
        <v>339</v>
      </c>
      <c r="C40" s="117">
        <f>2394*49</f>
        <v>117306</v>
      </c>
      <c r="D40" s="117">
        <v>2394</v>
      </c>
    </row>
    <row r="41" spans="1:4" ht="18.75" hidden="1">
      <c r="A41" s="112"/>
      <c r="B41" s="107" t="s">
        <v>340</v>
      </c>
      <c r="C41" s="117">
        <f>5639*49</f>
        <v>276311</v>
      </c>
      <c r="D41" s="117">
        <v>5639</v>
      </c>
    </row>
    <row r="42" spans="1:4" ht="18.75" hidden="1">
      <c r="A42" s="110"/>
      <c r="B42" s="107" t="s">
        <v>341</v>
      </c>
      <c r="C42" s="117">
        <f>3736*49</f>
        <v>183064</v>
      </c>
      <c r="D42" s="117">
        <v>3736</v>
      </c>
    </row>
    <row r="43" spans="1:4" ht="18.75" hidden="1">
      <c r="A43" s="112"/>
      <c r="B43" s="107" t="s">
        <v>342</v>
      </c>
      <c r="C43" s="117"/>
      <c r="D43" s="117">
        <v>8025</v>
      </c>
    </row>
    <row r="44" spans="1:4" ht="18.75" hidden="1">
      <c r="A44" s="110"/>
      <c r="B44" s="107" t="s">
        <v>343</v>
      </c>
      <c r="C44" s="117">
        <f>19988*49</f>
        <v>979412</v>
      </c>
      <c r="D44" s="117">
        <v>19988</v>
      </c>
    </row>
    <row r="45" spans="1:4" ht="18.75" hidden="1">
      <c r="A45" s="112"/>
      <c r="B45" s="115" t="s">
        <v>344</v>
      </c>
      <c r="C45" s="46"/>
      <c r="D45" s="111">
        <f>D20+D28+D38</f>
        <v>277230</v>
      </c>
    </row>
    <row r="46" spans="1:4" ht="18.75">
      <c r="A46" s="110">
        <v>5</v>
      </c>
      <c r="B46" s="107" t="s">
        <v>345</v>
      </c>
      <c r="C46" s="119"/>
      <c r="D46" s="120">
        <v>465000</v>
      </c>
    </row>
    <row r="47" spans="1:15" s="47" customFormat="1" ht="18.75">
      <c r="A47" s="110" t="s">
        <v>346</v>
      </c>
      <c r="B47" s="343" t="s">
        <v>347</v>
      </c>
      <c r="C47" s="344"/>
      <c r="D47" s="121">
        <f>SUM(D48:D51)</f>
        <v>258610.81666666665</v>
      </c>
      <c r="E47" s="122"/>
      <c r="F47" s="122"/>
      <c r="G47" s="122"/>
      <c r="H47" s="122"/>
      <c r="I47" s="122"/>
      <c r="J47" s="122"/>
      <c r="K47" s="122"/>
      <c r="L47" s="122"/>
      <c r="M47" s="122"/>
      <c r="N47" s="123"/>
      <c r="O47" s="123"/>
    </row>
    <row r="48" spans="1:15" s="47" customFormat="1" ht="18.75">
      <c r="A48" s="112" t="s">
        <v>348</v>
      </c>
      <c r="B48" s="107" t="s">
        <v>149</v>
      </c>
      <c r="C48" s="114"/>
      <c r="D48" s="124">
        <f>D11/2</f>
        <v>159675.55000000002</v>
      </c>
      <c r="E48" s="122"/>
      <c r="F48" s="122"/>
      <c r="G48" s="122"/>
      <c r="H48" s="122"/>
      <c r="I48" s="122"/>
      <c r="J48" s="122"/>
      <c r="K48" s="122"/>
      <c r="L48" s="122"/>
      <c r="M48" s="122"/>
      <c r="N48" s="123"/>
      <c r="O48" s="123"/>
    </row>
    <row r="49" spans="1:15" s="47" customFormat="1" ht="18.75">
      <c r="A49" s="112" t="s">
        <v>349</v>
      </c>
      <c r="B49" s="107" t="s">
        <v>150</v>
      </c>
      <c r="C49" s="114"/>
      <c r="D49" s="124">
        <f>D17/0.9</f>
        <v>75778.93333333329</v>
      </c>
      <c r="E49" s="122"/>
      <c r="F49" s="122"/>
      <c r="G49" s="122"/>
      <c r="H49" s="122"/>
      <c r="I49" s="122"/>
      <c r="J49" s="122"/>
      <c r="K49" s="122"/>
      <c r="L49" s="122"/>
      <c r="M49" s="122"/>
      <c r="N49" s="123"/>
      <c r="O49" s="123"/>
    </row>
    <row r="50" spans="1:15" s="47" customFormat="1" ht="18.75">
      <c r="A50" s="112" t="s">
        <v>350</v>
      </c>
      <c r="B50" s="107" t="s">
        <v>151</v>
      </c>
      <c r="C50" s="114"/>
      <c r="D50" s="124">
        <f>D18/2.4</f>
        <v>23156.333333333332</v>
      </c>
      <c r="E50" s="122"/>
      <c r="F50" s="122"/>
      <c r="G50" s="122"/>
      <c r="H50" s="122"/>
      <c r="I50" s="122"/>
      <c r="J50" s="122"/>
      <c r="K50" s="122"/>
      <c r="L50" s="122"/>
      <c r="M50" s="122"/>
      <c r="N50" s="123"/>
      <c r="O50" s="123"/>
    </row>
    <row r="51" spans="1:15" s="47" customFormat="1" ht="18.75">
      <c r="A51" s="112" t="s">
        <v>351</v>
      </c>
      <c r="B51" s="107" t="s">
        <v>152</v>
      </c>
      <c r="C51" s="114"/>
      <c r="D51" s="124">
        <v>0</v>
      </c>
      <c r="E51" s="122"/>
      <c r="F51" s="122"/>
      <c r="G51" s="122"/>
      <c r="H51" s="122"/>
      <c r="I51" s="122"/>
      <c r="J51" s="122"/>
      <c r="K51" s="122"/>
      <c r="L51" s="122"/>
      <c r="M51" s="122"/>
      <c r="N51" s="123"/>
      <c r="O51" s="123"/>
    </row>
    <row r="52" spans="1:15" s="47" customFormat="1" ht="18.75">
      <c r="A52" s="46"/>
      <c r="B52" s="125" t="s">
        <v>153</v>
      </c>
      <c r="C52" s="114"/>
      <c r="D52" s="126">
        <f>D7+D47</f>
        <v>1790975.898030303</v>
      </c>
      <c r="E52" s="122"/>
      <c r="F52" s="122"/>
      <c r="G52" s="122"/>
      <c r="H52" s="122"/>
      <c r="I52" s="122"/>
      <c r="J52" s="122"/>
      <c r="K52" s="122"/>
      <c r="L52" s="122"/>
      <c r="M52" s="122"/>
      <c r="O52" s="127"/>
    </row>
    <row r="53" s="47" customFormat="1" ht="12.75"/>
    <row r="54" s="47" customFormat="1" ht="12.75"/>
    <row r="55" s="47" customFormat="1" ht="12.75"/>
    <row r="56" s="47" customFormat="1" ht="12.75"/>
  </sheetData>
  <sheetProtection/>
  <mergeCells count="4">
    <mergeCell ref="C2:D3"/>
    <mergeCell ref="B4:D4"/>
    <mergeCell ref="B7:C7"/>
    <mergeCell ref="B47:C47"/>
  </mergeCells>
  <printOptions/>
  <pageMargins left="0.7" right="0.7" top="0.75" bottom="0.75" header="0.3" footer="0.3"/>
  <pageSetup horizontalDpi="600" verticalDpi="600" orientation="portrait" paperSize="9" scale="70" r:id="rId1"/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="60" zoomScalePageLayoutView="0" workbookViewId="0" topLeftCell="A1">
      <selection activeCell="B7" sqref="B7"/>
    </sheetView>
  </sheetViews>
  <sheetFormatPr defaultColWidth="9.140625" defaultRowHeight="12.75"/>
  <cols>
    <col min="1" max="1" width="5.57421875" style="0" customWidth="1"/>
    <col min="2" max="2" width="38.140625" style="0" customWidth="1"/>
    <col min="3" max="3" width="31.140625" style="0" customWidth="1"/>
    <col min="4" max="4" width="15.421875" style="0" hidden="1" customWidth="1"/>
    <col min="5" max="5" width="19.7109375" style="0" customWidth="1"/>
    <col min="6" max="6" width="17.421875" style="0" hidden="1" customWidth="1"/>
    <col min="7" max="7" width="15.7109375" style="0" hidden="1" customWidth="1"/>
    <col min="8" max="8" width="15.00390625" style="0" hidden="1" customWidth="1"/>
    <col min="9" max="9" width="0" style="0" hidden="1" customWidth="1"/>
    <col min="10" max="10" width="13.140625" style="0" bestFit="1" customWidth="1"/>
  </cols>
  <sheetData>
    <row r="1" spans="4:5" ht="12.75" customHeight="1">
      <c r="D1" s="345" t="s">
        <v>147</v>
      </c>
      <c r="E1" s="345"/>
    </row>
    <row r="2" spans="3:6" ht="12.75" customHeight="1">
      <c r="C2" s="347" t="s">
        <v>646</v>
      </c>
      <c r="D2" s="347"/>
      <c r="E2" s="347"/>
      <c r="F2" s="52"/>
    </row>
    <row r="3" spans="3:6" ht="57" customHeight="1">
      <c r="C3" s="347"/>
      <c r="D3" s="347"/>
      <c r="E3" s="347"/>
      <c r="F3" s="52"/>
    </row>
    <row r="4" spans="4:6" ht="12.75">
      <c r="D4" s="52"/>
      <c r="E4" s="52"/>
      <c r="F4" s="52"/>
    </row>
    <row r="5" spans="2:6" ht="12.75" customHeight="1">
      <c r="B5" s="346" t="s">
        <v>684</v>
      </c>
      <c r="C5" s="346"/>
      <c r="D5" s="346"/>
      <c r="E5" s="54"/>
      <c r="F5" s="54"/>
    </row>
    <row r="6" spans="2:6" ht="12.75">
      <c r="B6" s="346"/>
      <c r="C6" s="346"/>
      <c r="D6" s="346"/>
      <c r="E6" s="54"/>
      <c r="F6" s="54"/>
    </row>
    <row r="7" spans="2:6" ht="12.75">
      <c r="B7" s="53"/>
      <c r="C7" s="53"/>
      <c r="D7" s="53"/>
      <c r="E7" s="54"/>
      <c r="F7" s="54"/>
    </row>
    <row r="8" ht="13.5" thickBot="1"/>
    <row r="9" spans="1:8" ht="45">
      <c r="A9" s="240" t="s">
        <v>139</v>
      </c>
      <c r="B9" s="240" t="s">
        <v>140</v>
      </c>
      <c r="C9" s="240"/>
      <c r="D9" s="240" t="s">
        <v>141</v>
      </c>
      <c r="E9" s="240" t="s">
        <v>647</v>
      </c>
      <c r="F9" s="55" t="s">
        <v>142</v>
      </c>
      <c r="G9" s="56" t="s">
        <v>143</v>
      </c>
      <c r="H9" s="57" t="s">
        <v>144</v>
      </c>
    </row>
    <row r="10" spans="1:11" ht="63">
      <c r="A10" s="58">
        <v>1</v>
      </c>
      <c r="B10" s="60" t="s">
        <v>648</v>
      </c>
      <c r="C10" s="60" t="s">
        <v>649</v>
      </c>
      <c r="D10" s="61"/>
      <c r="E10" s="61">
        <v>27450</v>
      </c>
      <c r="F10" s="236">
        <v>40543</v>
      </c>
      <c r="G10" s="61">
        <v>11016</v>
      </c>
      <c r="H10" s="61">
        <f>E10-G10</f>
        <v>16434</v>
      </c>
      <c r="I10">
        <f>3*D10</f>
        <v>0</v>
      </c>
      <c r="J10" s="62"/>
      <c r="K10" s="62"/>
    </row>
    <row r="11" spans="1:11" ht="47.25">
      <c r="A11" s="58">
        <v>2</v>
      </c>
      <c r="B11" s="60" t="s">
        <v>650</v>
      </c>
      <c r="C11" s="60" t="s">
        <v>651</v>
      </c>
      <c r="D11" s="61">
        <v>3000</v>
      </c>
      <c r="E11" s="61">
        <v>36000</v>
      </c>
      <c r="F11" s="237"/>
      <c r="G11" s="63"/>
      <c r="H11" s="61"/>
      <c r="J11" s="62"/>
      <c r="K11" s="62"/>
    </row>
    <row r="12" spans="1:11" ht="15.75">
      <c r="A12" s="58">
        <f>A11+1</f>
        <v>3</v>
      </c>
      <c r="B12" s="60" t="s">
        <v>652</v>
      </c>
      <c r="C12" s="60" t="s">
        <v>653</v>
      </c>
      <c r="D12" s="234">
        <v>16553.25</v>
      </c>
      <c r="E12" s="235">
        <v>198639</v>
      </c>
      <c r="F12" s="238">
        <v>40543</v>
      </c>
      <c r="G12" s="63">
        <v>47344</v>
      </c>
      <c r="H12" s="63"/>
      <c r="J12" s="62"/>
      <c r="K12" s="62"/>
    </row>
    <row r="13" spans="1:11" ht="31.5">
      <c r="A13" s="58">
        <f>A12+1</f>
        <v>4</v>
      </c>
      <c r="B13" s="60" t="s">
        <v>145</v>
      </c>
      <c r="C13" s="60" t="s">
        <v>654</v>
      </c>
      <c r="D13" s="234">
        <v>5372.8</v>
      </c>
      <c r="E13" s="235">
        <v>64473.6</v>
      </c>
      <c r="F13" s="238">
        <v>40543</v>
      </c>
      <c r="G13" s="63">
        <v>23976</v>
      </c>
      <c r="H13" s="63">
        <v>0</v>
      </c>
      <c r="J13" s="62"/>
      <c r="K13" s="62"/>
    </row>
    <row r="14" spans="1:11" ht="15.75" customHeight="1">
      <c r="A14" s="58">
        <f>A13+1</f>
        <v>5</v>
      </c>
      <c r="B14" s="60" t="s">
        <v>146</v>
      </c>
      <c r="C14" s="60" t="s">
        <v>655</v>
      </c>
      <c r="D14" s="61">
        <v>2542.25</v>
      </c>
      <c r="E14" s="235">
        <v>30507</v>
      </c>
      <c r="F14" s="238">
        <v>40543</v>
      </c>
      <c r="G14" s="63">
        <v>19579</v>
      </c>
      <c r="H14" s="63">
        <v>13985</v>
      </c>
      <c r="J14" s="62"/>
      <c r="K14" s="62"/>
    </row>
    <row r="15" spans="1:11" ht="58.5" customHeight="1">
      <c r="A15" s="58">
        <f>A14+1</f>
        <v>6</v>
      </c>
      <c r="B15" s="60" t="s">
        <v>154</v>
      </c>
      <c r="C15" s="60" t="s">
        <v>654</v>
      </c>
      <c r="D15" s="234">
        <v>3312</v>
      </c>
      <c r="E15" s="235">
        <v>39744</v>
      </c>
      <c r="F15" s="238"/>
      <c r="G15" s="63"/>
      <c r="H15" s="63"/>
      <c r="J15" s="62"/>
      <c r="K15" s="62"/>
    </row>
    <row r="16" spans="1:11" ht="58.5" customHeight="1">
      <c r="A16" s="58">
        <v>8</v>
      </c>
      <c r="B16" s="60" t="s">
        <v>656</v>
      </c>
      <c r="C16" s="60" t="s">
        <v>657</v>
      </c>
      <c r="D16" s="234"/>
      <c r="E16" s="235">
        <v>15200</v>
      </c>
      <c r="F16" s="238"/>
      <c r="G16" s="63"/>
      <c r="H16" s="63"/>
      <c r="J16" s="62"/>
      <c r="K16" s="62"/>
    </row>
    <row r="17" spans="1:10" s="67" customFormat="1" ht="12.75">
      <c r="A17" s="64"/>
      <c r="B17" s="64"/>
      <c r="C17" s="64"/>
      <c r="D17" s="65">
        <f>SUM(D10:D15)</f>
        <v>30780.3</v>
      </c>
      <c r="E17" s="66">
        <f>E16+E15+E14+E13+E12+E11+E10</f>
        <v>412013.6</v>
      </c>
      <c r="F17" s="239"/>
      <c r="G17" s="64"/>
      <c r="H17" s="64"/>
      <c r="J17" s="68"/>
    </row>
    <row r="18" spans="4:5" ht="12.75">
      <c r="D18" s="69"/>
      <c r="E18" s="87">
        <f>E17/1000</f>
        <v>412.0136</v>
      </c>
    </row>
    <row r="19" ht="12.75">
      <c r="E19" s="69"/>
    </row>
    <row r="20" ht="12.75">
      <c r="E20" s="62"/>
    </row>
  </sheetData>
  <sheetProtection/>
  <mergeCells count="3">
    <mergeCell ref="D1:E1"/>
    <mergeCell ref="B5:D6"/>
    <mergeCell ref="C2:E3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4"/>
  <sheetViews>
    <sheetView zoomScalePageLayoutView="0" workbookViewId="0" topLeftCell="A46">
      <selection activeCell="A60" sqref="A60"/>
    </sheetView>
  </sheetViews>
  <sheetFormatPr defaultColWidth="9.140625" defaultRowHeight="12.75"/>
  <cols>
    <col min="1" max="1" width="45.8515625" style="0" customWidth="1"/>
    <col min="3" max="3" width="20.7109375" style="0" customWidth="1"/>
    <col min="4" max="4" width="20.140625" style="0" customWidth="1"/>
    <col min="5" max="5" width="21.421875" style="0" customWidth="1"/>
  </cols>
  <sheetData>
    <row r="1" spans="1:4" ht="15.75">
      <c r="A1" s="348" t="s">
        <v>244</v>
      </c>
      <c r="B1" s="348"/>
      <c r="C1" s="348"/>
      <c r="D1" s="348"/>
    </row>
    <row r="2" spans="1:4" ht="15.75">
      <c r="A2" s="348" t="s">
        <v>245</v>
      </c>
      <c r="B2" s="348"/>
      <c r="C2" s="348"/>
      <c r="D2" s="348"/>
    </row>
    <row r="3" spans="1:4" ht="15.75">
      <c r="A3" s="348" t="s">
        <v>246</v>
      </c>
      <c r="B3" s="348"/>
      <c r="C3" s="348"/>
      <c r="D3" s="348"/>
    </row>
    <row r="4" spans="1:4" ht="15.75">
      <c r="A4" s="348" t="s">
        <v>247</v>
      </c>
      <c r="B4" s="348"/>
      <c r="C4" s="348"/>
      <c r="D4" s="348"/>
    </row>
    <row r="5" spans="1:4" ht="15.75">
      <c r="A5" s="348" t="s">
        <v>248</v>
      </c>
      <c r="B5" s="348"/>
      <c r="C5" s="348"/>
      <c r="D5" s="348"/>
    </row>
    <row r="6" spans="1:4" ht="15">
      <c r="A6" s="356" t="s">
        <v>249</v>
      </c>
      <c r="B6" s="356"/>
      <c r="C6" s="356"/>
      <c r="D6" s="356"/>
    </row>
    <row r="7" spans="1:4" ht="15.75">
      <c r="A7" s="348" t="s">
        <v>248</v>
      </c>
      <c r="B7" s="348"/>
      <c r="C7" s="348"/>
      <c r="D7" s="348"/>
    </row>
    <row r="8" spans="1:4" ht="15.75">
      <c r="A8" s="348" t="s">
        <v>250</v>
      </c>
      <c r="B8" s="348"/>
      <c r="C8" s="348"/>
      <c r="D8" s="348"/>
    </row>
    <row r="9" ht="15.75">
      <c r="A9" s="72" t="s">
        <v>158</v>
      </c>
    </row>
    <row r="10" spans="1:5" ht="47.25">
      <c r="A10" s="78" t="s">
        <v>0</v>
      </c>
      <c r="B10" s="78" t="s">
        <v>159</v>
      </c>
      <c r="C10" s="78">
        <v>2014</v>
      </c>
      <c r="D10" s="78">
        <v>2015</v>
      </c>
      <c r="E10" s="86" t="s">
        <v>254</v>
      </c>
    </row>
    <row r="11" spans="1:5" ht="30.75" customHeight="1">
      <c r="A11" s="349" t="s">
        <v>160</v>
      </c>
      <c r="B11" s="349"/>
      <c r="C11" s="349"/>
      <c r="D11" s="349"/>
      <c r="E11" s="349"/>
    </row>
    <row r="12" spans="1:5" ht="15">
      <c r="A12" s="79" t="s">
        <v>161</v>
      </c>
      <c r="B12" s="80"/>
      <c r="C12" s="80"/>
      <c r="D12" s="80"/>
      <c r="E12" s="80"/>
    </row>
    <row r="13" spans="1:5" ht="30">
      <c r="A13" s="81" t="s">
        <v>162</v>
      </c>
      <c r="B13" s="80" t="s">
        <v>163</v>
      </c>
      <c r="C13" s="84">
        <v>144732.2</v>
      </c>
      <c r="D13" s="84">
        <v>147845.3</v>
      </c>
      <c r="E13" s="84">
        <f>(C13+D13)/2</f>
        <v>146288.75</v>
      </c>
    </row>
    <row r="14" spans="1:5" ht="30">
      <c r="A14" s="81" t="s">
        <v>164</v>
      </c>
      <c r="B14" s="80" t="s">
        <v>163</v>
      </c>
      <c r="C14" s="84">
        <v>305378.1</v>
      </c>
      <c r="D14" s="84">
        <v>315937.8</v>
      </c>
      <c r="E14" s="84">
        <f>(C14+D14)/2</f>
        <v>310657.94999999995</v>
      </c>
    </row>
    <row r="15" spans="1:5" ht="30">
      <c r="A15" s="81" t="s">
        <v>165</v>
      </c>
      <c r="B15" s="80" t="s">
        <v>163</v>
      </c>
      <c r="C15" s="84">
        <v>446407</v>
      </c>
      <c r="D15" s="84"/>
      <c r="E15" s="84"/>
    </row>
    <row r="16" spans="1:5" ht="30">
      <c r="A16" s="81" t="s">
        <v>166</v>
      </c>
      <c r="B16" s="80" t="s">
        <v>163</v>
      </c>
      <c r="C16" s="84">
        <v>618163.7</v>
      </c>
      <c r="D16" s="84"/>
      <c r="E16" s="84"/>
    </row>
    <row r="17" spans="1:5" ht="15">
      <c r="A17" s="81" t="s">
        <v>251</v>
      </c>
      <c r="B17" s="80"/>
      <c r="C17" s="350"/>
      <c r="D17" s="351"/>
      <c r="E17" s="84">
        <f>E14</f>
        <v>310657.94999999995</v>
      </c>
    </row>
    <row r="18" spans="1:5" ht="15">
      <c r="A18" s="81" t="s">
        <v>252</v>
      </c>
      <c r="B18" s="80"/>
      <c r="C18" s="352"/>
      <c r="D18" s="353"/>
      <c r="E18" s="84">
        <f>E17/6</f>
        <v>51776.32499999999</v>
      </c>
    </row>
    <row r="19" spans="1:5" ht="15.75">
      <c r="A19" s="81" t="s">
        <v>253</v>
      </c>
      <c r="B19" s="80"/>
      <c r="C19" s="354"/>
      <c r="D19" s="355"/>
      <c r="E19" s="85">
        <f>E18*12</f>
        <v>621315.8999999999</v>
      </c>
    </row>
    <row r="20" spans="1:5" ht="15">
      <c r="A20" s="82"/>
      <c r="B20" s="83"/>
      <c r="C20" s="83"/>
      <c r="D20" s="83"/>
      <c r="E20" s="83"/>
    </row>
    <row r="21" spans="1:4" ht="30.75" thickBot="1">
      <c r="A21" s="76" t="s">
        <v>167</v>
      </c>
      <c r="B21" s="77"/>
      <c r="C21" s="77"/>
      <c r="D21" s="77"/>
    </row>
    <row r="22" spans="1:4" ht="30.75" thickBot="1">
      <c r="A22" s="75" t="s">
        <v>162</v>
      </c>
      <c r="B22" s="73" t="s">
        <v>163</v>
      </c>
      <c r="C22" s="73" t="s">
        <v>168</v>
      </c>
      <c r="D22" s="73" t="s">
        <v>169</v>
      </c>
    </row>
    <row r="23" spans="1:4" ht="30.75" thickBot="1">
      <c r="A23" s="75" t="s">
        <v>164</v>
      </c>
      <c r="B23" s="73" t="s">
        <v>163</v>
      </c>
      <c r="C23" s="73" t="s">
        <v>170</v>
      </c>
      <c r="D23" s="73" t="s">
        <v>171</v>
      </c>
    </row>
    <row r="24" spans="1:4" ht="30.75" thickBot="1">
      <c r="A24" s="75" t="s">
        <v>165</v>
      </c>
      <c r="B24" s="73" t="s">
        <v>163</v>
      </c>
      <c r="C24" s="73" t="s">
        <v>172</v>
      </c>
      <c r="D24" s="73"/>
    </row>
    <row r="25" spans="1:4" ht="30.75" thickBot="1">
      <c r="A25" s="75" t="s">
        <v>166</v>
      </c>
      <c r="B25" s="73" t="s">
        <v>163</v>
      </c>
      <c r="C25" s="73" t="s">
        <v>173</v>
      </c>
      <c r="D25" s="73"/>
    </row>
    <row r="26" spans="1:4" ht="30.75" thickBot="1">
      <c r="A26" s="74" t="s">
        <v>174</v>
      </c>
      <c r="B26" s="73"/>
      <c r="C26" s="73"/>
      <c r="D26" s="73"/>
    </row>
    <row r="27" spans="1:4" ht="30.75" thickBot="1">
      <c r="A27" s="75" t="s">
        <v>162</v>
      </c>
      <c r="B27" s="73" t="s">
        <v>163</v>
      </c>
      <c r="C27" s="73" t="s">
        <v>175</v>
      </c>
      <c r="D27" s="73" t="s">
        <v>176</v>
      </c>
    </row>
    <row r="28" spans="1:4" ht="30.75" thickBot="1">
      <c r="A28" s="75" t="s">
        <v>164</v>
      </c>
      <c r="B28" s="73" t="s">
        <v>163</v>
      </c>
      <c r="C28" s="73">
        <v>2168</v>
      </c>
      <c r="D28" s="73" t="s">
        <v>177</v>
      </c>
    </row>
    <row r="29" spans="1:4" ht="30.75" thickBot="1">
      <c r="A29" s="75" t="s">
        <v>165</v>
      </c>
      <c r="B29" s="73" t="s">
        <v>163</v>
      </c>
      <c r="C29" s="73" t="s">
        <v>178</v>
      </c>
      <c r="D29" s="73"/>
    </row>
    <row r="30" spans="1:4" ht="30.75" thickBot="1">
      <c r="A30" s="75" t="s">
        <v>166</v>
      </c>
      <c r="B30" s="73" t="s">
        <v>163</v>
      </c>
      <c r="C30" s="73" t="s">
        <v>179</v>
      </c>
      <c r="D30" s="73"/>
    </row>
    <row r="31" spans="1:4" ht="45.75" thickBot="1">
      <c r="A31" s="74" t="s">
        <v>180</v>
      </c>
      <c r="B31" s="73"/>
      <c r="C31" s="73"/>
      <c r="D31" s="73"/>
    </row>
    <row r="32" spans="1:4" ht="30.75" thickBot="1">
      <c r="A32" s="75" t="s">
        <v>162</v>
      </c>
      <c r="B32" s="73" t="s">
        <v>163</v>
      </c>
      <c r="C32" s="73" t="s">
        <v>181</v>
      </c>
      <c r="D32" s="73" t="s">
        <v>182</v>
      </c>
    </row>
    <row r="33" spans="1:4" ht="30.75" thickBot="1">
      <c r="A33" s="75" t="s">
        <v>164</v>
      </c>
      <c r="B33" s="73" t="s">
        <v>163</v>
      </c>
      <c r="C33" s="73" t="s">
        <v>183</v>
      </c>
      <c r="D33" s="73" t="s">
        <v>184</v>
      </c>
    </row>
    <row r="34" spans="1:4" ht="30.75" thickBot="1">
      <c r="A34" s="75" t="s">
        <v>165</v>
      </c>
      <c r="B34" s="73" t="s">
        <v>163</v>
      </c>
      <c r="C34" s="73" t="s">
        <v>185</v>
      </c>
      <c r="D34" s="73"/>
    </row>
    <row r="35" spans="1:4" ht="30.75" thickBot="1">
      <c r="A35" s="75" t="s">
        <v>166</v>
      </c>
      <c r="B35" s="73" t="s">
        <v>163</v>
      </c>
      <c r="C35" s="73" t="s">
        <v>186</v>
      </c>
      <c r="D35" s="73"/>
    </row>
    <row r="36" spans="1:4" ht="15.75" thickBot="1">
      <c r="A36" s="74" t="s">
        <v>187</v>
      </c>
      <c r="B36" s="73"/>
      <c r="C36" s="73"/>
      <c r="D36" s="73"/>
    </row>
    <row r="37" spans="1:4" ht="30.75" thickBot="1">
      <c r="A37" s="75" t="s">
        <v>162</v>
      </c>
      <c r="B37" s="73" t="s">
        <v>163</v>
      </c>
      <c r="C37" s="73" t="s">
        <v>188</v>
      </c>
      <c r="D37" s="73"/>
    </row>
    <row r="38" spans="1:4" ht="30.75" thickBot="1">
      <c r="A38" s="75" t="s">
        <v>164</v>
      </c>
      <c r="B38" s="73" t="s">
        <v>163</v>
      </c>
      <c r="C38" s="73">
        <v>338</v>
      </c>
      <c r="D38" s="73"/>
    </row>
    <row r="39" spans="1:4" ht="30.75" thickBot="1">
      <c r="A39" s="75" t="s">
        <v>165</v>
      </c>
      <c r="B39" s="73" t="s">
        <v>163</v>
      </c>
      <c r="C39" s="73" t="s">
        <v>189</v>
      </c>
      <c r="D39" s="73"/>
    </row>
    <row r="40" spans="1:4" ht="30.75" thickBot="1">
      <c r="A40" s="75" t="s">
        <v>166</v>
      </c>
      <c r="B40" s="73" t="s">
        <v>163</v>
      </c>
      <c r="C40" s="73" t="s">
        <v>190</v>
      </c>
      <c r="D40" s="73"/>
    </row>
    <row r="41" spans="1:4" ht="60.75" thickBot="1">
      <c r="A41" s="74" t="s">
        <v>191</v>
      </c>
      <c r="B41" s="73"/>
      <c r="C41" s="73"/>
      <c r="D41" s="73"/>
    </row>
    <row r="42" spans="1:4" ht="30.75" thickBot="1">
      <c r="A42" s="75" t="s">
        <v>162</v>
      </c>
      <c r="B42" s="73" t="s">
        <v>163</v>
      </c>
      <c r="C42" s="73" t="s">
        <v>192</v>
      </c>
      <c r="D42" s="73" t="s">
        <v>193</v>
      </c>
    </row>
    <row r="43" spans="1:4" ht="30.75" thickBot="1">
      <c r="A43" s="75" t="s">
        <v>164</v>
      </c>
      <c r="B43" s="73" t="s">
        <v>163</v>
      </c>
      <c r="C43" s="73" t="s">
        <v>194</v>
      </c>
      <c r="D43" s="73">
        <v>3621</v>
      </c>
    </row>
    <row r="44" spans="1:4" ht="30.75" thickBot="1">
      <c r="A44" s="75" t="s">
        <v>165</v>
      </c>
      <c r="B44" s="73" t="s">
        <v>163</v>
      </c>
      <c r="C44" s="73">
        <v>5500</v>
      </c>
      <c r="D44" s="73"/>
    </row>
    <row r="45" spans="1:4" ht="30.75" thickBot="1">
      <c r="A45" s="75" t="s">
        <v>166</v>
      </c>
      <c r="B45" s="73" t="s">
        <v>163</v>
      </c>
      <c r="C45" s="73" t="s">
        <v>195</v>
      </c>
      <c r="D45" s="73"/>
    </row>
    <row r="46" spans="1:4" ht="15.75" thickBot="1">
      <c r="A46" s="74" t="s">
        <v>196</v>
      </c>
      <c r="B46" s="73"/>
      <c r="C46" s="73"/>
      <c r="D46" s="73"/>
    </row>
    <row r="47" spans="1:4" ht="30.75" thickBot="1">
      <c r="A47" s="75" t="s">
        <v>162</v>
      </c>
      <c r="B47" s="73" t="s">
        <v>163</v>
      </c>
      <c r="C47" s="73" t="s">
        <v>197</v>
      </c>
      <c r="D47" s="73">
        <v>728</v>
      </c>
    </row>
    <row r="48" spans="1:4" ht="30.75" thickBot="1">
      <c r="A48" s="75" t="s">
        <v>164</v>
      </c>
      <c r="B48" s="73" t="s">
        <v>163</v>
      </c>
      <c r="C48" s="73" t="s">
        <v>198</v>
      </c>
      <c r="D48" s="73">
        <v>1494</v>
      </c>
    </row>
    <row r="49" spans="1:4" ht="30.75" thickBot="1">
      <c r="A49" s="75" t="s">
        <v>165</v>
      </c>
      <c r="B49" s="73" t="s">
        <v>163</v>
      </c>
      <c r="C49" s="73" t="s">
        <v>199</v>
      </c>
      <c r="D49" s="73"/>
    </row>
    <row r="50" spans="1:4" ht="30.75" thickBot="1">
      <c r="A50" s="75" t="s">
        <v>166</v>
      </c>
      <c r="B50" s="73" t="s">
        <v>163</v>
      </c>
      <c r="C50" s="73" t="s">
        <v>200</v>
      </c>
      <c r="D50" s="73"/>
    </row>
    <row r="51" spans="1:4" ht="15.75" thickBot="1">
      <c r="A51" s="74" t="s">
        <v>201</v>
      </c>
      <c r="B51" s="73"/>
      <c r="C51" s="73"/>
      <c r="D51" s="73"/>
    </row>
    <row r="52" spans="1:4" ht="30.75" thickBot="1">
      <c r="A52" s="75" t="s">
        <v>162</v>
      </c>
      <c r="B52" s="73" t="s">
        <v>163</v>
      </c>
      <c r="C52" s="73" t="s">
        <v>202</v>
      </c>
      <c r="D52" s="73" t="s">
        <v>203</v>
      </c>
    </row>
    <row r="53" spans="1:4" ht="30.75" thickBot="1">
      <c r="A53" s="75" t="s">
        <v>164</v>
      </c>
      <c r="B53" s="73" t="s">
        <v>163</v>
      </c>
      <c r="C53" s="73" t="s">
        <v>204</v>
      </c>
      <c r="D53" s="73" t="s">
        <v>205</v>
      </c>
    </row>
    <row r="54" spans="1:4" ht="30.75" thickBot="1">
      <c r="A54" s="75" t="s">
        <v>165</v>
      </c>
      <c r="B54" s="73" t="s">
        <v>163</v>
      </c>
      <c r="C54" s="73" t="s">
        <v>206</v>
      </c>
      <c r="D54" s="73"/>
    </row>
    <row r="55" spans="1:4" ht="30.75" thickBot="1">
      <c r="A55" s="75" t="s">
        <v>166</v>
      </c>
      <c r="B55" s="73" t="s">
        <v>163</v>
      </c>
      <c r="C55" s="73" t="s">
        <v>207</v>
      </c>
      <c r="D55" s="73"/>
    </row>
    <row r="56" spans="1:4" ht="15.75" thickBot="1">
      <c r="A56" s="74" t="s">
        <v>208</v>
      </c>
      <c r="B56" s="73"/>
      <c r="C56" s="73"/>
      <c r="D56" s="73"/>
    </row>
    <row r="57" spans="1:4" ht="30.75" thickBot="1">
      <c r="A57" s="75" t="s">
        <v>162</v>
      </c>
      <c r="B57" s="73" t="s">
        <v>163</v>
      </c>
      <c r="C57" s="73" t="s">
        <v>209</v>
      </c>
      <c r="D57" s="73"/>
    </row>
    <row r="58" spans="1:4" ht="30.75" thickBot="1">
      <c r="A58" s="75" t="s">
        <v>164</v>
      </c>
      <c r="B58" s="73" t="s">
        <v>163</v>
      </c>
      <c r="C58" s="73" t="s">
        <v>210</v>
      </c>
      <c r="D58" s="73"/>
    </row>
    <row r="59" spans="1:4" ht="30.75" thickBot="1">
      <c r="A59" s="75" t="s">
        <v>165</v>
      </c>
      <c r="B59" s="73" t="s">
        <v>163</v>
      </c>
      <c r="C59" s="73" t="s">
        <v>211</v>
      </c>
      <c r="D59" s="73"/>
    </row>
    <row r="60" spans="1:4" ht="45.75" thickBot="1">
      <c r="A60" s="74" t="s">
        <v>212</v>
      </c>
      <c r="B60" s="73"/>
      <c r="C60" s="73"/>
      <c r="D60" s="73"/>
    </row>
    <row r="61" spans="1:4" ht="30.75" thickBot="1">
      <c r="A61" s="75" t="s">
        <v>162</v>
      </c>
      <c r="B61" s="73" t="s">
        <v>163</v>
      </c>
      <c r="C61" s="73" t="s">
        <v>213</v>
      </c>
      <c r="D61" s="73">
        <v>4530</v>
      </c>
    </row>
    <row r="62" spans="1:4" ht="30.75" thickBot="1">
      <c r="A62" s="75" t="s">
        <v>164</v>
      </c>
      <c r="B62" s="73" t="s">
        <v>163</v>
      </c>
      <c r="C62" s="73" t="s">
        <v>214</v>
      </c>
      <c r="D62" s="73" t="s">
        <v>215</v>
      </c>
    </row>
    <row r="63" spans="1:4" ht="30.75" thickBot="1">
      <c r="A63" s="75" t="s">
        <v>165</v>
      </c>
      <c r="B63" s="73" t="s">
        <v>163</v>
      </c>
      <c r="C63" s="73">
        <v>5948</v>
      </c>
      <c r="D63" s="73"/>
    </row>
    <row r="64" spans="1:4" ht="30.75" thickBot="1">
      <c r="A64" s="75" t="s">
        <v>166</v>
      </c>
      <c r="B64" s="73" t="s">
        <v>163</v>
      </c>
      <c r="C64" s="73" t="s">
        <v>216</v>
      </c>
      <c r="D64" s="73"/>
    </row>
    <row r="65" spans="1:4" ht="45.75" thickBot="1">
      <c r="A65" s="74" t="s">
        <v>217</v>
      </c>
      <c r="B65" s="73"/>
      <c r="C65" s="73"/>
      <c r="D65" s="73"/>
    </row>
    <row r="66" spans="1:4" ht="30.75" thickBot="1">
      <c r="A66" s="75" t="s">
        <v>162</v>
      </c>
      <c r="B66" s="73" t="s">
        <v>163</v>
      </c>
      <c r="C66" s="73" t="s">
        <v>218</v>
      </c>
      <c r="D66" s="73" t="s">
        <v>219</v>
      </c>
    </row>
    <row r="67" spans="1:4" ht="30.75" thickBot="1">
      <c r="A67" s="75" t="s">
        <v>164</v>
      </c>
      <c r="B67" s="73" t="s">
        <v>163</v>
      </c>
      <c r="C67" s="73" t="s">
        <v>220</v>
      </c>
      <c r="D67" s="73" t="s">
        <v>221</v>
      </c>
    </row>
    <row r="68" spans="1:4" ht="30.75" thickBot="1">
      <c r="A68" s="75" t="s">
        <v>165</v>
      </c>
      <c r="B68" s="73" t="s">
        <v>163</v>
      </c>
      <c r="C68" s="73" t="s">
        <v>222</v>
      </c>
      <c r="D68" s="73"/>
    </row>
    <row r="69" spans="1:4" ht="30.75" thickBot="1">
      <c r="A69" s="75" t="s">
        <v>166</v>
      </c>
      <c r="B69" s="73" t="s">
        <v>163</v>
      </c>
      <c r="C69" s="73" t="s">
        <v>223</v>
      </c>
      <c r="D69" s="73"/>
    </row>
    <row r="70" spans="1:4" ht="15.75" thickBot="1">
      <c r="A70" s="74" t="s">
        <v>224</v>
      </c>
      <c r="B70" s="73"/>
      <c r="C70" s="73"/>
      <c r="D70" s="73"/>
    </row>
    <row r="71" spans="1:4" ht="30.75" thickBot="1">
      <c r="A71" s="75" t="s">
        <v>162</v>
      </c>
      <c r="B71" s="73" t="s">
        <v>163</v>
      </c>
      <c r="C71" s="73" t="s">
        <v>225</v>
      </c>
      <c r="D71" s="73" t="s">
        <v>226</v>
      </c>
    </row>
    <row r="72" spans="1:4" ht="30.75" thickBot="1">
      <c r="A72" s="75" t="s">
        <v>164</v>
      </c>
      <c r="B72" s="73" t="s">
        <v>163</v>
      </c>
      <c r="C72" s="73" t="s">
        <v>227</v>
      </c>
      <c r="D72" s="73" t="s">
        <v>228</v>
      </c>
    </row>
    <row r="73" spans="1:4" ht="30.75" thickBot="1">
      <c r="A73" s="75" t="s">
        <v>165</v>
      </c>
      <c r="B73" s="73" t="s">
        <v>163</v>
      </c>
      <c r="C73" s="73" t="s">
        <v>229</v>
      </c>
      <c r="D73" s="73"/>
    </row>
    <row r="74" spans="1:4" ht="30.75" thickBot="1">
      <c r="A74" s="75" t="s">
        <v>166</v>
      </c>
      <c r="B74" s="73" t="s">
        <v>163</v>
      </c>
      <c r="C74" s="73">
        <v>149527</v>
      </c>
      <c r="D74" s="73"/>
    </row>
    <row r="75" spans="1:4" ht="30.75" thickBot="1">
      <c r="A75" s="74" t="s">
        <v>230</v>
      </c>
      <c r="B75" s="73"/>
      <c r="C75" s="73"/>
      <c r="D75" s="73"/>
    </row>
    <row r="76" spans="1:4" ht="30.75" thickBot="1">
      <c r="A76" s="75" t="s">
        <v>162</v>
      </c>
      <c r="B76" s="73" t="s">
        <v>163</v>
      </c>
      <c r="C76" s="73" t="s">
        <v>231</v>
      </c>
      <c r="D76" s="73" t="s">
        <v>232</v>
      </c>
    </row>
    <row r="77" spans="1:4" ht="30.75" thickBot="1">
      <c r="A77" s="75" t="s">
        <v>164</v>
      </c>
      <c r="B77" s="73" t="s">
        <v>163</v>
      </c>
      <c r="C77" s="73" t="s">
        <v>233</v>
      </c>
      <c r="D77" s="73" t="s">
        <v>234</v>
      </c>
    </row>
    <row r="78" spans="1:4" ht="30.75" thickBot="1">
      <c r="A78" s="75" t="s">
        <v>165</v>
      </c>
      <c r="B78" s="73" t="s">
        <v>163</v>
      </c>
      <c r="C78" s="73" t="s">
        <v>235</v>
      </c>
      <c r="D78" s="73"/>
    </row>
    <row r="79" spans="1:4" ht="30.75" thickBot="1">
      <c r="A79" s="75" t="s">
        <v>166</v>
      </c>
      <c r="B79" s="73" t="s">
        <v>163</v>
      </c>
      <c r="C79" s="73" t="s">
        <v>236</v>
      </c>
      <c r="D79" s="73"/>
    </row>
    <row r="80" spans="1:4" ht="45.75" thickBot="1">
      <c r="A80" s="74" t="s">
        <v>237</v>
      </c>
      <c r="B80" s="73"/>
      <c r="C80" s="73"/>
      <c r="D80" s="73"/>
    </row>
    <row r="81" spans="1:4" ht="30.75" thickBot="1">
      <c r="A81" s="75" t="s">
        <v>162</v>
      </c>
      <c r="B81" s="73" t="s">
        <v>163</v>
      </c>
      <c r="C81" s="73" t="s">
        <v>238</v>
      </c>
      <c r="D81" s="73" t="s">
        <v>239</v>
      </c>
    </row>
    <row r="82" spans="1:4" ht="30.75" thickBot="1">
      <c r="A82" s="75" t="s">
        <v>164</v>
      </c>
      <c r="B82" s="73" t="s">
        <v>163</v>
      </c>
      <c r="C82" s="73" t="s">
        <v>240</v>
      </c>
      <c r="D82" s="73" t="s">
        <v>241</v>
      </c>
    </row>
    <row r="83" spans="1:4" ht="30.75" thickBot="1">
      <c r="A83" s="75" t="s">
        <v>165</v>
      </c>
      <c r="B83" s="73" t="s">
        <v>163</v>
      </c>
      <c r="C83" s="73" t="s">
        <v>242</v>
      </c>
      <c r="D83" s="73"/>
    </row>
    <row r="84" spans="1:4" ht="30.75" thickBot="1">
      <c r="A84" s="75" t="s">
        <v>166</v>
      </c>
      <c r="B84" s="73" t="s">
        <v>163</v>
      </c>
      <c r="C84" s="73" t="s">
        <v>243</v>
      </c>
      <c r="D84" s="73"/>
    </row>
  </sheetData>
  <sheetProtection/>
  <mergeCells count="10">
    <mergeCell ref="A7:D7"/>
    <mergeCell ref="A8:D8"/>
    <mergeCell ref="A11:E11"/>
    <mergeCell ref="C17:D19"/>
    <mergeCell ref="A1:D1"/>
    <mergeCell ref="A2:D2"/>
    <mergeCell ref="A3:D3"/>
    <mergeCell ref="A4:D4"/>
    <mergeCell ref="A5:D5"/>
    <mergeCell ref="A6:D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view="pageBreakPreview" zoomScale="60" zoomScalePageLayoutView="0" workbookViewId="0" topLeftCell="A1">
      <selection activeCell="E19" sqref="E19"/>
    </sheetView>
  </sheetViews>
  <sheetFormatPr defaultColWidth="9.140625" defaultRowHeight="12.75"/>
  <cols>
    <col min="1" max="1" width="37.140625" style="0" customWidth="1"/>
    <col min="2" max="2" width="13.7109375" style="0" customWidth="1"/>
    <col min="3" max="3" width="20.421875" style="0" customWidth="1"/>
    <col min="4" max="5" width="19.140625" style="0" customWidth="1"/>
    <col min="6" max="6" width="21.00390625" style="0" customWidth="1"/>
    <col min="7" max="7" width="33.00390625" style="0" hidden="1" customWidth="1"/>
  </cols>
  <sheetData>
    <row r="1" spans="6:7" ht="12.75">
      <c r="F1" s="357" t="s">
        <v>596</v>
      </c>
      <c r="G1" s="345"/>
    </row>
    <row r="2" spans="5:7" ht="12.75" customHeight="1">
      <c r="E2" s="337"/>
      <c r="F2" s="339"/>
      <c r="G2" s="339"/>
    </row>
    <row r="3" spans="5:7" ht="96.75" customHeight="1">
      <c r="E3" s="337" t="s">
        <v>563</v>
      </c>
      <c r="F3" s="339"/>
      <c r="G3" s="339"/>
    </row>
    <row r="4" spans="1:7" ht="94.5" customHeight="1" thickBot="1">
      <c r="A4" s="358" t="s">
        <v>597</v>
      </c>
      <c r="B4" s="358"/>
      <c r="C4" s="358"/>
      <c r="D4" s="358"/>
      <c r="E4" s="358"/>
      <c r="F4" s="358"/>
      <c r="G4" s="358"/>
    </row>
    <row r="5" spans="1:8" ht="34.5" customHeight="1">
      <c r="A5" s="359" t="s">
        <v>264</v>
      </c>
      <c r="B5" s="360"/>
      <c r="C5" s="363" t="s">
        <v>265</v>
      </c>
      <c r="D5" s="363" t="s">
        <v>266</v>
      </c>
      <c r="E5" s="363" t="s">
        <v>267</v>
      </c>
      <c r="F5" s="363" t="s">
        <v>268</v>
      </c>
      <c r="G5" s="359" t="s">
        <v>269</v>
      </c>
      <c r="H5" s="89"/>
    </row>
    <row r="6" spans="1:8" ht="34.5" customHeight="1" thickBot="1">
      <c r="A6" s="361"/>
      <c r="B6" s="362"/>
      <c r="C6" s="364"/>
      <c r="D6" s="364"/>
      <c r="E6" s="364"/>
      <c r="F6" s="364"/>
      <c r="G6" s="365"/>
      <c r="H6" s="89"/>
    </row>
    <row r="7" spans="1:8" ht="34.5" customHeight="1" thickBot="1">
      <c r="A7" s="90" t="s">
        <v>270</v>
      </c>
      <c r="B7" s="91">
        <v>188</v>
      </c>
      <c r="C7" s="92">
        <f>853.66+3.00637</f>
        <v>856.6663699999999</v>
      </c>
      <c r="D7" s="92">
        <f>793.91+1.00397</f>
        <v>794.91397</v>
      </c>
      <c r="E7" s="92">
        <v>551.90472</v>
      </c>
      <c r="F7" s="93">
        <f>(C7+D7+E7)/3</f>
        <v>734.49502</v>
      </c>
      <c r="G7" s="90">
        <f>D7/C7*100</f>
        <v>92.79154614181948</v>
      </c>
      <c r="H7" s="89"/>
    </row>
    <row r="8" spans="1:8" ht="34.5" customHeight="1" thickBot="1">
      <c r="A8" s="90" t="s">
        <v>271</v>
      </c>
      <c r="B8" s="94">
        <v>182</v>
      </c>
      <c r="C8" s="95">
        <v>38.03</v>
      </c>
      <c r="D8" s="96">
        <v>59.59</v>
      </c>
      <c r="E8" s="95">
        <v>138.06532</v>
      </c>
      <c r="F8" s="97">
        <f>(C8+D8+E8)/3</f>
        <v>78.56177333333333</v>
      </c>
      <c r="G8" s="90">
        <f aca="true" t="shared" si="0" ref="G8:G19">D8/C8*100</f>
        <v>156.692085195898</v>
      </c>
      <c r="H8" s="89"/>
    </row>
    <row r="9" spans="1:8" ht="34.5" customHeight="1" thickBot="1">
      <c r="A9" s="90" t="s">
        <v>272</v>
      </c>
      <c r="B9" s="94">
        <v>192</v>
      </c>
      <c r="C9" s="95">
        <v>108.78</v>
      </c>
      <c r="D9" s="96">
        <v>17.01</v>
      </c>
      <c r="E9" s="96"/>
      <c r="F9" s="97">
        <f>(C9+D9+E9)/3</f>
        <v>41.93</v>
      </c>
      <c r="G9" s="90">
        <f t="shared" si="0"/>
        <v>15.63706563706564</v>
      </c>
      <c r="H9" s="89"/>
    </row>
    <row r="10" spans="1:8" ht="51" customHeight="1" thickBot="1">
      <c r="A10" s="90" t="s">
        <v>273</v>
      </c>
      <c r="B10" s="98" t="s">
        <v>274</v>
      </c>
      <c r="C10" s="95">
        <v>39</v>
      </c>
      <c r="D10" s="96">
        <v>45.5</v>
      </c>
      <c r="E10" s="96">
        <v>12.01</v>
      </c>
      <c r="F10" s="97">
        <f>(C10+D10+E10)/3</f>
        <v>32.17</v>
      </c>
      <c r="G10" s="90">
        <f t="shared" si="0"/>
        <v>116.66666666666667</v>
      </c>
      <c r="H10" s="89"/>
    </row>
    <row r="11" spans="1:8" ht="34.5" customHeight="1" thickBot="1">
      <c r="A11" s="90" t="s">
        <v>275</v>
      </c>
      <c r="B11" s="98" t="s">
        <v>276</v>
      </c>
      <c r="C11" s="95">
        <v>0.5</v>
      </c>
      <c r="D11" s="96">
        <v>10</v>
      </c>
      <c r="E11" s="96"/>
      <c r="F11" s="97"/>
      <c r="G11" s="90">
        <f t="shared" si="0"/>
        <v>2000</v>
      </c>
      <c r="H11" s="89"/>
    </row>
    <row r="12" spans="1:8" ht="34.5" customHeight="1" thickBot="1">
      <c r="A12" s="90" t="s">
        <v>277</v>
      </c>
      <c r="B12" s="98">
        <v>141</v>
      </c>
      <c r="C12" s="95">
        <v>432.16</v>
      </c>
      <c r="D12" s="96">
        <v>552.61</v>
      </c>
      <c r="E12" s="95">
        <v>326.37199</v>
      </c>
      <c r="F12" s="97">
        <v>462</v>
      </c>
      <c r="G12" s="90">
        <f t="shared" si="0"/>
        <v>127.87162162162163</v>
      </c>
      <c r="H12" s="89"/>
    </row>
    <row r="13" spans="1:8" ht="54.75" customHeight="1" thickBot="1">
      <c r="A13" s="90" t="s">
        <v>278</v>
      </c>
      <c r="B13" s="98">
        <v>321</v>
      </c>
      <c r="C13" s="95">
        <v>34.1</v>
      </c>
      <c r="D13" s="96">
        <v>25.5</v>
      </c>
      <c r="E13" s="96"/>
      <c r="F13" s="97">
        <f>(C13+D13+E13)/3</f>
        <v>19.866666666666667</v>
      </c>
      <c r="G13" s="90">
        <f t="shared" si="0"/>
        <v>74.7800586510264</v>
      </c>
      <c r="H13" s="89"/>
    </row>
    <row r="14" spans="1:8" ht="76.5" customHeight="1" thickBot="1">
      <c r="A14" s="90" t="s">
        <v>279</v>
      </c>
      <c r="B14" s="98" t="s">
        <v>288</v>
      </c>
      <c r="C14" s="95">
        <v>0</v>
      </c>
      <c r="D14" s="96">
        <v>6</v>
      </c>
      <c r="E14" s="96"/>
      <c r="F14" s="99"/>
      <c r="G14" s="90"/>
      <c r="H14" s="89"/>
    </row>
    <row r="15" spans="1:8" ht="43.5" customHeight="1" thickBot="1">
      <c r="A15" s="90" t="s">
        <v>280</v>
      </c>
      <c r="B15" s="98" t="s">
        <v>281</v>
      </c>
      <c r="C15" s="95">
        <v>389.74</v>
      </c>
      <c r="D15" s="96">
        <v>576.9</v>
      </c>
      <c r="E15" s="95">
        <v>159.50257</v>
      </c>
      <c r="F15" s="97">
        <f>(C15+D15+E15)/3-53.97</f>
        <v>321.41085666666663</v>
      </c>
      <c r="G15" s="90">
        <f t="shared" si="0"/>
        <v>148.02175809514034</v>
      </c>
      <c r="H15" s="89"/>
    </row>
    <row r="16" spans="1:8" ht="34.5" customHeight="1" thickBot="1">
      <c r="A16" s="100" t="s">
        <v>282</v>
      </c>
      <c r="B16" s="98">
        <v>161</v>
      </c>
      <c r="C16" s="95"/>
      <c r="D16" s="96"/>
      <c r="E16" s="96"/>
      <c r="F16" s="97"/>
      <c r="G16" s="100"/>
      <c r="H16" s="89"/>
    </row>
    <row r="17" spans="1:8" ht="45.75" customHeight="1" thickBot="1">
      <c r="A17" s="100" t="s">
        <v>283</v>
      </c>
      <c r="B17" s="98" t="s">
        <v>284</v>
      </c>
      <c r="C17" s="95"/>
      <c r="D17" s="96"/>
      <c r="E17" s="96">
        <v>2</v>
      </c>
      <c r="F17" s="97">
        <v>1</v>
      </c>
      <c r="G17" s="100"/>
      <c r="H17" s="89"/>
    </row>
    <row r="18" spans="1:8" ht="45.75" customHeight="1" thickBot="1">
      <c r="A18" s="100" t="s">
        <v>285</v>
      </c>
      <c r="B18" s="98" t="s">
        <v>286</v>
      </c>
      <c r="C18" s="95">
        <v>5.7</v>
      </c>
      <c r="D18" s="96"/>
      <c r="E18" s="96">
        <v>20</v>
      </c>
      <c r="F18" s="97">
        <f>(C18+D18+E18)/3</f>
        <v>8.566666666666666</v>
      </c>
      <c r="G18" s="100">
        <f t="shared" si="0"/>
        <v>0</v>
      </c>
      <c r="H18" s="89"/>
    </row>
    <row r="19" spans="1:8" ht="34.5" customHeight="1" thickBot="1">
      <c r="A19" s="101"/>
      <c r="B19" s="102"/>
      <c r="C19" s="103">
        <f>SUM(C7:C18)</f>
        <v>1904.67637</v>
      </c>
      <c r="D19" s="103">
        <f>SUM(D7:D18)</f>
        <v>2088.02397</v>
      </c>
      <c r="E19" s="103">
        <f>SUM(E7:E18)</f>
        <v>1209.8546000000001</v>
      </c>
      <c r="F19" s="104">
        <f>SUM(F7:F18)</f>
        <v>1700.000983333333</v>
      </c>
      <c r="G19" s="101">
        <f t="shared" si="0"/>
        <v>109.62618127088962</v>
      </c>
      <c r="H19" s="89"/>
    </row>
    <row r="20" spans="3:6" ht="15">
      <c r="C20" s="105">
        <f>C19-1904.67637</f>
        <v>0</v>
      </c>
      <c r="D20" s="105">
        <f>D19-2088.02397</f>
        <v>0</v>
      </c>
      <c r="E20" s="105">
        <v>1209.85518</v>
      </c>
      <c r="F20" s="105"/>
    </row>
    <row r="21" spans="3:6" ht="59.25" customHeight="1">
      <c r="C21" s="105"/>
      <c r="D21" s="105"/>
      <c r="E21" s="106"/>
      <c r="F21" s="106"/>
    </row>
    <row r="22" ht="44.25" customHeight="1">
      <c r="H22" s="89"/>
    </row>
  </sheetData>
  <sheetProtection/>
  <mergeCells count="10">
    <mergeCell ref="E3:G3"/>
    <mergeCell ref="F1:G1"/>
    <mergeCell ref="A4:G4"/>
    <mergeCell ref="A5:B6"/>
    <mergeCell ref="C5:C6"/>
    <mergeCell ref="D5:D6"/>
    <mergeCell ref="E5:E6"/>
    <mergeCell ref="F5:F6"/>
    <mergeCell ref="G5:G6"/>
    <mergeCell ref="E2:G2"/>
  </mergeCells>
  <printOptions/>
  <pageMargins left="0.7" right="0.7" top="0.75" bottom="0.75" header="0.3" footer="0.3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trial</cp:lastModifiedBy>
  <cp:lastPrinted>2018-11-15T04:33:12Z</cp:lastPrinted>
  <dcterms:created xsi:type="dcterms:W3CDTF">1996-10-08T23:32:33Z</dcterms:created>
  <dcterms:modified xsi:type="dcterms:W3CDTF">2018-11-15T04:33:37Z</dcterms:modified>
  <cp:category/>
  <cp:version/>
  <cp:contentType/>
  <cp:contentStatus/>
</cp:coreProperties>
</file>