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45" windowWidth="15120" windowHeight="6270" tabRatio="754" firstSheet="3" activeTab="9"/>
  </bookViews>
  <sheets>
    <sheet name=" Д- объем дотации" sheetId="1" r:id="rId1"/>
    <sheet name=" К - расчет коэффициентов" sheetId="2" r:id="rId2"/>
    <sheet name="К-коэффиц. структ. потр." sheetId="3" r:id="rId3"/>
    <sheet name="Расчет ИБР" sheetId="4" r:id="rId4"/>
    <sheet name="Расчет НП" sheetId="5" r:id="rId5"/>
    <sheet name="Расчет БО" sheetId="6" r:id="rId6"/>
    <sheet name="Расчет Тн" sheetId="7" r:id="rId7"/>
    <sheet name="ДОТАЦИЯ" sheetId="8" r:id="rId8"/>
    <sheet name="Объем дот СП из субвенции РА" sheetId="9" r:id="rId9"/>
    <sheet name="дотация на проект реш 1 чт" sheetId="10" r:id="rId10"/>
  </sheets>
  <definedNames>
    <definedName name="_xlnm.Print_Area" localSheetId="2">'К-коэффиц. структ. потр.'!$A$2:$U$31</definedName>
    <definedName name="_xlnm.Print_Area" localSheetId="6">'Расчет Тн'!$A$2:$L$13</definedName>
  </definedNames>
  <calcPr fullCalcOnLoad="1"/>
</workbook>
</file>

<file path=xl/sharedStrings.xml><?xml version="1.0" encoding="utf-8"?>
<sst xmlns="http://schemas.openxmlformats.org/spreadsheetml/2006/main" count="236" uniqueCount="119">
  <si>
    <t>№ п/п</t>
  </si>
  <si>
    <t>Сельское поселение</t>
  </si>
  <si>
    <t>содержан ОМСУ</t>
  </si>
  <si>
    <t>а1</t>
  </si>
  <si>
    <t>а2</t>
  </si>
  <si>
    <t>а3</t>
  </si>
  <si>
    <t>Прочие</t>
  </si>
  <si>
    <t>К цен*К структуры потребителей* численность населения поселения</t>
  </si>
  <si>
    <t>Прогноз поступления доходов по НДФЛ</t>
  </si>
  <si>
    <t>База налогообложения</t>
  </si>
  <si>
    <t>Общая база налогообложения по району</t>
  </si>
  <si>
    <t>НП по НДФЛ</t>
  </si>
  <si>
    <t>Прогноз поступления доходов по ЕСХН</t>
  </si>
  <si>
    <t>НП по ЕСХН</t>
  </si>
  <si>
    <t>Прогноз поступления доходов по Налогу на имущ</t>
  </si>
  <si>
    <t>НП по налогу на имущ</t>
  </si>
  <si>
    <t>Прогноз поступления доходов по земельн</t>
  </si>
  <si>
    <t>НП по земельн</t>
  </si>
  <si>
    <t>НП по госпошлине</t>
  </si>
  <si>
    <t>Численность населения</t>
  </si>
  <si>
    <t xml:space="preserve"> Тн (Объем средств необходимый для доведения уровня БО до уровня установленного в качестве критерия)</t>
  </si>
  <si>
    <t>сумм Тн</t>
  </si>
  <si>
    <t>ИРО</t>
  </si>
  <si>
    <t>Расчет уровня бюджетной обеспеченности, установленного в качестве критерия выравнивания бюджетной обеспеченности</t>
  </si>
  <si>
    <t>ранг до выравнивания</t>
  </si>
  <si>
    <t>Ининское</t>
  </si>
  <si>
    <t>Купчегенское</t>
  </si>
  <si>
    <t>Хабаровское</t>
  </si>
  <si>
    <t>Шашикманское</t>
  </si>
  <si>
    <t>Каракольское</t>
  </si>
  <si>
    <t>Нижне-Талдинское</t>
  </si>
  <si>
    <t>Куладинское</t>
  </si>
  <si>
    <t>Теньгинское</t>
  </si>
  <si>
    <t>Елинское</t>
  </si>
  <si>
    <t>Итого расходы СП</t>
  </si>
  <si>
    <t>ПНД- прогноз налоговых доходов бюджетов поселений, входящих в состав МО</t>
  </si>
  <si>
    <t>Нп- численность постоянного населения в поселелниях, входящих в состав МО</t>
  </si>
  <si>
    <t>БОn- уровень бюджетной обеспеченности n- поселения</t>
  </si>
  <si>
    <t>ИБРn- индекс бюджетных расходов n- поселения</t>
  </si>
  <si>
    <t xml:space="preserve"> Hn- Численность постоянного  населения в n- поселении</t>
  </si>
  <si>
    <t xml:space="preserve"> Тn (Объем средств необходимый для доведения уровня БО  n- го поселения до уровня установленного в качестве критерия)</t>
  </si>
  <si>
    <t xml:space="preserve"> ПНД - Прогноз налоговых доходов бюджетов поселений</t>
  </si>
  <si>
    <t>К-плотности при значении не меньше 0,2 и не более 2</t>
  </si>
  <si>
    <t>№п/п</t>
  </si>
  <si>
    <t>РАСХОДЫ СЕЛЬСКИХ ПОСЕЛЕНИЙ СОГЛАСНО НОРМАТИВА НА СОДЕРЖАНИЕ ОРГАНОВ МЕСТНОГО САМОУПРАВЛЕНИЯ СЕЛЬСКИХ ПОСЕЛЕНИЙ, И РАСХОДОВ НА ИСПОЛНЕНИЕ ПОЛНОМОЧИЙ</t>
  </si>
  <si>
    <t>на благоустройство</t>
  </si>
  <si>
    <t>Итого</t>
  </si>
  <si>
    <t>№</t>
  </si>
  <si>
    <t>Расчет уровня бюджетной обеспеченности</t>
  </si>
  <si>
    <t>Индекс бюджетных расходов поселения (ИБР)</t>
  </si>
  <si>
    <t>Индекс налогового потенциала поселения  (ИНП)</t>
  </si>
  <si>
    <t>Уровень бюджетной обеспеченности поселения (БО)</t>
  </si>
  <si>
    <t xml:space="preserve">Расчет индекса налогового потенциала по сельским поселениям </t>
  </si>
  <si>
    <t xml:space="preserve"> Налоговый потенциал поселения (НП )</t>
  </si>
  <si>
    <t>Индекс налогового потенциала поселения (ИНП)</t>
  </si>
  <si>
    <t xml:space="preserve">Суммарный налоговый потенциал сельских поселений </t>
  </si>
  <si>
    <t>Общая численность постоянного населения в поселениях</t>
  </si>
  <si>
    <t>Расчет индекса бюджетных расходов (ИБР)</t>
  </si>
  <si>
    <t>Индекс бюджетных расходов поселения  (ИБР)</t>
  </si>
  <si>
    <t>сумма показателей</t>
  </si>
  <si>
    <t xml:space="preserve"> Коэффициент цен поселения (К цен)</t>
  </si>
  <si>
    <t>Коэффициент структуры потребителей мун услуг поселения (Кстр)</t>
  </si>
  <si>
    <t>численность постоянного населения в поселении (Нn)</t>
  </si>
  <si>
    <t>Общая численность постоянного населения в поселениях (Нп)</t>
  </si>
  <si>
    <t xml:space="preserve">Расчет коэффициентов </t>
  </si>
  <si>
    <t xml:space="preserve"> Коэффициент цен (Кцен)</t>
  </si>
  <si>
    <t xml:space="preserve"> Расстояние от административного центра  МО до  административного центра n-го поселения (Рn)</t>
  </si>
  <si>
    <t xml:space="preserve"> установленная стоимость 1/км перевозки грузов (Т)</t>
  </si>
  <si>
    <t>стоимость фиксированного набора товаров и услуг в МО (СФН мр)</t>
  </si>
  <si>
    <t>Коэффициент  масштаба поселения (Км)</t>
  </si>
  <si>
    <t>Удельный вес численности постоянного населения в поселении, имеющего максимальную численность в общей численности населения (с)</t>
  </si>
  <si>
    <t>численность постоянного населения (Нп)</t>
  </si>
  <si>
    <t>Средняя численностьпостоянного населения (НсрП)</t>
  </si>
  <si>
    <t>Коэффициент дифференциации расходов на благоустройство   поселения (Кжф)</t>
  </si>
  <si>
    <t>общая площадь жилого фонда поселений (Пжф)</t>
  </si>
  <si>
    <t>площадь жилого фонда поселения ( тыс.м2) (Пжф)</t>
  </si>
  <si>
    <t>Коэффициент плотности населения поселения  (Кпл)</t>
  </si>
  <si>
    <t>площадь территории (тыс.кв.м.) (Птер.)</t>
  </si>
  <si>
    <t>общая площадь территории поселений (Птер.)</t>
  </si>
  <si>
    <t>Общая численность постоянного населения поселениях (Нп)</t>
  </si>
  <si>
    <t xml:space="preserve">Коэффициент дисперсности расселения поселения (Кдисп.) </t>
  </si>
  <si>
    <t>Количество сел в поселении (Сп)</t>
  </si>
  <si>
    <t>Количество сел с численностью постоянного населения не более 500 человек в поселении (С 500п)</t>
  </si>
  <si>
    <t>Всего количество сел с численностью не более 500 человек в поселениях (С500п)</t>
  </si>
  <si>
    <t>Общее количество сел в в поселениях, входящих в состав МО</t>
  </si>
  <si>
    <t>Коэффициент дисперсности расселения не меньше 0,8 и не более 1,2</t>
  </si>
  <si>
    <t>Расчет коэффициента структуры потребителей муниципальных услуг</t>
  </si>
  <si>
    <t>Коэффициент  структуры потребителей мун. услуг в поселении  (Кстр)</t>
  </si>
  <si>
    <t xml:space="preserve"> удельный вес на содер-ие ОМС (а1 )</t>
  </si>
  <si>
    <t>Коэффициент масштаба (Км)</t>
  </si>
  <si>
    <t xml:space="preserve"> удельный вес расходов на благоустройство (а2)</t>
  </si>
  <si>
    <t>удельный вес на прочие расходы (а3 )</t>
  </si>
  <si>
    <t>Коэффициент  плотности населения  (Кпл)</t>
  </si>
  <si>
    <t>Коэффициент дисперсности расселения  (Кдисп)</t>
  </si>
  <si>
    <t>Коэффициент дифференциации на содержание  жилого фонда (Кжф)</t>
  </si>
  <si>
    <t>Онгудайское</t>
  </si>
  <si>
    <t>Дотация расчетная (Дn) по Методике</t>
  </si>
  <si>
    <t>ИТОГО</t>
  </si>
  <si>
    <t>Объем дотации сельским поселениям района за счет субвенции  из республиканского бюджета  по расчету согласно Методике</t>
  </si>
  <si>
    <t>Прогнозный объем районного фонда финансовой поддержки поселений на 2019 год и на плановые периоды</t>
  </si>
  <si>
    <t>Дотация расчетная за счет субвенции (Sn) на 2019год</t>
  </si>
  <si>
    <t>Дотация  за счет субвенции  на 2019 год</t>
  </si>
  <si>
    <t>РАСЧЕТ ДОТАЦИИ НА 2019-2021 ГОДЫ</t>
  </si>
  <si>
    <t>Межбюджетные трансферты бюджетам сельских поселений из бюджета муниципального образования на 2019 -2021 годы</t>
  </si>
  <si>
    <t>Дотация расчетная за счет субвенции (Sn) на 2020год</t>
  </si>
  <si>
    <t>Дотация расчетная за счет субвенции (Sn) на 2021год</t>
  </si>
  <si>
    <t xml:space="preserve"> БО крП- Уровень бюджетной обеспеченности, установленный в качестве критерия выравнивание  бюджетной обеспеченности поселений</t>
  </si>
  <si>
    <t>Рейтинг до выравнивание</t>
  </si>
  <si>
    <t>ИНП -после выравнивание</t>
  </si>
  <si>
    <t>БО - после выравнивание</t>
  </si>
  <si>
    <t>Рейтинг после выравнивание</t>
  </si>
  <si>
    <t>Расчет объема средств, необходимый для доведения уровня  бюджетной обеспеченности  n- го  поселения до уровня,  установленного в качестве критерия  выравнивание бюджетной обеспеченности поселений</t>
  </si>
  <si>
    <t>БО крП- уровень бюджетной обеспеченности, установленных в качестве критерия выравнивание обеспеченности поселений</t>
  </si>
  <si>
    <t xml:space="preserve"> в т.ч. дотации из МО</t>
  </si>
  <si>
    <t>Всего дотации на 2020 год</t>
  </si>
  <si>
    <t>Всего дотации на 2021 год</t>
  </si>
  <si>
    <t>Всего дотации на 2019 год по расчету</t>
  </si>
  <si>
    <t>Д(т)-Объем дотации из МО</t>
  </si>
  <si>
    <t>Д (т) -  Общий объем дотации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</si>
</sst>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%"/>
    <numFmt numFmtId="174" formatCode="0.000"/>
    <numFmt numFmtId="175" formatCode="0.0000"/>
    <numFmt numFmtId="176" formatCode="0.0"/>
    <numFmt numFmtId="177" formatCode="0.0%"/>
    <numFmt numFmtId="178" formatCode="#,##0.00&quot;р.&quot;"/>
    <numFmt numFmtId="179" formatCode="0.0000000"/>
    <numFmt numFmtId="180" formatCode="0.000000"/>
    <numFmt numFmtId="181" formatCode="0.00000"/>
    <numFmt numFmtId="182" formatCode="_(* #,##0_);_(* \(#,##0\);_(* &quot;-&quot;??_);_(@_)"/>
    <numFmt numFmtId="183" formatCode="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0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174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174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174" fontId="0" fillId="0" borderId="0" xfId="0" applyNumberFormat="1" applyFill="1" applyBorder="1" applyAlignment="1">
      <alignment wrapText="1"/>
    </xf>
    <xf numFmtId="175" fontId="0" fillId="0" borderId="0" xfId="0" applyNumberFormat="1" applyFill="1" applyBorder="1" applyAlignment="1">
      <alignment wrapText="1"/>
    </xf>
    <xf numFmtId="175" fontId="0" fillId="0" borderId="0" xfId="0" applyNumberFormat="1" applyBorder="1" applyAlignment="1">
      <alignment wrapText="1"/>
    </xf>
    <xf numFmtId="174" fontId="0" fillId="0" borderId="0" xfId="0" applyNumberFormat="1" applyFill="1" applyAlignment="1">
      <alignment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176" fontId="0" fillId="0" borderId="0" xfId="0" applyNumberFormat="1" applyAlignment="1">
      <alignment wrapText="1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wrapText="1"/>
    </xf>
    <xf numFmtId="176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Fill="1" applyAlignment="1">
      <alignment/>
    </xf>
    <xf numFmtId="172" fontId="0" fillId="0" borderId="10" xfId="0" applyNumberFormat="1" applyFill="1" applyBorder="1" applyAlignment="1">
      <alignment wrapText="1"/>
    </xf>
    <xf numFmtId="172" fontId="2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175" fontId="0" fillId="5" borderId="10" xfId="0" applyNumberFormat="1" applyFill="1" applyBorder="1" applyAlignment="1">
      <alignment/>
    </xf>
    <xf numFmtId="176" fontId="0" fillId="33" borderId="10" xfId="0" applyNumberFormat="1" applyFill="1" applyBorder="1" applyAlignment="1">
      <alignment wrapText="1"/>
    </xf>
    <xf numFmtId="176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74" fontId="0" fillId="33" borderId="10" xfId="0" applyNumberFormat="1" applyFill="1" applyBorder="1" applyAlignment="1">
      <alignment wrapText="1"/>
    </xf>
    <xf numFmtId="0" fontId="0" fillId="33" borderId="11" xfId="0" applyFill="1" applyBorder="1" applyAlignment="1">
      <alignment wrapText="1"/>
    </xf>
    <xf numFmtId="175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 wrapText="1"/>
    </xf>
    <xf numFmtId="9" fontId="0" fillId="0" borderId="10" xfId="0" applyNumberForma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0" fillId="0" borderId="10" xfId="0" applyNumberFormat="1" applyFill="1" applyBorder="1" applyAlignment="1">
      <alignment wrapText="1"/>
    </xf>
    <xf numFmtId="176" fontId="0" fillId="0" borderId="10" xfId="0" applyNumberFormat="1" applyFill="1" applyBorder="1" applyAlignment="1">
      <alignment wrapText="1"/>
    </xf>
    <xf numFmtId="0" fontId="44" fillId="0" borderId="0" xfId="0" applyFont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7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 wrapText="1"/>
    </xf>
    <xf numFmtId="175" fontId="0" fillId="0" borderId="0" xfId="0" applyNumberForma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81" fontId="0" fillId="33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wrapText="1"/>
    </xf>
    <xf numFmtId="178" fontId="0" fillId="0" borderId="0" xfId="0" applyNumberFormat="1" applyFill="1" applyBorder="1" applyAlignment="1">
      <alignment horizontal="center" wrapText="1"/>
    </xf>
    <xf numFmtId="178" fontId="0" fillId="0" borderId="0" xfId="0" applyNumberFormat="1" applyFill="1" applyBorder="1" applyAlignment="1">
      <alignment wrapText="1"/>
    </xf>
    <xf numFmtId="176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0" fontId="0" fillId="13" borderId="10" xfId="0" applyFill="1" applyBorder="1" applyAlignment="1">
      <alignment wrapText="1"/>
    </xf>
    <xf numFmtId="174" fontId="0" fillId="13" borderId="10" xfId="0" applyNumberFormat="1" applyFill="1" applyBorder="1" applyAlignment="1">
      <alignment wrapText="1"/>
    </xf>
    <xf numFmtId="182" fontId="4" fillId="2" borderId="10" xfId="58" applyNumberFormat="1" applyFont="1" applyFill="1" applyBorder="1" applyAlignment="1">
      <alignment/>
    </xf>
    <xf numFmtId="0" fontId="3" fillId="13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72" fontId="0" fillId="0" borderId="0" xfId="0" applyNumberFormat="1" applyFill="1" applyAlignment="1">
      <alignment/>
    </xf>
    <xf numFmtId="0" fontId="0" fillId="33" borderId="10" xfId="0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6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182" fontId="4" fillId="33" borderId="10" xfId="58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182" fontId="4" fillId="0" borderId="0" xfId="58" applyNumberFormat="1" applyFont="1" applyFill="1" applyBorder="1" applyAlignment="1">
      <alignment/>
    </xf>
    <xf numFmtId="0" fontId="37" fillId="0" borderId="10" xfId="0" applyFont="1" applyFill="1" applyBorder="1" applyAlignment="1">
      <alignment horizontal="center" wrapText="1"/>
    </xf>
    <xf numFmtId="174" fontId="37" fillId="0" borderId="10" xfId="0" applyNumberFormat="1" applyFont="1" applyFill="1" applyBorder="1" applyAlignment="1">
      <alignment wrapText="1"/>
    </xf>
    <xf numFmtId="0" fontId="37" fillId="5" borderId="10" xfId="0" applyFont="1" applyFill="1" applyBorder="1" applyAlignment="1">
      <alignment horizontal="center" wrapText="1"/>
    </xf>
    <xf numFmtId="175" fontId="37" fillId="5" borderId="10" xfId="0" applyNumberFormat="1" applyFont="1" applyFill="1" applyBorder="1" applyAlignment="1">
      <alignment wrapText="1"/>
    </xf>
    <xf numFmtId="175" fontId="37" fillId="33" borderId="10" xfId="0" applyNumberFormat="1" applyFont="1" applyFill="1" applyBorder="1" applyAlignment="1">
      <alignment wrapText="1"/>
    </xf>
    <xf numFmtId="0" fontId="44" fillId="0" borderId="0" xfId="0" applyFont="1" applyFill="1" applyAlignment="1">
      <alignment/>
    </xf>
    <xf numFmtId="10" fontId="48" fillId="0" borderId="10" xfId="0" applyNumberFormat="1" applyFont="1" applyFill="1" applyBorder="1" applyAlignment="1">
      <alignment horizontal="center" vertical="center" wrapText="1"/>
    </xf>
    <xf numFmtId="174" fontId="48" fillId="0" borderId="10" xfId="0" applyNumberFormat="1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4" fontId="48" fillId="33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0" fontId="48" fillId="2" borderId="10" xfId="0" applyNumberFormat="1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175" fontId="48" fillId="0" borderId="10" xfId="0" applyNumberFormat="1" applyFont="1" applyFill="1" applyBorder="1" applyAlignment="1">
      <alignment wrapText="1"/>
    </xf>
    <xf numFmtId="175" fontId="48" fillId="33" borderId="10" xfId="0" applyNumberFormat="1" applyFont="1" applyFill="1" applyBorder="1" applyAlignment="1">
      <alignment wrapText="1"/>
    </xf>
    <xf numFmtId="0" fontId="0" fillId="14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175" fontId="37" fillId="0" borderId="10" xfId="0" applyNumberFormat="1" applyFont="1" applyFill="1" applyBorder="1" applyAlignment="1">
      <alignment wrapText="1"/>
    </xf>
    <xf numFmtId="0" fontId="24" fillId="2" borderId="10" xfId="0" applyFont="1" applyFill="1" applyBorder="1" applyAlignment="1">
      <alignment horizontal="center" wrapText="1"/>
    </xf>
    <xf numFmtId="174" fontId="48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174" fontId="0" fillId="34" borderId="10" xfId="0" applyNumberFormat="1" applyFill="1" applyBorder="1" applyAlignment="1">
      <alignment wrapText="1"/>
    </xf>
    <xf numFmtId="174" fontId="37" fillId="33" borderId="10" xfId="0" applyNumberFormat="1" applyFont="1" applyFill="1" applyBorder="1" applyAlignment="1">
      <alignment wrapText="1"/>
    </xf>
    <xf numFmtId="0" fontId="44" fillId="0" borderId="0" xfId="0" applyFont="1" applyAlignment="1">
      <alignment horizont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0" fontId="25" fillId="33" borderId="10" xfId="0" applyFont="1" applyFill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wrapText="1"/>
    </xf>
    <xf numFmtId="174" fontId="0" fillId="0" borderId="0" xfId="0" applyNumberFormat="1" applyAlignment="1">
      <alignment/>
    </xf>
    <xf numFmtId="1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1" fontId="37" fillId="0" borderId="10" xfId="0" applyNumberFormat="1" applyFont="1" applyFill="1" applyBorder="1" applyAlignment="1">
      <alignment wrapText="1"/>
    </xf>
    <xf numFmtId="0" fontId="37" fillId="0" borderId="0" xfId="0" applyFont="1" applyFill="1" applyBorder="1" applyAlignment="1">
      <alignment horizontal="center" wrapText="1"/>
    </xf>
    <xf numFmtId="176" fontId="37" fillId="0" borderId="0" xfId="0" applyNumberFormat="1" applyFont="1" applyFill="1" applyBorder="1" applyAlignment="1">
      <alignment/>
    </xf>
    <xf numFmtId="176" fontId="49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4" fontId="37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/>
    </xf>
    <xf numFmtId="176" fontId="44" fillId="0" borderId="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10" borderId="0" xfId="0" applyFill="1" applyBorder="1" applyAlignment="1">
      <alignment horizontal="center" wrapText="1"/>
    </xf>
    <xf numFmtId="176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176" fontId="37" fillId="6" borderId="0" xfId="0" applyNumberFormat="1" applyFont="1" applyFill="1" applyBorder="1" applyAlignment="1">
      <alignment/>
    </xf>
    <xf numFmtId="176" fontId="0" fillId="33" borderId="0" xfId="0" applyNumberFormat="1" applyFill="1" applyBorder="1" applyAlignment="1">
      <alignment/>
    </xf>
    <xf numFmtId="0" fontId="0" fillId="1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76" fontId="0" fillId="0" borderId="0" xfId="0" applyNumberFormat="1" applyBorder="1" applyAlignment="1">
      <alignment/>
    </xf>
    <xf numFmtId="176" fontId="44" fillId="0" borderId="0" xfId="0" applyNumberFormat="1" applyFont="1" applyBorder="1" applyAlignment="1">
      <alignment/>
    </xf>
    <xf numFmtId="1" fontId="3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7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37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2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2" fontId="0" fillId="0" borderId="13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3" xfId="0" applyNumberForma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/>
    </xf>
    <xf numFmtId="2" fontId="37" fillId="0" borderId="16" xfId="0" applyNumberFormat="1" applyFont="1" applyFill="1" applyBorder="1" applyAlignment="1">
      <alignment/>
    </xf>
    <xf numFmtId="2" fontId="37" fillId="0" borderId="16" xfId="0" applyNumberFormat="1" applyFont="1" applyBorder="1" applyAlignment="1">
      <alignment/>
    </xf>
    <xf numFmtId="2" fontId="37" fillId="0" borderId="1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8.57421875" style="26" customWidth="1"/>
    <col min="2" max="2" width="13.421875" style="26" customWidth="1"/>
    <col min="3" max="3" width="19.28125" style="26" customWidth="1"/>
    <col min="4" max="4" width="13.8515625" style="26" customWidth="1"/>
    <col min="5" max="6" width="9.140625" style="26" customWidth="1"/>
    <col min="7" max="7" width="10.00390625" style="26" bestFit="1" customWidth="1"/>
    <col min="8" max="10" width="9.140625" style="26" customWidth="1"/>
    <col min="11" max="11" width="21.00390625" style="26" customWidth="1"/>
    <col min="12" max="16384" width="9.140625" style="26" customWidth="1"/>
  </cols>
  <sheetData>
    <row r="1" spans="9:11" ht="32.25" customHeight="1">
      <c r="I1" s="188"/>
      <c r="J1" s="189"/>
      <c r="K1" s="189"/>
    </row>
    <row r="2" spans="1:11" ht="75.75" customHeight="1">
      <c r="A2" s="184" t="s">
        <v>99</v>
      </c>
      <c r="B2" s="184"/>
      <c r="C2" s="184"/>
      <c r="D2" s="185"/>
      <c r="E2" s="185"/>
      <c r="F2" s="186"/>
      <c r="G2" s="187"/>
      <c r="H2" s="187"/>
      <c r="I2" s="187"/>
      <c r="J2" s="56"/>
      <c r="K2" s="181"/>
    </row>
    <row r="3" spans="6:11" ht="15">
      <c r="F3" s="56"/>
      <c r="G3" s="56"/>
      <c r="H3" s="56"/>
      <c r="I3" s="56"/>
      <c r="J3" s="56"/>
      <c r="K3" s="56"/>
    </row>
    <row r="4" spans="1:11" ht="30">
      <c r="A4" s="4"/>
      <c r="B4" s="4"/>
      <c r="C4" s="4" t="s">
        <v>117</v>
      </c>
      <c r="F4" s="56"/>
      <c r="G4" s="56"/>
      <c r="H4" s="56"/>
      <c r="I4" s="56"/>
      <c r="J4" s="56"/>
      <c r="K4" s="56"/>
    </row>
    <row r="5" spans="1:11" ht="15">
      <c r="A5" s="27"/>
      <c r="B5" s="38"/>
      <c r="C5" s="28">
        <f>21107-1000</f>
        <v>20107</v>
      </c>
      <c r="F5" s="56"/>
      <c r="G5" s="56"/>
      <c r="H5" s="56"/>
      <c r="I5" s="56"/>
      <c r="J5" s="56"/>
      <c r="K5" s="182"/>
    </row>
    <row r="6" spans="1:11" ht="15">
      <c r="A6" s="7"/>
      <c r="B6" s="7"/>
      <c r="C6" s="7"/>
      <c r="F6" s="56"/>
      <c r="G6" s="56"/>
      <c r="H6" s="56"/>
      <c r="I6" s="56"/>
      <c r="J6" s="56"/>
      <c r="K6" s="56"/>
    </row>
    <row r="7" spans="1:11" ht="45" customHeight="1">
      <c r="A7" s="184" t="s">
        <v>23</v>
      </c>
      <c r="B7" s="184"/>
      <c r="C7" s="184"/>
      <c r="F7" s="56"/>
      <c r="G7" s="56"/>
      <c r="H7" s="56"/>
      <c r="I7" s="56"/>
      <c r="J7" s="56"/>
      <c r="K7" s="56"/>
    </row>
    <row r="8" spans="1:7" ht="15">
      <c r="A8" s="7"/>
      <c r="B8" s="7"/>
      <c r="C8" s="7"/>
      <c r="G8" s="69"/>
    </row>
    <row r="9" spans="1:3" ht="135">
      <c r="A9" s="4" t="s">
        <v>41</v>
      </c>
      <c r="B9" s="183" t="s">
        <v>117</v>
      </c>
      <c r="C9" s="4" t="s">
        <v>106</v>
      </c>
    </row>
    <row r="10" spans="1:3" ht="15">
      <c r="A10" s="180">
        <v>10669.8</v>
      </c>
      <c r="B10" s="29">
        <f>C5</f>
        <v>20107</v>
      </c>
      <c r="C10" s="6">
        <f>(A10+B10)/A10</f>
        <v>2.8844776846801254</v>
      </c>
    </row>
    <row r="11" ht="15">
      <c r="C11" s="12"/>
    </row>
  </sheetData>
  <sheetProtection/>
  <mergeCells count="4">
    <mergeCell ref="A7:C7"/>
    <mergeCell ref="A2:E2"/>
    <mergeCell ref="F2:I2"/>
    <mergeCell ref="I1:K1"/>
  </mergeCells>
  <printOptions/>
  <pageMargins left="0.984251968503937" right="0.7086614173228347" top="0.7480314960629921" bottom="0.7480314960629921" header="0" footer="0"/>
  <pageSetup horizontalDpi="180" verticalDpi="18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3:I19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7.28125" style="0" customWidth="1"/>
    <col min="2" max="2" width="27.28125" style="0" customWidth="1"/>
    <col min="3" max="3" width="16.421875" style="0" customWidth="1"/>
    <col min="6" max="6" width="17.57421875" style="0" customWidth="1"/>
  </cols>
  <sheetData>
    <row r="3" spans="1:8" ht="51" customHeight="1">
      <c r="A3" s="189" t="s">
        <v>103</v>
      </c>
      <c r="B3" s="185"/>
      <c r="C3" s="185"/>
      <c r="D3" s="185"/>
      <c r="E3" s="185"/>
      <c r="F3" s="185"/>
      <c r="G3" s="185"/>
      <c r="H3" s="158"/>
    </row>
    <row r="5" spans="1:9" ht="75">
      <c r="A5" s="20" t="s">
        <v>47</v>
      </c>
      <c r="B5" s="157" t="s">
        <v>1</v>
      </c>
      <c r="C5" s="76" t="s">
        <v>101</v>
      </c>
      <c r="D5" s="156" t="s">
        <v>116</v>
      </c>
      <c r="E5" s="164" t="s">
        <v>113</v>
      </c>
      <c r="F5" s="50"/>
      <c r="G5" s="160" t="s">
        <v>114</v>
      </c>
      <c r="H5" s="183" t="s">
        <v>115</v>
      </c>
      <c r="I5" s="167"/>
    </row>
    <row r="6" spans="1:9" ht="15">
      <c r="A6" s="78">
        <v>1</v>
      </c>
      <c r="B6" s="77">
        <v>2</v>
      </c>
      <c r="C6" s="78">
        <v>3</v>
      </c>
      <c r="D6" s="55"/>
      <c r="E6" s="55"/>
      <c r="F6" s="159"/>
      <c r="G6" s="20"/>
      <c r="H6" s="20"/>
      <c r="I6" s="20"/>
    </row>
    <row r="7" spans="1:9" ht="15">
      <c r="A7" s="20">
        <v>1</v>
      </c>
      <c r="B7" s="5" t="s">
        <v>25</v>
      </c>
      <c r="C7" s="20">
        <f>'Объем дот СП из субвенции РА'!C7</f>
        <v>1933.1</v>
      </c>
      <c r="D7" s="163">
        <f>ДОТАЦИЯ!G5</f>
        <v>4939.98</v>
      </c>
      <c r="E7" s="163">
        <f>D7-C7</f>
        <v>3006.8799999999997</v>
      </c>
      <c r="F7" s="159"/>
      <c r="G7" s="122">
        <f>D7</f>
        <v>4939.98</v>
      </c>
      <c r="H7" s="122">
        <f>D7</f>
        <v>4939.98</v>
      </c>
      <c r="I7" s="122"/>
    </row>
    <row r="8" spans="1:9" ht="15">
      <c r="A8" s="20">
        <v>2</v>
      </c>
      <c r="B8" s="5" t="s">
        <v>26</v>
      </c>
      <c r="C8" s="20">
        <f>'Объем дот СП из субвенции РА'!C8</f>
        <v>912.4</v>
      </c>
      <c r="D8" s="163">
        <f>ДОТАЦИЯ!G6</f>
        <v>2595.61</v>
      </c>
      <c r="E8" s="163">
        <f aca="true" t="shared" si="0" ref="E8:E16">D8-C8</f>
        <v>1683.21</v>
      </c>
      <c r="F8" s="159"/>
      <c r="G8" s="122">
        <f aca="true" t="shared" si="1" ref="G8:H16">D8</f>
        <v>2595.61</v>
      </c>
      <c r="H8" s="122">
        <f aca="true" t="shared" si="2" ref="H8:H16">D8</f>
        <v>2595.61</v>
      </c>
      <c r="I8" s="122"/>
    </row>
    <row r="9" spans="1:9" ht="15">
      <c r="A9" s="20">
        <v>3</v>
      </c>
      <c r="B9" s="5" t="s">
        <v>27</v>
      </c>
      <c r="C9" s="20">
        <f>'Объем дот СП из субвенции РА'!C9</f>
        <v>682.9</v>
      </c>
      <c r="D9" s="163">
        <f>ДОТАЦИЯ!G7</f>
        <v>2291.76</v>
      </c>
      <c r="E9" s="163">
        <f t="shared" si="0"/>
        <v>1608.8600000000001</v>
      </c>
      <c r="F9" s="159"/>
      <c r="G9" s="122">
        <f t="shared" si="1"/>
        <v>2291.76</v>
      </c>
      <c r="H9" s="122">
        <f t="shared" si="2"/>
        <v>2291.76</v>
      </c>
      <c r="I9" s="122"/>
    </row>
    <row r="10" spans="1:9" ht="15">
      <c r="A10" s="20">
        <v>4</v>
      </c>
      <c r="B10" s="5" t="s">
        <v>28</v>
      </c>
      <c r="C10" s="20">
        <f>'Объем дот СП из субвенции РА'!C10</f>
        <v>311</v>
      </c>
      <c r="D10" s="163">
        <f>ДОТАЦИЯ!G8</f>
        <v>2234.57</v>
      </c>
      <c r="E10" s="163">
        <f t="shared" si="0"/>
        <v>1923.5700000000002</v>
      </c>
      <c r="F10" s="159"/>
      <c r="G10" s="122">
        <f t="shared" si="1"/>
        <v>2234.57</v>
      </c>
      <c r="H10" s="122">
        <f t="shared" si="2"/>
        <v>2234.57</v>
      </c>
      <c r="I10" s="122"/>
    </row>
    <row r="11" spans="1:9" ht="15">
      <c r="A11" s="20">
        <v>5</v>
      </c>
      <c r="B11" s="5" t="s">
        <v>29</v>
      </c>
      <c r="C11" s="20">
        <f>'Объем дот СП из субвенции РА'!C11</f>
        <v>443.4</v>
      </c>
      <c r="D11" s="163">
        <f>ДОТАЦИЯ!G9</f>
        <v>2567.03</v>
      </c>
      <c r="E11" s="163">
        <f t="shared" si="0"/>
        <v>2123.63</v>
      </c>
      <c r="F11" s="159"/>
      <c r="G11" s="122">
        <f t="shared" si="1"/>
        <v>2567.03</v>
      </c>
      <c r="H11" s="122">
        <f t="shared" si="2"/>
        <v>2567.03</v>
      </c>
      <c r="I11" s="122"/>
    </row>
    <row r="12" spans="1:9" ht="15">
      <c r="A12" s="20">
        <v>6</v>
      </c>
      <c r="B12" s="5" t="s">
        <v>30</v>
      </c>
      <c r="C12" s="20">
        <f>'Объем дот СП из субвенции РА'!C12</f>
        <v>351.3</v>
      </c>
      <c r="D12" s="163">
        <f>ДОТАЦИЯ!G10</f>
        <v>1838.19</v>
      </c>
      <c r="E12" s="163">
        <f t="shared" si="0"/>
        <v>1486.89</v>
      </c>
      <c r="F12" s="159"/>
      <c r="G12" s="122">
        <f t="shared" si="1"/>
        <v>1838.19</v>
      </c>
      <c r="H12" s="122">
        <f t="shared" si="2"/>
        <v>1838.19</v>
      </c>
      <c r="I12" s="122"/>
    </row>
    <row r="13" spans="1:9" ht="15">
      <c r="A13" s="20">
        <v>7</v>
      </c>
      <c r="B13" s="162" t="s">
        <v>95</v>
      </c>
      <c r="C13" s="20">
        <f>'Объем дот СП из субвенции РА'!C13</f>
        <v>0</v>
      </c>
      <c r="D13" s="163">
        <f>ДОТАЦИЯ!G11</f>
        <v>1106.12</v>
      </c>
      <c r="E13" s="163">
        <f t="shared" si="0"/>
        <v>1106.12</v>
      </c>
      <c r="F13" s="159"/>
      <c r="G13" s="122">
        <f t="shared" si="1"/>
        <v>1106.12</v>
      </c>
      <c r="H13" s="122">
        <f t="shared" si="2"/>
        <v>1106.12</v>
      </c>
      <c r="I13" s="122"/>
    </row>
    <row r="14" spans="1:9" ht="15">
      <c r="A14" s="20">
        <v>8</v>
      </c>
      <c r="B14" s="5" t="s">
        <v>31</v>
      </c>
      <c r="C14" s="20">
        <f>'Объем дот СП из субвенции РА'!C14</f>
        <v>542.4</v>
      </c>
      <c r="D14" s="163">
        <f>ДОТАЦИЯ!G12</f>
        <v>2178.9</v>
      </c>
      <c r="E14" s="163">
        <f t="shared" si="0"/>
        <v>1636.5</v>
      </c>
      <c r="F14" s="159"/>
      <c r="G14" s="122">
        <f t="shared" si="1"/>
        <v>2178.9</v>
      </c>
      <c r="H14" s="122">
        <f t="shared" si="2"/>
        <v>2178.9</v>
      </c>
      <c r="I14" s="122"/>
    </row>
    <row r="15" spans="1:9" ht="15">
      <c r="A15" s="20">
        <v>9</v>
      </c>
      <c r="B15" s="5" t="s">
        <v>32</v>
      </c>
      <c r="C15" s="20">
        <f>'Объем дот СП из субвенции РА'!C15</f>
        <v>41.4</v>
      </c>
      <c r="D15" s="163">
        <f>ДОТАЦИЯ!G13</f>
        <v>3253.87</v>
      </c>
      <c r="E15" s="163">
        <f t="shared" si="0"/>
        <v>3212.47</v>
      </c>
      <c r="F15" s="159"/>
      <c r="G15" s="122">
        <f t="shared" si="1"/>
        <v>3253.87</v>
      </c>
      <c r="H15" s="122">
        <f t="shared" si="2"/>
        <v>3253.87</v>
      </c>
      <c r="I15" s="122"/>
    </row>
    <row r="16" spans="1:9" ht="15.75" thickBot="1">
      <c r="A16" s="200">
        <v>10</v>
      </c>
      <c r="B16" s="201" t="s">
        <v>33</v>
      </c>
      <c r="C16" s="200">
        <f>'Объем дот СП из субвенции РА'!C16</f>
        <v>638.6</v>
      </c>
      <c r="D16" s="202">
        <f>ДОТАЦИЯ!G14</f>
        <v>2957.47</v>
      </c>
      <c r="E16" s="202">
        <f t="shared" si="0"/>
        <v>2318.87</v>
      </c>
      <c r="F16" s="203"/>
      <c r="G16" s="204">
        <f t="shared" si="1"/>
        <v>2957.47</v>
      </c>
      <c r="H16" s="204">
        <f t="shared" si="2"/>
        <v>2957.47</v>
      </c>
      <c r="I16" s="204"/>
    </row>
    <row r="17" spans="1:9" ht="15.75" thickBot="1">
      <c r="A17" s="205"/>
      <c r="B17" s="206" t="s">
        <v>46</v>
      </c>
      <c r="C17" s="207">
        <f>SUM(C7:C16)</f>
        <v>5856.5</v>
      </c>
      <c r="D17" s="208">
        <f>SUM(D7:D16)</f>
        <v>25963.5</v>
      </c>
      <c r="E17" s="208">
        <f>SUM(E7:E16)</f>
        <v>20107</v>
      </c>
      <c r="F17" s="207"/>
      <c r="G17" s="209">
        <f>SUM(G7:G16)</f>
        <v>25963.5</v>
      </c>
      <c r="H17" s="209">
        <f>SUM(H7:H16)</f>
        <v>25963.5</v>
      </c>
      <c r="I17" s="210"/>
    </row>
    <row r="18" spans="5:7" ht="15">
      <c r="E18" s="56"/>
      <c r="F18" s="139"/>
      <c r="G18" s="56"/>
    </row>
    <row r="19" ht="15">
      <c r="G19" s="139"/>
    </row>
  </sheetData>
  <sheetProtection/>
  <mergeCells count="1"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1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5" sqref="AB5"/>
    </sheetView>
  </sheetViews>
  <sheetFormatPr defaultColWidth="9.140625" defaultRowHeight="15"/>
  <cols>
    <col min="1" max="1" width="4.8515625" style="0" customWidth="1"/>
    <col min="2" max="2" width="19.00390625" style="0" customWidth="1"/>
    <col min="3" max="3" width="11.57421875" style="0" customWidth="1"/>
    <col min="4" max="4" width="8.7109375" style="0" customWidth="1"/>
    <col min="5" max="5" width="9.421875" style="0" customWidth="1"/>
    <col min="6" max="6" width="10.8515625" style="26" customWidth="1"/>
    <col min="7" max="7" width="9.7109375" style="0" customWidth="1"/>
    <col min="8" max="8" width="13.140625" style="0" customWidth="1"/>
    <col min="9" max="9" width="10.57421875" style="0" customWidth="1"/>
    <col min="10" max="10" width="11.421875" style="26" customWidth="1"/>
    <col min="15" max="15" width="9.140625" style="26" customWidth="1"/>
    <col min="16" max="16" width="10.421875" style="0" customWidth="1"/>
    <col min="20" max="21" width="9.140625" style="96" customWidth="1"/>
    <col min="22" max="22" width="12.421875" style="0" customWidth="1"/>
    <col min="23" max="23" width="7.28125" style="0" customWidth="1"/>
    <col min="24" max="24" width="10.57421875" style="0" customWidth="1"/>
    <col min="25" max="25" width="8.00390625" style="0" customWidth="1"/>
    <col min="26" max="27" width="9.140625" style="96" customWidth="1"/>
  </cols>
  <sheetData>
    <row r="1" spans="1:26" ht="15.75">
      <c r="A1" s="190" t="s">
        <v>64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4:16" ht="15">
      <c r="D2" s="112"/>
      <c r="K2" s="89"/>
      <c r="L2" s="26"/>
      <c r="M2" s="26"/>
      <c r="N2" s="26"/>
      <c r="P2" s="45"/>
    </row>
    <row r="3" spans="1:27" s="42" customFormat="1" ht="193.5" customHeight="1">
      <c r="A3" s="40" t="s">
        <v>0</v>
      </c>
      <c r="B3" s="40" t="s">
        <v>1</v>
      </c>
      <c r="C3" s="98" t="s">
        <v>66</v>
      </c>
      <c r="D3" s="116" t="s">
        <v>67</v>
      </c>
      <c r="E3" s="40" t="s">
        <v>68</v>
      </c>
      <c r="F3" s="99" t="s">
        <v>65</v>
      </c>
      <c r="G3" s="98" t="s">
        <v>71</v>
      </c>
      <c r="H3" s="40" t="s">
        <v>70</v>
      </c>
      <c r="I3" s="40" t="s">
        <v>72</v>
      </c>
      <c r="J3" s="100" t="s">
        <v>69</v>
      </c>
      <c r="K3" s="98" t="s">
        <v>75</v>
      </c>
      <c r="L3" s="40" t="s">
        <v>71</v>
      </c>
      <c r="M3" s="40" t="s">
        <v>74</v>
      </c>
      <c r="N3" s="41" t="s">
        <v>63</v>
      </c>
      <c r="O3" s="100" t="s">
        <v>73</v>
      </c>
      <c r="P3" s="93" t="s">
        <v>77</v>
      </c>
      <c r="Q3" s="40" t="s">
        <v>71</v>
      </c>
      <c r="R3" s="40" t="s">
        <v>78</v>
      </c>
      <c r="S3" s="41" t="s">
        <v>79</v>
      </c>
      <c r="T3" s="100" t="s">
        <v>76</v>
      </c>
      <c r="U3" s="104" t="s">
        <v>42</v>
      </c>
      <c r="V3" s="41" t="s">
        <v>82</v>
      </c>
      <c r="W3" s="41" t="s">
        <v>81</v>
      </c>
      <c r="X3" s="41" t="s">
        <v>83</v>
      </c>
      <c r="Y3" s="41" t="s">
        <v>84</v>
      </c>
      <c r="Z3" s="100" t="s">
        <v>80</v>
      </c>
      <c r="AA3" s="103" t="s">
        <v>85</v>
      </c>
    </row>
    <row r="4" spans="1:27" s="94" customFormat="1" ht="15">
      <c r="A4" s="41"/>
      <c r="B4" s="41"/>
      <c r="C4" s="93"/>
      <c r="D4" s="113"/>
      <c r="E4" s="41"/>
      <c r="F4" s="90"/>
      <c r="G4" s="93"/>
      <c r="H4" s="41"/>
      <c r="I4" s="41"/>
      <c r="J4" s="92"/>
      <c r="K4" s="93"/>
      <c r="L4" s="41"/>
      <c r="M4" s="41"/>
      <c r="N4" s="41"/>
      <c r="O4" s="92"/>
      <c r="P4" s="93"/>
      <c r="Q4" s="41"/>
      <c r="R4" s="41"/>
      <c r="S4" s="41"/>
      <c r="T4" s="92"/>
      <c r="U4" s="97"/>
      <c r="V4" s="41"/>
      <c r="W4" s="41"/>
      <c r="X4" s="41"/>
      <c r="Y4" s="41"/>
      <c r="Z4" s="92"/>
      <c r="AA4" s="97"/>
    </row>
    <row r="5" spans="1:27" ht="15">
      <c r="A5" s="5">
        <v>1</v>
      </c>
      <c r="B5" s="5" t="s">
        <v>25</v>
      </c>
      <c r="C5" s="8">
        <v>70</v>
      </c>
      <c r="D5" s="114">
        <v>4.7</v>
      </c>
      <c r="E5" s="8">
        <v>16747.2</v>
      </c>
      <c r="F5" s="91">
        <f>(C5*D5+E5)/E5</f>
        <v>1.0196450749976116</v>
      </c>
      <c r="G5" s="8">
        <v>1594</v>
      </c>
      <c r="H5" s="9">
        <f>G11/G15</f>
        <v>0.3997344885410844</v>
      </c>
      <c r="I5" s="44">
        <f>G$15/10</f>
        <v>1431.2</v>
      </c>
      <c r="J5" s="91">
        <f>(1-H5)+H5*I5/G5</f>
        <v>0.9591739179833824</v>
      </c>
      <c r="K5" s="8">
        <v>27.1</v>
      </c>
      <c r="L5" s="8">
        <f aca="true" t="shared" si="0" ref="L5:L14">G5</f>
        <v>1594</v>
      </c>
      <c r="M5" s="8">
        <f>K15</f>
        <v>288.29999999999995</v>
      </c>
      <c r="N5" s="8">
        <f>G$15</f>
        <v>14312</v>
      </c>
      <c r="O5" s="91">
        <f>(K5/L5)/(M5/N5)</f>
        <v>0.8439887524801427</v>
      </c>
      <c r="P5" s="8">
        <v>3.569</v>
      </c>
      <c r="Q5" s="8">
        <f>G5</f>
        <v>1594</v>
      </c>
      <c r="R5" s="8">
        <f>P$15</f>
        <v>11.696999999999997</v>
      </c>
      <c r="S5" s="8">
        <f>G$15</f>
        <v>14312</v>
      </c>
      <c r="T5" s="101">
        <f>(P5/Q5)/(R5/S5)</f>
        <v>2.739580514215648</v>
      </c>
      <c r="U5" s="105">
        <v>2</v>
      </c>
      <c r="V5" s="8">
        <v>6</v>
      </c>
      <c r="W5" s="8">
        <v>7</v>
      </c>
      <c r="X5" s="8">
        <f>V$15</f>
        <v>23</v>
      </c>
      <c r="Y5" s="8">
        <f>W$15</f>
        <v>30</v>
      </c>
      <c r="Z5" s="101">
        <f>(1+V5/W5)/(1+X5/Y5)</f>
        <v>1.051212938005391</v>
      </c>
      <c r="AA5" s="105">
        <f>Z5</f>
        <v>1.051212938005391</v>
      </c>
    </row>
    <row r="6" spans="1:27" ht="15">
      <c r="A6" s="5">
        <v>2</v>
      </c>
      <c r="B6" s="5" t="s">
        <v>26</v>
      </c>
      <c r="C6" s="8">
        <v>40</v>
      </c>
      <c r="D6" s="114">
        <v>4.7</v>
      </c>
      <c r="E6" s="8">
        <v>16747.2</v>
      </c>
      <c r="F6" s="91">
        <f aca="true" t="shared" si="1" ref="F6:F14">(C6*D6+E6)/E6</f>
        <v>1.0112257571414922</v>
      </c>
      <c r="G6" s="8">
        <v>779</v>
      </c>
      <c r="H6" s="9">
        <f>G11/G15</f>
        <v>0.3997344885410844</v>
      </c>
      <c r="I6" s="44">
        <f aca="true" t="shared" si="2" ref="I6:I14">G$15/10</f>
        <v>1431.2</v>
      </c>
      <c r="J6" s="91">
        <f aca="true" t="shared" si="3" ref="J6:J13">(1-H6)+H6*I6/G6</f>
        <v>1.3346685923318296</v>
      </c>
      <c r="K6" s="8">
        <v>18.5</v>
      </c>
      <c r="L6" s="8">
        <f t="shared" si="0"/>
        <v>779</v>
      </c>
      <c r="M6" s="8">
        <f>K15</f>
        <v>288.29999999999995</v>
      </c>
      <c r="N6" s="68">
        <f>G$15</f>
        <v>14312</v>
      </c>
      <c r="O6" s="91">
        <f aca="true" t="shared" si="4" ref="O6:O14">(K6/L6)/(M6/N6)</f>
        <v>1.178935257231427</v>
      </c>
      <c r="P6" s="8">
        <v>1.573</v>
      </c>
      <c r="Q6" s="74">
        <f aca="true" t="shared" si="5" ref="Q6:Q14">G6</f>
        <v>779</v>
      </c>
      <c r="R6" s="57">
        <f aca="true" t="shared" si="6" ref="R6:R14">P$15</f>
        <v>11.696999999999997</v>
      </c>
      <c r="S6" s="68">
        <f aca="true" t="shared" si="7" ref="S6:S14">G$15</f>
        <v>14312</v>
      </c>
      <c r="T6" s="101">
        <f aca="true" t="shared" si="8" ref="T6:T14">(P6/Q6)/(R6/S6)</f>
        <v>2.470683430123674</v>
      </c>
      <c r="U6" s="105">
        <v>2</v>
      </c>
      <c r="V6" s="8">
        <v>1</v>
      </c>
      <c r="W6" s="8">
        <v>2</v>
      </c>
      <c r="X6" s="68">
        <f aca="true" t="shared" si="9" ref="X6:X14">V$15</f>
        <v>23</v>
      </c>
      <c r="Y6" s="120">
        <f aca="true" t="shared" si="10" ref="Y6:Y14">W$15</f>
        <v>30</v>
      </c>
      <c r="Z6" s="101">
        <f aca="true" t="shared" si="11" ref="Z6:Z14">(1+V6/W6)/(1+X6/Y6)</f>
        <v>0.8490566037735849</v>
      </c>
      <c r="AA6" s="105">
        <f>Z6</f>
        <v>0.8490566037735849</v>
      </c>
    </row>
    <row r="7" spans="1:27" ht="15">
      <c r="A7" s="5">
        <v>3</v>
      </c>
      <c r="B7" s="5" t="s">
        <v>27</v>
      </c>
      <c r="C7" s="8">
        <v>20</v>
      </c>
      <c r="D7" s="114">
        <v>4.7</v>
      </c>
      <c r="E7" s="8">
        <v>16747.2</v>
      </c>
      <c r="F7" s="91">
        <f t="shared" si="1"/>
        <v>1.005612878570746</v>
      </c>
      <c r="G7" s="8">
        <v>516</v>
      </c>
      <c r="H7" s="9">
        <f>G11/G15</f>
        <v>0.3997344885410844</v>
      </c>
      <c r="I7" s="44">
        <f t="shared" si="2"/>
        <v>1431.2</v>
      </c>
      <c r="J7" s="91">
        <f t="shared" si="3"/>
        <v>1.708986441691474</v>
      </c>
      <c r="K7" s="8">
        <v>12.7</v>
      </c>
      <c r="L7" s="8">
        <f t="shared" si="0"/>
        <v>516</v>
      </c>
      <c r="M7" s="8">
        <f>K15</f>
        <v>288.29999999999995</v>
      </c>
      <c r="N7" s="68">
        <f aca="true" t="shared" si="12" ref="N7:N14">G$15</f>
        <v>14312</v>
      </c>
      <c r="O7" s="91">
        <f t="shared" si="4"/>
        <v>1.2218269621168734</v>
      </c>
      <c r="P7" s="8">
        <v>0.767</v>
      </c>
      <c r="Q7" s="74">
        <f t="shared" si="5"/>
        <v>516</v>
      </c>
      <c r="R7" s="57">
        <f t="shared" si="6"/>
        <v>11.696999999999997</v>
      </c>
      <c r="S7" s="68">
        <f t="shared" si="7"/>
        <v>14312</v>
      </c>
      <c r="T7" s="101">
        <f t="shared" si="8"/>
        <v>1.8187436916508775</v>
      </c>
      <c r="U7" s="105">
        <f>T7</f>
        <v>1.8187436916508775</v>
      </c>
      <c r="V7" s="8">
        <v>2</v>
      </c>
      <c r="W7" s="8">
        <v>2</v>
      </c>
      <c r="X7" s="68">
        <f t="shared" si="9"/>
        <v>23</v>
      </c>
      <c r="Y7" s="120">
        <f t="shared" si="10"/>
        <v>30</v>
      </c>
      <c r="Z7" s="101">
        <f t="shared" si="11"/>
        <v>1.1320754716981132</v>
      </c>
      <c r="AA7" s="105">
        <f>Z7</f>
        <v>1.1320754716981132</v>
      </c>
    </row>
    <row r="8" spans="1:27" ht="15">
      <c r="A8" s="5">
        <v>4</v>
      </c>
      <c r="B8" s="5" t="s">
        <v>28</v>
      </c>
      <c r="C8" s="8">
        <v>7</v>
      </c>
      <c r="D8" s="114">
        <v>4.7</v>
      </c>
      <c r="E8" s="8">
        <v>16747.2</v>
      </c>
      <c r="F8" s="91">
        <f>(C8*D8+E8)/E8</f>
        <v>1.0019645074997612</v>
      </c>
      <c r="G8" s="8">
        <v>665</v>
      </c>
      <c r="H8" s="9">
        <f>G11/G15</f>
        <v>0.3997344885410844</v>
      </c>
      <c r="I8" s="44">
        <f t="shared" si="2"/>
        <v>1431.2</v>
      </c>
      <c r="J8" s="91">
        <f>(1-H8)+H8*I8/G8</f>
        <v>1.460566263338615</v>
      </c>
      <c r="K8" s="8">
        <v>14</v>
      </c>
      <c r="L8" s="8">
        <f t="shared" si="0"/>
        <v>665</v>
      </c>
      <c r="M8" s="8">
        <f>K15</f>
        <v>288.29999999999995</v>
      </c>
      <c r="N8" s="68">
        <f t="shared" si="12"/>
        <v>14312</v>
      </c>
      <c r="O8" s="91">
        <f t="shared" si="4"/>
        <v>1.0451101739781297</v>
      </c>
      <c r="P8" s="8">
        <v>2.656</v>
      </c>
      <c r="Q8" s="74">
        <f t="shared" si="5"/>
        <v>665</v>
      </c>
      <c r="R8" s="57">
        <f t="shared" si="6"/>
        <v>11.696999999999997</v>
      </c>
      <c r="S8" s="68">
        <f t="shared" si="7"/>
        <v>14312</v>
      </c>
      <c r="T8" s="101">
        <f t="shared" si="8"/>
        <v>4.886886618958271</v>
      </c>
      <c r="U8" s="105">
        <v>2</v>
      </c>
      <c r="V8" s="8">
        <v>1</v>
      </c>
      <c r="W8" s="8">
        <v>2</v>
      </c>
      <c r="X8" s="68">
        <f t="shared" si="9"/>
        <v>23</v>
      </c>
      <c r="Y8" s="120">
        <f t="shared" si="10"/>
        <v>30</v>
      </c>
      <c r="Z8" s="101">
        <f t="shared" si="11"/>
        <v>0.8490566037735849</v>
      </c>
      <c r="AA8" s="105">
        <f>Z8</f>
        <v>0.8490566037735849</v>
      </c>
    </row>
    <row r="9" spans="1:27" ht="15">
      <c r="A9" s="5">
        <v>5</v>
      </c>
      <c r="B9" s="5" t="s">
        <v>29</v>
      </c>
      <c r="C9" s="8">
        <v>17</v>
      </c>
      <c r="D9" s="114">
        <v>4.7</v>
      </c>
      <c r="E9" s="8">
        <v>16747.2</v>
      </c>
      <c r="F9" s="91">
        <f t="shared" si="1"/>
        <v>1.0047709467851342</v>
      </c>
      <c r="G9" s="8">
        <v>969</v>
      </c>
      <c r="H9" s="9">
        <f>G11/G15</f>
        <v>0.3997344885410844</v>
      </c>
      <c r="I9" s="44">
        <f t="shared" si="2"/>
        <v>1431.2</v>
      </c>
      <c r="J9" s="91">
        <f t="shared" si="3"/>
        <v>1.1906679882391014</v>
      </c>
      <c r="K9" s="8">
        <v>18.3</v>
      </c>
      <c r="L9" s="8">
        <f t="shared" si="0"/>
        <v>969</v>
      </c>
      <c r="M9" s="8">
        <f>K15</f>
        <v>288.29999999999995</v>
      </c>
      <c r="N9" s="68">
        <f t="shared" si="12"/>
        <v>14312</v>
      </c>
      <c r="O9" s="91">
        <f t="shared" si="4"/>
        <v>0.93752530312744</v>
      </c>
      <c r="P9" s="8">
        <v>0.463</v>
      </c>
      <c r="Q9" s="74">
        <f t="shared" si="5"/>
        <v>969</v>
      </c>
      <c r="R9" s="57">
        <f t="shared" si="6"/>
        <v>11.696999999999997</v>
      </c>
      <c r="S9" s="68">
        <f t="shared" si="7"/>
        <v>14312</v>
      </c>
      <c r="T9" s="101">
        <f t="shared" si="8"/>
        <v>0.5846326309666519</v>
      </c>
      <c r="U9" s="105">
        <f>T9</f>
        <v>0.5846326309666519</v>
      </c>
      <c r="V9" s="8">
        <v>3</v>
      </c>
      <c r="W9" s="8">
        <v>3</v>
      </c>
      <c r="X9" s="68">
        <f t="shared" si="9"/>
        <v>23</v>
      </c>
      <c r="Y9" s="120">
        <f t="shared" si="10"/>
        <v>30</v>
      </c>
      <c r="Z9" s="101">
        <f t="shared" si="11"/>
        <v>1.1320754716981132</v>
      </c>
      <c r="AA9" s="105">
        <f>Z9</f>
        <v>1.1320754716981132</v>
      </c>
    </row>
    <row r="10" spans="1:27" ht="15">
      <c r="A10" s="5">
        <v>6</v>
      </c>
      <c r="B10" s="5" t="s">
        <v>30</v>
      </c>
      <c r="C10" s="8">
        <v>22</v>
      </c>
      <c r="D10" s="114">
        <v>4.7</v>
      </c>
      <c r="E10" s="8">
        <v>16747.2</v>
      </c>
      <c r="F10" s="91">
        <f t="shared" si="1"/>
        <v>1.0061741664278208</v>
      </c>
      <c r="G10" s="8">
        <v>514</v>
      </c>
      <c r="H10" s="9">
        <f>G11/G15</f>
        <v>0.3997344885410844</v>
      </c>
      <c r="I10" s="44">
        <f t="shared" si="2"/>
        <v>1431.2</v>
      </c>
      <c r="J10" s="91">
        <f t="shared" si="3"/>
        <v>1.7133005309141685</v>
      </c>
      <c r="K10" s="8">
        <v>9.2</v>
      </c>
      <c r="L10" s="8">
        <f t="shared" si="0"/>
        <v>514</v>
      </c>
      <c r="M10" s="8">
        <f>K15</f>
        <v>288.29999999999995</v>
      </c>
      <c r="N10" s="68">
        <f t="shared" si="12"/>
        <v>14312</v>
      </c>
      <c r="O10" s="91">
        <f t="shared" si="4"/>
        <v>0.8885469767090324</v>
      </c>
      <c r="P10" s="6">
        <v>0.29</v>
      </c>
      <c r="Q10" s="74">
        <f t="shared" si="5"/>
        <v>514</v>
      </c>
      <c r="R10" s="57">
        <f t="shared" si="6"/>
        <v>11.696999999999997</v>
      </c>
      <c r="S10" s="68">
        <f t="shared" si="7"/>
        <v>14312</v>
      </c>
      <c r="T10" s="101">
        <f t="shared" si="8"/>
        <v>0.6903363095861823</v>
      </c>
      <c r="U10" s="105">
        <f>T10</f>
        <v>0.6903363095861823</v>
      </c>
      <c r="V10" s="8">
        <v>0</v>
      </c>
      <c r="W10" s="8">
        <v>1</v>
      </c>
      <c r="X10" s="68">
        <f t="shared" si="9"/>
        <v>23</v>
      </c>
      <c r="Y10" s="120">
        <f t="shared" si="10"/>
        <v>30</v>
      </c>
      <c r="Z10" s="101">
        <f t="shared" si="11"/>
        <v>0.5660377358490566</v>
      </c>
      <c r="AA10" s="105">
        <v>0.8</v>
      </c>
    </row>
    <row r="11" spans="1:27" ht="15">
      <c r="A11" s="73">
        <v>7</v>
      </c>
      <c r="B11" s="73" t="s">
        <v>95</v>
      </c>
      <c r="C11" s="73">
        <v>0</v>
      </c>
      <c r="D11" s="115">
        <v>4.7</v>
      </c>
      <c r="E11" s="73">
        <v>16747.2</v>
      </c>
      <c r="F11" s="95">
        <f t="shared" si="1"/>
        <v>1</v>
      </c>
      <c r="G11" s="73">
        <v>5721</v>
      </c>
      <c r="H11" s="37">
        <f>G11/G15</f>
        <v>0.3997344885410844</v>
      </c>
      <c r="I11" s="31">
        <f t="shared" si="2"/>
        <v>1431.2</v>
      </c>
      <c r="J11" s="95">
        <f>(1-H11)+H11*I11/G11</f>
        <v>0.7002655114589156</v>
      </c>
      <c r="K11" s="73">
        <v>102.2</v>
      </c>
      <c r="L11" s="73">
        <f t="shared" si="0"/>
        <v>5721</v>
      </c>
      <c r="M11" s="73">
        <f>K15</f>
        <v>288.29999999999995</v>
      </c>
      <c r="N11" s="73">
        <f t="shared" si="12"/>
        <v>14312</v>
      </c>
      <c r="O11" s="95">
        <f t="shared" si="4"/>
        <v>0.886818272955223</v>
      </c>
      <c r="P11" s="73">
        <v>0.136</v>
      </c>
      <c r="Q11" s="75">
        <f t="shared" si="5"/>
        <v>5721</v>
      </c>
      <c r="R11" s="73">
        <f t="shared" si="6"/>
        <v>11.696999999999997</v>
      </c>
      <c r="S11" s="73">
        <f t="shared" si="7"/>
        <v>14312</v>
      </c>
      <c r="T11" s="102">
        <f t="shared" si="8"/>
        <v>0.029086589265990687</v>
      </c>
      <c r="U11" s="88">
        <v>0.2</v>
      </c>
      <c r="V11" s="73">
        <v>0</v>
      </c>
      <c r="W11" s="73">
        <v>1</v>
      </c>
      <c r="X11" s="73">
        <f t="shared" si="9"/>
        <v>23</v>
      </c>
      <c r="Y11" s="121">
        <f t="shared" si="10"/>
        <v>30</v>
      </c>
      <c r="Z11" s="102">
        <f t="shared" si="11"/>
        <v>0.5660377358490566</v>
      </c>
      <c r="AA11" s="88">
        <v>0.8</v>
      </c>
    </row>
    <row r="12" spans="1:27" ht="15">
      <c r="A12" s="5">
        <v>8</v>
      </c>
      <c r="B12" s="5" t="s">
        <v>31</v>
      </c>
      <c r="C12" s="8">
        <v>40</v>
      </c>
      <c r="D12" s="114">
        <v>4.7</v>
      </c>
      <c r="E12" s="8">
        <v>16747.2</v>
      </c>
      <c r="F12" s="91">
        <f t="shared" si="1"/>
        <v>1.0112257571414922</v>
      </c>
      <c r="G12" s="8">
        <v>731</v>
      </c>
      <c r="H12" s="9">
        <f>G11/G15</f>
        <v>0.3997344885410844</v>
      </c>
      <c r="I12" s="44">
        <f t="shared" si="2"/>
        <v>1431.2</v>
      </c>
      <c r="J12" s="91">
        <f t="shared" si="3"/>
        <v>1.3828920504466038</v>
      </c>
      <c r="K12" s="8">
        <v>18.2</v>
      </c>
      <c r="L12" s="8">
        <f t="shared" si="0"/>
        <v>731</v>
      </c>
      <c r="M12" s="8">
        <f>K15</f>
        <v>288.29999999999995</v>
      </c>
      <c r="N12" s="68">
        <f t="shared" si="12"/>
        <v>14312</v>
      </c>
      <c r="O12" s="91">
        <f t="shared" si="4"/>
        <v>1.235975027912576</v>
      </c>
      <c r="P12" s="6">
        <v>0.607</v>
      </c>
      <c r="Q12" s="74">
        <f t="shared" si="5"/>
        <v>731</v>
      </c>
      <c r="R12" s="57">
        <f t="shared" si="6"/>
        <v>11.696999999999997</v>
      </c>
      <c r="S12" s="68">
        <f t="shared" si="7"/>
        <v>14312</v>
      </c>
      <c r="T12" s="101">
        <f t="shared" si="8"/>
        <v>1.0160080565982814</v>
      </c>
      <c r="U12" s="105">
        <f>T12</f>
        <v>1.0160080565982814</v>
      </c>
      <c r="V12" s="8">
        <v>2</v>
      </c>
      <c r="W12" s="8">
        <v>2</v>
      </c>
      <c r="X12" s="68">
        <f t="shared" si="9"/>
        <v>23</v>
      </c>
      <c r="Y12" s="120">
        <f t="shared" si="10"/>
        <v>30</v>
      </c>
      <c r="Z12" s="101">
        <f t="shared" si="11"/>
        <v>1.1320754716981132</v>
      </c>
      <c r="AA12" s="105">
        <f>Z12</f>
        <v>1.1320754716981132</v>
      </c>
    </row>
    <row r="13" spans="1:27" ht="15">
      <c r="A13" s="5">
        <v>9</v>
      </c>
      <c r="B13" s="5" t="s">
        <v>32</v>
      </c>
      <c r="C13" s="8">
        <v>45</v>
      </c>
      <c r="D13" s="114">
        <v>4.7</v>
      </c>
      <c r="E13" s="8">
        <v>16747.2</v>
      </c>
      <c r="F13" s="91">
        <f t="shared" si="1"/>
        <v>1.012628976784179</v>
      </c>
      <c r="G13" s="8">
        <v>1635</v>
      </c>
      <c r="H13" s="9">
        <f>G11/G15</f>
        <v>0.3997344885410844</v>
      </c>
      <c r="I13" s="44">
        <f t="shared" si="2"/>
        <v>1431.2</v>
      </c>
      <c r="J13" s="91">
        <f t="shared" si="3"/>
        <v>0.9501737683396496</v>
      </c>
      <c r="K13" s="8">
        <v>27.2</v>
      </c>
      <c r="L13" s="8">
        <f t="shared" si="0"/>
        <v>1635</v>
      </c>
      <c r="M13" s="8">
        <f>K15</f>
        <v>288.29999999999995</v>
      </c>
      <c r="N13" s="68">
        <f t="shared" si="12"/>
        <v>14312</v>
      </c>
      <c r="O13" s="91">
        <f t="shared" si="4"/>
        <v>0.8258607613331764</v>
      </c>
      <c r="P13" s="8">
        <v>0.724</v>
      </c>
      <c r="Q13" s="74">
        <f t="shared" si="5"/>
        <v>1635</v>
      </c>
      <c r="R13" s="57">
        <f t="shared" si="6"/>
        <v>11.696999999999997</v>
      </c>
      <c r="S13" s="68">
        <f t="shared" si="7"/>
        <v>14312</v>
      </c>
      <c r="T13" s="101">
        <f t="shared" si="8"/>
        <v>0.5418095389732437</v>
      </c>
      <c r="U13" s="105">
        <f>T13</f>
        <v>0.5418095389732437</v>
      </c>
      <c r="V13" s="8">
        <v>6</v>
      </c>
      <c r="W13" s="8">
        <v>7</v>
      </c>
      <c r="X13" s="68">
        <f t="shared" si="9"/>
        <v>23</v>
      </c>
      <c r="Y13" s="120">
        <f t="shared" si="10"/>
        <v>30</v>
      </c>
      <c r="Z13" s="101">
        <f t="shared" si="11"/>
        <v>1.051212938005391</v>
      </c>
      <c r="AA13" s="105">
        <f>Z13</f>
        <v>1.051212938005391</v>
      </c>
    </row>
    <row r="14" spans="1:27" ht="15">
      <c r="A14" s="5">
        <v>10</v>
      </c>
      <c r="B14" s="5" t="s">
        <v>33</v>
      </c>
      <c r="C14" s="8">
        <v>56</v>
      </c>
      <c r="D14" s="114">
        <v>4.7</v>
      </c>
      <c r="E14" s="8">
        <v>16747.2</v>
      </c>
      <c r="F14" s="91">
        <f t="shared" si="1"/>
        <v>1.0157160599980892</v>
      </c>
      <c r="G14" s="8">
        <v>1188</v>
      </c>
      <c r="H14" s="9">
        <f>G11/G15</f>
        <v>0.3997344885410844</v>
      </c>
      <c r="I14" s="44">
        <f t="shared" si="2"/>
        <v>1431.2</v>
      </c>
      <c r="J14" s="91">
        <f>(1-H14)+H14*I14/G14</f>
        <v>1.0818311680245722</v>
      </c>
      <c r="K14" s="8">
        <v>40.9</v>
      </c>
      <c r="L14" s="8">
        <f t="shared" si="0"/>
        <v>1188</v>
      </c>
      <c r="M14" s="8">
        <f>K15</f>
        <v>288.29999999999995</v>
      </c>
      <c r="N14" s="68">
        <f t="shared" si="12"/>
        <v>14312</v>
      </c>
      <c r="O14" s="91">
        <f t="shared" si="4"/>
        <v>1.7090806317306493</v>
      </c>
      <c r="P14" s="8">
        <v>0.912</v>
      </c>
      <c r="Q14" s="74">
        <f t="shared" si="5"/>
        <v>1188</v>
      </c>
      <c r="R14" s="57">
        <f t="shared" si="6"/>
        <v>11.696999999999997</v>
      </c>
      <c r="S14" s="68">
        <f t="shared" si="7"/>
        <v>14312</v>
      </c>
      <c r="T14" s="101">
        <f t="shared" si="8"/>
        <v>0.9392998118312303</v>
      </c>
      <c r="U14" s="105">
        <f>T14</f>
        <v>0.9392998118312303</v>
      </c>
      <c r="V14" s="8">
        <v>2</v>
      </c>
      <c r="W14" s="8">
        <v>3</v>
      </c>
      <c r="X14" s="68">
        <f t="shared" si="9"/>
        <v>23</v>
      </c>
      <c r="Y14" s="120">
        <f t="shared" si="10"/>
        <v>30</v>
      </c>
      <c r="Z14" s="101">
        <f t="shared" si="11"/>
        <v>0.9433962264150942</v>
      </c>
      <c r="AA14" s="105">
        <f>Z14</f>
        <v>0.9433962264150942</v>
      </c>
    </row>
    <row r="15" spans="1:23" ht="15">
      <c r="A15" s="2"/>
      <c r="B15" s="2"/>
      <c r="C15" s="2"/>
      <c r="D15" s="2"/>
      <c r="E15" s="2"/>
      <c r="F15" s="7"/>
      <c r="G15" s="2">
        <f>SUM(G5:G14)</f>
        <v>14312</v>
      </c>
      <c r="H15" s="2"/>
      <c r="I15" s="2"/>
      <c r="J15" s="7"/>
      <c r="K15" s="2">
        <f>SUM(K5:K14)</f>
        <v>288.29999999999995</v>
      </c>
      <c r="L15" s="2">
        <f>SUM(L5:L14)</f>
        <v>14312</v>
      </c>
      <c r="M15" s="2"/>
      <c r="N15" s="7"/>
      <c r="O15" s="7"/>
      <c r="P15">
        <f>SUM(P5:P14)</f>
        <v>11.696999999999997</v>
      </c>
      <c r="V15">
        <f>SUM(V5:V14)</f>
        <v>23</v>
      </c>
      <c r="W15">
        <f>SUM(W5:W14)</f>
        <v>30</v>
      </c>
    </row>
  </sheetData>
  <sheetProtection/>
  <mergeCells count="1">
    <mergeCell ref="A1:Z1"/>
  </mergeCells>
  <printOptions/>
  <pageMargins left="0.4" right="0.26" top="0.7480314960629921" bottom="0.7480314960629921" header="0.31496062992125984" footer="0.31496062992125984"/>
  <pageSetup fitToHeight="1" fitToWidth="1" horizontalDpi="180" verticalDpi="18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zoomScalePageLayoutView="0" workbookViewId="0" topLeftCell="A10">
      <selection activeCell="I30" sqref="I30"/>
    </sheetView>
  </sheetViews>
  <sheetFormatPr defaultColWidth="9.140625" defaultRowHeight="15"/>
  <cols>
    <col min="1" max="1" width="6.140625" style="0" customWidth="1"/>
    <col min="2" max="2" width="19.140625" style="0" customWidth="1"/>
    <col min="3" max="3" width="7.7109375" style="0" customWidth="1"/>
    <col min="4" max="4" width="12.57421875" style="0" customWidth="1"/>
    <col min="5" max="5" width="9.00390625" style="0" customWidth="1"/>
    <col min="6" max="6" width="10.00390625" style="0" customWidth="1"/>
    <col min="7" max="7" width="8.8515625" style="0" customWidth="1"/>
    <col min="8" max="8" width="11.421875" style="0" customWidth="1"/>
    <col min="9" max="9" width="9.7109375" style="0" customWidth="1"/>
    <col min="10" max="10" width="12.00390625" style="0" customWidth="1"/>
    <col min="11" max="11" width="9.8515625" style="0" customWidth="1"/>
    <col min="12" max="17" width="10.00390625" style="0" customWidth="1"/>
    <col min="18" max="18" width="3.421875" style="0" customWidth="1"/>
    <col min="19" max="19" width="7.421875" style="0" customWidth="1"/>
    <col min="21" max="21" width="10.00390625" style="0" customWidth="1"/>
    <col min="23" max="23" width="8.57421875" style="0" customWidth="1"/>
    <col min="24" max="24" width="8.28125" style="0" customWidth="1"/>
    <col min="28" max="28" width="12.00390625" style="0" customWidth="1"/>
    <col min="30" max="30" width="8.28125" style="0" customWidth="1"/>
    <col min="31" max="31" width="8.57421875" style="0" customWidth="1"/>
  </cols>
  <sheetData>
    <row r="1" spans="2:10" ht="15.75">
      <c r="B1" s="191" t="s">
        <v>86</v>
      </c>
      <c r="C1" s="191"/>
      <c r="D1" s="191"/>
      <c r="E1" s="191"/>
      <c r="F1" s="191"/>
      <c r="G1" s="191"/>
      <c r="H1" s="191"/>
      <c r="I1" s="191"/>
      <c r="J1" s="191"/>
    </row>
    <row r="2" spans="1:17" ht="15">
      <c r="A2" s="2"/>
      <c r="B2" s="2"/>
      <c r="C2" s="2"/>
      <c r="D2" s="2"/>
      <c r="E2" s="2"/>
      <c r="F2" s="7"/>
      <c r="G2" s="2"/>
      <c r="H2" s="2"/>
      <c r="I2" s="2"/>
      <c r="J2" s="2"/>
      <c r="K2" s="2"/>
      <c r="L2" s="2"/>
      <c r="M2" s="134"/>
      <c r="N2" s="134"/>
      <c r="O2" s="134"/>
      <c r="P2" s="134"/>
      <c r="Q2" s="134"/>
    </row>
    <row r="3" spans="1:17" ht="150">
      <c r="A3" s="1" t="s">
        <v>0</v>
      </c>
      <c r="B3" s="1" t="s">
        <v>1</v>
      </c>
      <c r="C3" s="1" t="s">
        <v>88</v>
      </c>
      <c r="D3" s="1" t="s">
        <v>89</v>
      </c>
      <c r="E3" s="1" t="s">
        <v>90</v>
      </c>
      <c r="F3" s="4" t="s">
        <v>94</v>
      </c>
      <c r="G3" s="1" t="s">
        <v>91</v>
      </c>
      <c r="H3" s="1" t="s">
        <v>92</v>
      </c>
      <c r="I3" s="1" t="s">
        <v>93</v>
      </c>
      <c r="J3" s="106" t="s">
        <v>87</v>
      </c>
      <c r="K3" s="2"/>
      <c r="L3" s="2"/>
      <c r="M3" s="134"/>
      <c r="N3" s="134"/>
      <c r="O3" s="134"/>
      <c r="P3" s="134"/>
      <c r="Q3" s="134"/>
    </row>
    <row r="4" spans="1:17" ht="15">
      <c r="A4" s="5">
        <v>1</v>
      </c>
      <c r="B4" s="5" t="s">
        <v>25</v>
      </c>
      <c r="C4" s="6">
        <f>J30</f>
        <v>0.5154727927143596</v>
      </c>
      <c r="D4" s="6">
        <f>' К - расчет коэффициентов'!J5</f>
        <v>0.9591739179833824</v>
      </c>
      <c r="E4" s="43">
        <f>L30</f>
        <v>0.006545922564386878</v>
      </c>
      <c r="F4" s="6">
        <f>' К - расчет коэффициентов'!O5</f>
        <v>0.8439887524801427</v>
      </c>
      <c r="G4" s="6">
        <f>N30</f>
        <v>0.47798128472125334</v>
      </c>
      <c r="H4" s="3">
        <f>' К - расчет коэффициентов'!U5</f>
        <v>2</v>
      </c>
      <c r="I4" s="3">
        <f>' К - расчет коэффициентов'!AA5</f>
        <v>1.051212938005391</v>
      </c>
      <c r="J4" s="107">
        <f>C4*D4+E4*F4+G4*H4*I4</f>
        <v>1.5048729644674568</v>
      </c>
      <c r="K4" s="2"/>
      <c r="L4" s="2"/>
      <c r="M4" s="134"/>
      <c r="N4" s="134"/>
      <c r="O4" s="134"/>
      <c r="P4" s="134"/>
      <c r="Q4" s="134"/>
    </row>
    <row r="5" spans="1:17" ht="15">
      <c r="A5" s="5">
        <v>2</v>
      </c>
      <c r="B5" s="5" t="s">
        <v>26</v>
      </c>
      <c r="C5" s="6">
        <f>C4</f>
        <v>0.5154727927143596</v>
      </c>
      <c r="D5" s="6">
        <f>' К - расчет коэффициентов'!J6</f>
        <v>1.3346685923318296</v>
      </c>
      <c r="E5" s="43">
        <f>E4</f>
        <v>0.006545922564386878</v>
      </c>
      <c r="F5" s="6">
        <f>' К - расчет коэффициентов'!O6</f>
        <v>1.178935257231427</v>
      </c>
      <c r="G5" s="6">
        <f>G4</f>
        <v>0.47798128472125334</v>
      </c>
      <c r="H5" s="3">
        <f>' К - расчет коэффициентов'!U6</f>
        <v>2</v>
      </c>
      <c r="I5" s="3">
        <f>' К - расчет коэффициентов'!AA6</f>
        <v>0.8490566037735849</v>
      </c>
      <c r="J5" s="107">
        <f aca="true" t="shared" si="0" ref="J5:J13">C5*D5+E5*F5+G5*H5*I5</f>
        <v>1.5073688980852182</v>
      </c>
      <c r="K5" s="2"/>
      <c r="L5" s="2"/>
      <c r="M5" s="134"/>
      <c r="N5" s="134"/>
      <c r="O5" s="134"/>
      <c r="P5" s="134"/>
      <c r="Q5" s="134"/>
    </row>
    <row r="6" spans="1:17" ht="15">
      <c r="A6" s="5">
        <v>3</v>
      </c>
      <c r="B6" s="5" t="s">
        <v>27</v>
      </c>
      <c r="C6" s="6">
        <f aca="true" t="shared" si="1" ref="C6:C13">C5</f>
        <v>0.5154727927143596</v>
      </c>
      <c r="D6" s="6">
        <f>' К - расчет коэффициентов'!J7</f>
        <v>1.708986441691474</v>
      </c>
      <c r="E6" s="43">
        <f aca="true" t="shared" si="2" ref="E6:E13">E5</f>
        <v>0.006545922564386878</v>
      </c>
      <c r="F6" s="6">
        <f>' К - расчет коэффициентов'!O7</f>
        <v>1.2218269621168734</v>
      </c>
      <c r="G6" s="6">
        <f aca="true" t="shared" si="3" ref="G6:G13">G5</f>
        <v>0.47798128472125334</v>
      </c>
      <c r="H6" s="3">
        <f>' К - расчет коэффициентов'!U7</f>
        <v>1.8187436916508775</v>
      </c>
      <c r="I6" s="3">
        <f>' К - расчет коэффициентов'!AA7</f>
        <v>1.1320754716981132</v>
      </c>
      <c r="J6" s="107">
        <f t="shared" si="0"/>
        <v>1.8730760131858282</v>
      </c>
      <c r="K6" s="2"/>
      <c r="L6" s="2"/>
      <c r="M6" s="134"/>
      <c r="N6" s="134"/>
      <c r="O6" s="134"/>
      <c r="P6" s="134"/>
      <c r="Q6" s="134"/>
    </row>
    <row r="7" spans="1:17" ht="15">
      <c r="A7" s="5">
        <v>4</v>
      </c>
      <c r="B7" s="5" t="s">
        <v>28</v>
      </c>
      <c r="C7" s="6">
        <f t="shared" si="1"/>
        <v>0.5154727927143596</v>
      </c>
      <c r="D7" s="6">
        <f>' К - расчет коэффициентов'!J8</f>
        <v>1.460566263338615</v>
      </c>
      <c r="E7" s="43">
        <f t="shared" si="2"/>
        <v>0.006545922564386878</v>
      </c>
      <c r="F7" s="6">
        <f>' К - расчет коэффициентов'!O8</f>
        <v>1.0451101739781297</v>
      </c>
      <c r="G7" s="6">
        <f t="shared" si="3"/>
        <v>0.47798128472125334</v>
      </c>
      <c r="H7" s="3">
        <f>' К - расчет коэффициентов'!U8</f>
        <v>2</v>
      </c>
      <c r="I7" s="3">
        <f>' К - расчет коэффициентов'!AA8</f>
        <v>0.8490566037735849</v>
      </c>
      <c r="J7" s="107">
        <f t="shared" si="0"/>
        <v>1.5713897135231711</v>
      </c>
      <c r="K7" s="2"/>
      <c r="L7" s="2"/>
      <c r="M7" s="134"/>
      <c r="N7" s="134"/>
      <c r="O7" s="134"/>
      <c r="P7" s="134"/>
      <c r="Q7" s="134"/>
    </row>
    <row r="8" spans="1:17" ht="15">
      <c r="A8" s="5">
        <v>5</v>
      </c>
      <c r="B8" s="5" t="s">
        <v>29</v>
      </c>
      <c r="C8" s="6">
        <f t="shared" si="1"/>
        <v>0.5154727927143596</v>
      </c>
      <c r="D8" s="6">
        <f>' К - расчет коэффициентов'!J9</f>
        <v>1.1906679882391014</v>
      </c>
      <c r="E8" s="43">
        <f t="shared" si="2"/>
        <v>0.006545922564386878</v>
      </c>
      <c r="F8" s="6">
        <f>' К - расчет коэффициентов'!O9</f>
        <v>0.93752530312744</v>
      </c>
      <c r="G8" s="6">
        <f t="shared" si="3"/>
        <v>0.47798128472125334</v>
      </c>
      <c r="H8" s="3">
        <f>' К - расчет коэффициентов'!U9</f>
        <v>0.5846326309666519</v>
      </c>
      <c r="I8" s="3">
        <f>' К - расчет коэффициентов'!AA9</f>
        <v>1.1320754716981132</v>
      </c>
      <c r="J8" s="107">
        <f t="shared" si="0"/>
        <v>0.9362450034383858</v>
      </c>
      <c r="K8" s="2"/>
      <c r="L8" s="2"/>
      <c r="M8" s="134"/>
      <c r="N8" s="134"/>
      <c r="O8" s="134"/>
      <c r="P8" s="134"/>
      <c r="Q8" s="134"/>
    </row>
    <row r="9" spans="1:17" ht="15">
      <c r="A9" s="5">
        <v>6</v>
      </c>
      <c r="B9" s="5" t="s">
        <v>30</v>
      </c>
      <c r="C9" s="6">
        <f t="shared" si="1"/>
        <v>0.5154727927143596</v>
      </c>
      <c r="D9" s="6">
        <f>' К - расчет коэффициентов'!J10</f>
        <v>1.7133005309141685</v>
      </c>
      <c r="E9" s="43">
        <f t="shared" si="2"/>
        <v>0.006545922564386878</v>
      </c>
      <c r="F9" s="6">
        <f>' К - расчет коэффициентов'!O10</f>
        <v>0.8885469767090324</v>
      </c>
      <c r="G9" s="6">
        <f t="shared" si="3"/>
        <v>0.47798128472125334</v>
      </c>
      <c r="H9" s="3">
        <f>' К - расчет коэффициентов'!U10</f>
        <v>0.6903363095861823</v>
      </c>
      <c r="I9" s="3">
        <f>' К - расчет коэффициентов'!AA10</f>
        <v>0.8</v>
      </c>
      <c r="J9" s="107">
        <f t="shared" si="0"/>
        <v>1.1529504380502646</v>
      </c>
      <c r="K9" s="2"/>
      <c r="L9" s="2"/>
      <c r="M9" s="134"/>
      <c r="N9" s="134"/>
      <c r="O9" s="134"/>
      <c r="P9" s="134"/>
      <c r="Q9" s="134"/>
    </row>
    <row r="10" spans="1:17" s="26" customFormat="1" ht="15">
      <c r="A10" s="73">
        <v>7</v>
      </c>
      <c r="B10" s="73" t="s">
        <v>95</v>
      </c>
      <c r="C10" s="34">
        <f t="shared" si="1"/>
        <v>0.5154727927143596</v>
      </c>
      <c r="D10" s="34">
        <f>' К - расчет коэффициентов'!J11</f>
        <v>0.7002655114589156</v>
      </c>
      <c r="E10" s="54">
        <f t="shared" si="2"/>
        <v>0.006545922564386878</v>
      </c>
      <c r="F10" s="34">
        <f>' К - расчет коэффициентов'!O11</f>
        <v>0.886818272955223</v>
      </c>
      <c r="G10" s="34">
        <f t="shared" si="3"/>
        <v>0.47798128472125334</v>
      </c>
      <c r="H10" s="34">
        <f>' К - расчет коэффициентов'!U11</f>
        <v>0.2</v>
      </c>
      <c r="I10" s="34">
        <f>' К - расчет коэффициентов'!AA11</f>
        <v>0.8</v>
      </c>
      <c r="J10" s="95">
        <f t="shared" si="0"/>
        <v>0.44324986813212536</v>
      </c>
      <c r="K10" s="7"/>
      <c r="L10" s="7"/>
      <c r="M10" s="7"/>
      <c r="N10" s="7"/>
      <c r="O10" s="7"/>
      <c r="P10" s="7"/>
      <c r="Q10" s="7"/>
    </row>
    <row r="11" spans="1:17" ht="15">
      <c r="A11" s="5">
        <v>8</v>
      </c>
      <c r="B11" s="5" t="s">
        <v>31</v>
      </c>
      <c r="C11" s="6">
        <f t="shared" si="1"/>
        <v>0.5154727927143596</v>
      </c>
      <c r="D11" s="6">
        <f>' К - расчет коэффициентов'!J12</f>
        <v>1.3828920504466038</v>
      </c>
      <c r="E11" s="43">
        <f t="shared" si="2"/>
        <v>0.006545922564386878</v>
      </c>
      <c r="F11" s="6">
        <f>' К - расчет коэффициентов'!O12</f>
        <v>1.235975027912576</v>
      </c>
      <c r="G11" s="6">
        <f t="shared" si="3"/>
        <v>0.47798128472125334</v>
      </c>
      <c r="H11" s="3">
        <f>' К - расчет коэффициентов'!U12</f>
        <v>1.0160080565982814</v>
      </c>
      <c r="I11" s="3">
        <f>' К - расчет коэффициентов'!AA12</f>
        <v>1.1320754716981132</v>
      </c>
      <c r="J11" s="107">
        <f t="shared" si="0"/>
        <v>1.270706846180985</v>
      </c>
      <c r="K11" s="2"/>
      <c r="L11" s="2"/>
      <c r="M11" s="134"/>
      <c r="N11" s="134"/>
      <c r="O11" s="134"/>
      <c r="P11" s="134"/>
      <c r="Q11" s="134"/>
    </row>
    <row r="12" spans="1:17" ht="15">
      <c r="A12" s="5">
        <v>9</v>
      </c>
      <c r="B12" s="5" t="s">
        <v>32</v>
      </c>
      <c r="C12" s="6">
        <f t="shared" si="1"/>
        <v>0.5154727927143596</v>
      </c>
      <c r="D12" s="6">
        <f>' К - расчет коэффициентов'!J13</f>
        <v>0.9501737683396496</v>
      </c>
      <c r="E12" s="43">
        <f>E11</f>
        <v>0.006545922564386878</v>
      </c>
      <c r="F12" s="6">
        <f>' К - расчет коэффициентов'!O13</f>
        <v>0.8258607613331764</v>
      </c>
      <c r="G12" s="6">
        <f t="shared" si="3"/>
        <v>0.47798128472125334</v>
      </c>
      <c r="H12" s="3">
        <f>' К - расчет коэффициентов'!U13</f>
        <v>0.5418095389732437</v>
      </c>
      <c r="I12" s="3">
        <f>' К - расчет коэффициентов'!AA13</f>
        <v>1.051212938005391</v>
      </c>
      <c r="J12" s="107">
        <f t="shared" si="0"/>
        <v>0.767432427411939</v>
      </c>
      <c r="K12" s="2"/>
      <c r="L12" s="2"/>
      <c r="M12" s="134"/>
      <c r="N12" s="134"/>
      <c r="O12" s="134"/>
      <c r="P12" s="134"/>
      <c r="Q12" s="134"/>
    </row>
    <row r="13" spans="1:17" ht="15">
      <c r="A13" s="5">
        <v>10</v>
      </c>
      <c r="B13" s="5" t="s">
        <v>33</v>
      </c>
      <c r="C13" s="6">
        <f t="shared" si="1"/>
        <v>0.5154727927143596</v>
      </c>
      <c r="D13" s="6">
        <f>' К - расчет коэффициентов'!J14</f>
        <v>1.0818311680245722</v>
      </c>
      <c r="E13" s="43">
        <f t="shared" si="2"/>
        <v>0.006545922564386878</v>
      </c>
      <c r="F13" s="6">
        <f>' К - расчет коэффициентов'!O14</f>
        <v>1.7090806317306493</v>
      </c>
      <c r="G13" s="6">
        <f t="shared" si="3"/>
        <v>0.47798128472125334</v>
      </c>
      <c r="H13" s="3">
        <f>' К - расчет коэффициентов'!U14</f>
        <v>0.9392998118312303</v>
      </c>
      <c r="I13" s="3">
        <f>' К - расчет коэффициентов'!AA14</f>
        <v>0.9433962264150942</v>
      </c>
      <c r="J13" s="107">
        <f t="shared" si="0"/>
        <v>0.9923965059151972</v>
      </c>
      <c r="K13" s="2"/>
      <c r="L13" s="2"/>
      <c r="M13" s="134"/>
      <c r="N13" s="134"/>
      <c r="O13" s="134"/>
      <c r="P13" s="134"/>
      <c r="Q13" s="134"/>
    </row>
    <row r="14" spans="1:17" ht="15">
      <c r="A14" s="11"/>
      <c r="B14" s="11"/>
      <c r="C14" s="12"/>
      <c r="D14" s="13"/>
      <c r="E14" s="12"/>
      <c r="F14" s="13"/>
      <c r="G14" s="12"/>
      <c r="H14" s="14"/>
      <c r="I14" s="14"/>
      <c r="J14" s="11"/>
      <c r="K14" s="2"/>
      <c r="L14" s="2"/>
      <c r="M14" s="134"/>
      <c r="N14" s="134"/>
      <c r="O14" s="134"/>
      <c r="P14" s="134"/>
      <c r="Q14" s="134"/>
    </row>
    <row r="15" spans="1:17" ht="15">
      <c r="A15" s="11"/>
      <c r="B15" s="11"/>
      <c r="C15" s="12"/>
      <c r="D15" s="13"/>
      <c r="E15" s="12"/>
      <c r="F15" s="13"/>
      <c r="G15" s="12"/>
      <c r="H15" s="14"/>
      <c r="I15" s="14"/>
      <c r="J15" s="11"/>
      <c r="K15" s="2"/>
      <c r="L15" s="2"/>
      <c r="M15" s="134"/>
      <c r="N15" s="134"/>
      <c r="O15" s="134"/>
      <c r="P15" s="134"/>
      <c r="Q15" s="134"/>
    </row>
    <row r="16" spans="1:17" s="26" customFormat="1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42" s="26" customFormat="1" ht="34.5" customHeight="1">
      <c r="A17" s="7"/>
      <c r="B17" s="7"/>
      <c r="C17" s="184" t="s">
        <v>44</v>
      </c>
      <c r="D17" s="193"/>
      <c r="E17" s="193"/>
      <c r="F17" s="193"/>
      <c r="G17" s="193"/>
      <c r="H17" s="193"/>
      <c r="I17" s="193"/>
      <c r="J17" s="193"/>
      <c r="K17" s="193"/>
      <c r="L17" s="193"/>
      <c r="M17" s="135"/>
      <c r="N17" s="135"/>
      <c r="O17" s="135"/>
      <c r="P17" s="135"/>
      <c r="Q17" s="135"/>
      <c r="S17" s="186"/>
      <c r="T17" s="187"/>
      <c r="U17" s="187"/>
      <c r="V17" s="187"/>
      <c r="W17" s="187"/>
      <c r="X17" s="118"/>
      <c r="Y17" s="186"/>
      <c r="Z17" s="187"/>
      <c r="AA17" s="187"/>
      <c r="AB17" s="56"/>
      <c r="AC17" s="186"/>
      <c r="AD17" s="186"/>
      <c r="AE17" s="186"/>
      <c r="AF17" s="186"/>
      <c r="AG17" s="186"/>
      <c r="AH17" s="56"/>
      <c r="AI17" s="56"/>
      <c r="AJ17" s="186"/>
      <c r="AK17" s="187"/>
      <c r="AL17" s="187"/>
      <c r="AM17" s="56"/>
      <c r="AN17" s="56"/>
      <c r="AO17" s="56"/>
      <c r="AP17" s="56"/>
    </row>
    <row r="18" spans="1:42" s="26" customFormat="1" ht="15">
      <c r="A18" s="7"/>
      <c r="B18" s="7"/>
      <c r="C18" s="184"/>
      <c r="D18" s="184"/>
      <c r="E18" s="184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</row>
    <row r="19" spans="1:42" s="26" customFormat="1" ht="146.25" customHeight="1">
      <c r="A19" s="52"/>
      <c r="B19" s="52"/>
      <c r="C19" s="119" t="s">
        <v>43</v>
      </c>
      <c r="D19" s="192" t="s">
        <v>1</v>
      </c>
      <c r="E19" s="192"/>
      <c r="F19" s="4" t="s">
        <v>34</v>
      </c>
      <c r="G19" s="126" t="s">
        <v>2</v>
      </c>
      <c r="H19" s="128" t="s">
        <v>45</v>
      </c>
      <c r="I19" s="129" t="s">
        <v>6</v>
      </c>
      <c r="J19" s="129" t="s">
        <v>3</v>
      </c>
      <c r="K19" s="128"/>
      <c r="L19" s="136" t="s">
        <v>4</v>
      </c>
      <c r="M19" s="128"/>
      <c r="N19" s="136" t="s">
        <v>5</v>
      </c>
      <c r="O19" s="128"/>
      <c r="P19" s="52"/>
      <c r="Q19" s="52"/>
      <c r="R19" s="52"/>
      <c r="S19" s="145"/>
      <c r="T19" s="145"/>
      <c r="U19" s="56"/>
      <c r="V19" s="146"/>
      <c r="W19" s="146"/>
      <c r="X19" s="146"/>
      <c r="Y19" s="146"/>
      <c r="Z19" s="146"/>
      <c r="AA19" s="145"/>
      <c r="AB19" s="147"/>
      <c r="AC19" s="147"/>
      <c r="AD19" s="147"/>
      <c r="AE19" s="56"/>
      <c r="AF19" s="148"/>
      <c r="AG19" s="148"/>
      <c r="AH19" s="148"/>
      <c r="AI19" s="148"/>
      <c r="AJ19" s="148"/>
      <c r="AK19" s="148"/>
      <c r="AL19" s="145"/>
      <c r="AM19" s="145"/>
      <c r="AN19" s="145"/>
      <c r="AO19" s="145"/>
      <c r="AP19" s="56"/>
    </row>
    <row r="20" spans="1:42" s="26" customFormat="1" ht="15">
      <c r="A20" s="53"/>
      <c r="B20" s="11"/>
      <c r="C20" s="119">
        <v>1</v>
      </c>
      <c r="D20" s="192" t="s">
        <v>25</v>
      </c>
      <c r="E20" s="192"/>
      <c r="F20" s="117">
        <f>G20+H20+I20</f>
        <v>5262.8099999999995</v>
      </c>
      <c r="G20" s="126">
        <v>1866.21</v>
      </c>
      <c r="H20" s="126">
        <v>7</v>
      </c>
      <c r="I20" s="129">
        <v>3389.6</v>
      </c>
      <c r="J20" s="144">
        <f>G20/F20</f>
        <v>0.3546033392807265</v>
      </c>
      <c r="K20" s="6">
        <f>G20/G31</f>
        <v>1.0534643561550732</v>
      </c>
      <c r="L20" s="6">
        <f>H20/F20</f>
        <v>0.0013300879188114336</v>
      </c>
      <c r="M20" s="6">
        <f>H20/H31</f>
        <v>0.1837270341207349</v>
      </c>
      <c r="N20" s="6">
        <f>I20/F20</f>
        <v>0.6440665728004622</v>
      </c>
      <c r="O20" s="6">
        <f>I20/I31</f>
        <v>1.8519469592250406</v>
      </c>
      <c r="P20" s="12"/>
      <c r="Q20" s="12"/>
      <c r="R20" s="12"/>
      <c r="S20" s="12"/>
      <c r="T20" s="12"/>
      <c r="U20" s="56"/>
      <c r="V20" s="149"/>
      <c r="W20" s="150"/>
      <c r="X20" s="151"/>
      <c r="Y20" s="149"/>
      <c r="Z20" s="149"/>
      <c r="AA20" s="60"/>
      <c r="AB20" s="152"/>
      <c r="AC20" s="152"/>
      <c r="AD20" s="152"/>
      <c r="AE20" s="56"/>
      <c r="AF20" s="153"/>
      <c r="AG20" s="153"/>
      <c r="AH20" s="153"/>
      <c r="AI20" s="153"/>
      <c r="AJ20" s="153"/>
      <c r="AK20" s="153"/>
      <c r="AL20" s="56"/>
      <c r="AM20" s="56"/>
      <c r="AN20" s="56"/>
      <c r="AO20" s="154"/>
      <c r="AP20" s="56"/>
    </row>
    <row r="21" spans="1:42" s="26" customFormat="1" ht="15" customHeight="1">
      <c r="A21" s="53"/>
      <c r="B21" s="11"/>
      <c r="C21" s="119">
        <v>2</v>
      </c>
      <c r="D21" s="192" t="s">
        <v>26</v>
      </c>
      <c r="E21" s="192"/>
      <c r="F21" s="117">
        <f aca="true" t="shared" si="4" ref="F21:F29">G21+H21+I21</f>
        <v>2507.1400000000003</v>
      </c>
      <c r="G21" s="126">
        <v>1489.44</v>
      </c>
      <c r="H21" s="126">
        <v>3</v>
      </c>
      <c r="I21" s="129">
        <v>1014.7</v>
      </c>
      <c r="J21" s="144">
        <f aca="true" t="shared" si="5" ref="J21:J29">G21/F21</f>
        <v>0.5940793094920905</v>
      </c>
      <c r="K21" s="6">
        <f>G21/G31</f>
        <v>0.8407799500761503</v>
      </c>
      <c r="L21" s="6">
        <f aca="true" t="shared" si="6" ref="L21:L29">H21/F21</f>
        <v>0.0011965825602080456</v>
      </c>
      <c r="M21" s="6">
        <f>H21/H31</f>
        <v>0.07874015748031496</v>
      </c>
      <c r="N21" s="6">
        <f aca="true" t="shared" si="7" ref="N21:N29">I21/F21</f>
        <v>0.4047241079477013</v>
      </c>
      <c r="O21" s="6">
        <f>I21/I31</f>
        <v>0.554393019685405</v>
      </c>
      <c r="P21" s="12"/>
      <c r="Q21" s="12"/>
      <c r="R21" s="12"/>
      <c r="S21" s="12"/>
      <c r="T21" s="12"/>
      <c r="U21" s="56"/>
      <c r="V21" s="149"/>
      <c r="W21" s="150"/>
      <c r="X21" s="151"/>
      <c r="Y21" s="149"/>
      <c r="Z21" s="149"/>
      <c r="AA21" s="60"/>
      <c r="AB21" s="152"/>
      <c r="AC21" s="152"/>
      <c r="AD21" s="152"/>
      <c r="AE21" s="56"/>
      <c r="AF21" s="153"/>
      <c r="AG21" s="153"/>
      <c r="AH21" s="153"/>
      <c r="AI21" s="153"/>
      <c r="AJ21" s="153"/>
      <c r="AK21" s="153"/>
      <c r="AL21" s="56"/>
      <c r="AM21" s="56"/>
      <c r="AN21" s="56"/>
      <c r="AO21" s="154"/>
      <c r="AP21" s="56"/>
    </row>
    <row r="22" spans="1:42" s="26" customFormat="1" ht="15" customHeight="1">
      <c r="A22" s="53"/>
      <c r="B22" s="11"/>
      <c r="C22" s="119">
        <v>3</v>
      </c>
      <c r="D22" s="192" t="s">
        <v>27</v>
      </c>
      <c r="E22" s="192"/>
      <c r="F22" s="117">
        <f>G22+H22+I22</f>
        <v>2374.22</v>
      </c>
      <c r="G22" s="126">
        <v>1490.12</v>
      </c>
      <c r="H22" s="126">
        <v>3</v>
      </c>
      <c r="I22" s="129">
        <v>881.1</v>
      </c>
      <c r="J22" s="144">
        <f t="shared" si="5"/>
        <v>0.6276250726554405</v>
      </c>
      <c r="K22" s="6">
        <f>G22/G31</f>
        <v>0.8411638059992164</v>
      </c>
      <c r="L22" s="6">
        <f t="shared" si="6"/>
        <v>0.0012635728786717323</v>
      </c>
      <c r="M22" s="6">
        <f>H22/H31</f>
        <v>0.07874015748031496</v>
      </c>
      <c r="N22" s="6">
        <f t="shared" si="7"/>
        <v>0.3711113544658878</v>
      </c>
      <c r="O22" s="6">
        <f>I22/I31</f>
        <v>0.48139912254342204</v>
      </c>
      <c r="P22" s="12"/>
      <c r="Q22" s="12"/>
      <c r="R22" s="12"/>
      <c r="S22" s="12"/>
      <c r="T22" s="12"/>
      <c r="U22" s="56"/>
      <c r="V22" s="149"/>
      <c r="W22" s="150"/>
      <c r="X22" s="151"/>
      <c r="Y22" s="150"/>
      <c r="Z22" s="149"/>
      <c r="AA22" s="60"/>
      <c r="AB22" s="152"/>
      <c r="AC22" s="152"/>
      <c r="AD22" s="152"/>
      <c r="AE22" s="56"/>
      <c r="AF22" s="153"/>
      <c r="AG22" s="153"/>
      <c r="AH22" s="153"/>
      <c r="AI22" s="153"/>
      <c r="AJ22" s="153"/>
      <c r="AK22" s="153"/>
      <c r="AL22" s="56"/>
      <c r="AM22" s="56"/>
      <c r="AN22" s="56"/>
      <c r="AO22" s="154"/>
      <c r="AP22" s="56"/>
    </row>
    <row r="23" spans="1:42" s="26" customFormat="1" ht="15" customHeight="1">
      <c r="A23" s="53"/>
      <c r="B23" s="11"/>
      <c r="C23" s="119">
        <v>4</v>
      </c>
      <c r="D23" s="192" t="s">
        <v>28</v>
      </c>
      <c r="E23" s="192"/>
      <c r="F23" s="117">
        <f t="shared" si="4"/>
        <v>2431.02</v>
      </c>
      <c r="G23" s="126">
        <v>1492.42</v>
      </c>
      <c r="H23" s="126">
        <v>2</v>
      </c>
      <c r="I23" s="129">
        <v>936.6</v>
      </c>
      <c r="J23" s="144">
        <f t="shared" si="5"/>
        <v>0.6139069197291672</v>
      </c>
      <c r="K23" s="6">
        <f>G23/G31</f>
        <v>0.8424621422095876</v>
      </c>
      <c r="L23" s="6">
        <f t="shared" si="6"/>
        <v>0.0008226999366521049</v>
      </c>
      <c r="M23" s="6">
        <f>H23/H31</f>
        <v>0.05249343832020997</v>
      </c>
      <c r="N23" s="6">
        <f t="shared" si="7"/>
        <v>0.3852703803341807</v>
      </c>
      <c r="O23" s="6">
        <f>I23/I31</f>
        <v>0.511722186101656</v>
      </c>
      <c r="P23" s="12"/>
      <c r="Q23" s="12"/>
      <c r="R23" s="12"/>
      <c r="S23" s="12"/>
      <c r="T23" s="12"/>
      <c r="U23" s="56"/>
      <c r="V23" s="149"/>
      <c r="W23" s="150"/>
      <c r="X23" s="151"/>
      <c r="Y23" s="150"/>
      <c r="Z23" s="149"/>
      <c r="AA23" s="60"/>
      <c r="AB23" s="152"/>
      <c r="AC23" s="152"/>
      <c r="AD23" s="152"/>
      <c r="AE23" s="56"/>
      <c r="AF23" s="153"/>
      <c r="AG23" s="153"/>
      <c r="AH23" s="153"/>
      <c r="AI23" s="153"/>
      <c r="AJ23" s="153"/>
      <c r="AK23" s="153"/>
      <c r="AL23" s="56"/>
      <c r="AM23" s="56"/>
      <c r="AN23" s="56"/>
      <c r="AO23" s="154"/>
      <c r="AP23" s="56"/>
    </row>
    <row r="24" spans="1:42" s="26" customFormat="1" ht="15" customHeight="1">
      <c r="A24" s="53"/>
      <c r="B24" s="11"/>
      <c r="C24" s="119">
        <v>5</v>
      </c>
      <c r="D24" s="192" t="s">
        <v>29</v>
      </c>
      <c r="E24" s="192"/>
      <c r="F24" s="117">
        <f t="shared" si="4"/>
        <v>3735.02</v>
      </c>
      <c r="G24" s="126">
        <v>1685.92</v>
      </c>
      <c r="H24" s="126">
        <v>3</v>
      </c>
      <c r="I24" s="129">
        <v>2046.1</v>
      </c>
      <c r="J24" s="144">
        <f t="shared" si="5"/>
        <v>0.45138178644291066</v>
      </c>
      <c r="K24" s="6">
        <f>G24/G31</f>
        <v>0.9516917320821136</v>
      </c>
      <c r="L24" s="6">
        <f t="shared" si="6"/>
        <v>0.0008032085504227555</v>
      </c>
      <c r="M24" s="6">
        <f>H24/H31</f>
        <v>0.07874015748031496</v>
      </c>
      <c r="N24" s="6">
        <f t="shared" si="7"/>
        <v>0.5478150050066666</v>
      </c>
      <c r="O24" s="6">
        <f>I24/I31</f>
        <v>1.1179102765135578</v>
      </c>
      <c r="P24" s="12"/>
      <c r="Q24" s="12"/>
      <c r="R24" s="12"/>
      <c r="S24" s="12"/>
      <c r="T24" s="12"/>
      <c r="U24" s="56"/>
      <c r="V24" s="149"/>
      <c r="W24" s="150"/>
      <c r="X24" s="151"/>
      <c r="Y24" s="150"/>
      <c r="Z24" s="149"/>
      <c r="AA24" s="60"/>
      <c r="AB24" s="152"/>
      <c r="AC24" s="152"/>
      <c r="AD24" s="152"/>
      <c r="AE24" s="56"/>
      <c r="AF24" s="153"/>
      <c r="AG24" s="153"/>
      <c r="AH24" s="153"/>
      <c r="AI24" s="153"/>
      <c r="AJ24" s="153"/>
      <c r="AK24" s="153"/>
      <c r="AL24" s="56"/>
      <c r="AM24" s="56"/>
      <c r="AN24" s="56"/>
      <c r="AO24" s="154"/>
      <c r="AP24" s="56"/>
    </row>
    <row r="25" spans="1:42" s="26" customFormat="1" ht="15" customHeight="1">
      <c r="A25" s="53"/>
      <c r="B25" s="11"/>
      <c r="C25" s="119">
        <v>6</v>
      </c>
      <c r="D25" s="192" t="s">
        <v>30</v>
      </c>
      <c r="E25" s="192"/>
      <c r="F25" s="117">
        <f t="shared" si="4"/>
        <v>2398.33</v>
      </c>
      <c r="G25" s="126">
        <v>1469.33</v>
      </c>
      <c r="H25" s="126">
        <v>2</v>
      </c>
      <c r="I25" s="129">
        <v>927</v>
      </c>
      <c r="J25" s="144">
        <f t="shared" si="5"/>
        <v>0.6126471336304845</v>
      </c>
      <c r="K25" s="6">
        <f>G25/G31</f>
        <v>0.8294279756454707</v>
      </c>
      <c r="L25" s="6">
        <f t="shared" si="6"/>
        <v>0.0008339135982120893</v>
      </c>
      <c r="M25" s="6">
        <f>H25/H31</f>
        <v>0.05249343832020997</v>
      </c>
      <c r="N25" s="6">
        <f t="shared" si="7"/>
        <v>0.3865189527713034</v>
      </c>
      <c r="O25" s="6">
        <f>I25/I31</f>
        <v>0.5064771156483399</v>
      </c>
      <c r="P25" s="12"/>
      <c r="Q25" s="12"/>
      <c r="R25" s="12"/>
      <c r="S25" s="12"/>
      <c r="T25" s="12"/>
      <c r="U25" s="56"/>
      <c r="V25" s="149"/>
      <c r="W25" s="150"/>
      <c r="X25" s="151"/>
      <c r="Y25" s="150"/>
      <c r="Z25" s="149"/>
      <c r="AA25" s="60"/>
      <c r="AB25" s="152"/>
      <c r="AC25" s="152"/>
      <c r="AD25" s="152"/>
      <c r="AE25" s="56"/>
      <c r="AF25" s="153"/>
      <c r="AG25" s="153"/>
      <c r="AH25" s="153"/>
      <c r="AI25" s="153"/>
      <c r="AJ25" s="153"/>
      <c r="AK25" s="153"/>
      <c r="AL25" s="56"/>
      <c r="AM25" s="56"/>
      <c r="AN25" s="56"/>
      <c r="AO25" s="154"/>
      <c r="AP25" s="56"/>
    </row>
    <row r="26" spans="1:42" s="26" customFormat="1" ht="15" customHeight="1">
      <c r="A26" s="53"/>
      <c r="B26" s="53"/>
      <c r="C26" s="127">
        <v>7</v>
      </c>
      <c r="D26" s="192" t="s">
        <v>95</v>
      </c>
      <c r="E26" s="192"/>
      <c r="F26" s="126">
        <f t="shared" si="4"/>
        <v>6329.99</v>
      </c>
      <c r="G26" s="126">
        <v>3200.99</v>
      </c>
      <c r="H26" s="126">
        <v>338</v>
      </c>
      <c r="I26" s="129">
        <v>2791</v>
      </c>
      <c r="J26" s="144">
        <f t="shared" si="5"/>
        <v>0.5056864228853442</v>
      </c>
      <c r="K26" s="6">
        <f>G26/G31</f>
        <v>1.806939663493834</v>
      </c>
      <c r="L26" s="6">
        <f t="shared" si="6"/>
        <v>0.053396608841404174</v>
      </c>
      <c r="M26" s="6">
        <f>H26/H31</f>
        <v>8.871391076115485</v>
      </c>
      <c r="N26" s="6">
        <f t="shared" si="7"/>
        <v>0.4409169682732516</v>
      </c>
      <c r="O26" s="6">
        <f>I26/I31</f>
        <v>1.5248949620005572</v>
      </c>
      <c r="P26" s="12"/>
      <c r="Q26" s="12"/>
      <c r="R26" s="12"/>
      <c r="S26" s="12"/>
      <c r="T26" s="12"/>
      <c r="U26" s="56"/>
      <c r="V26" s="149"/>
      <c r="W26" s="150"/>
      <c r="X26" s="151"/>
      <c r="Y26" s="150"/>
      <c r="Z26" s="149"/>
      <c r="AA26" s="60"/>
      <c r="AB26" s="152"/>
      <c r="AC26" s="152"/>
      <c r="AD26" s="152"/>
      <c r="AE26" s="56"/>
      <c r="AF26" s="153"/>
      <c r="AG26" s="153"/>
      <c r="AH26" s="153"/>
      <c r="AI26" s="153"/>
      <c r="AJ26" s="153"/>
      <c r="AK26" s="153"/>
      <c r="AL26" s="56"/>
      <c r="AM26" s="56"/>
      <c r="AN26" s="56"/>
      <c r="AO26" s="154"/>
      <c r="AP26" s="56"/>
    </row>
    <row r="27" spans="1:42" s="26" customFormat="1" ht="15" customHeight="1">
      <c r="A27" s="53"/>
      <c r="B27" s="11"/>
      <c r="C27" s="119">
        <v>8</v>
      </c>
      <c r="D27" s="192" t="s">
        <v>31</v>
      </c>
      <c r="E27" s="192"/>
      <c r="F27" s="117">
        <f t="shared" si="4"/>
        <v>2509.2</v>
      </c>
      <c r="G27" s="126">
        <v>1490.6</v>
      </c>
      <c r="H27" s="126">
        <v>3</v>
      </c>
      <c r="I27" s="129">
        <v>1015.6</v>
      </c>
      <c r="J27" s="144">
        <f t="shared" si="5"/>
        <v>0.5940538817152877</v>
      </c>
      <c r="K27" s="6">
        <f>G27/G31</f>
        <v>0.8414347631213808</v>
      </c>
      <c r="L27" s="6">
        <f t="shared" si="6"/>
        <v>0.0011956001912960307</v>
      </c>
      <c r="M27" s="6">
        <f>H27/H31</f>
        <v>0.07874015748031496</v>
      </c>
      <c r="N27" s="6">
        <f t="shared" si="7"/>
        <v>0.4047505180934163</v>
      </c>
      <c r="O27" s="6">
        <f>I27/I31</f>
        <v>0.5548847450404034</v>
      </c>
      <c r="P27" s="12"/>
      <c r="Q27" s="12"/>
      <c r="R27" s="12"/>
      <c r="S27" s="12"/>
      <c r="T27" s="12"/>
      <c r="U27" s="56"/>
      <c r="V27" s="149"/>
      <c r="W27" s="150"/>
      <c r="X27" s="151"/>
      <c r="Y27" s="150"/>
      <c r="Z27" s="149"/>
      <c r="AA27" s="60"/>
      <c r="AB27" s="152"/>
      <c r="AC27" s="152"/>
      <c r="AD27" s="152"/>
      <c r="AE27" s="56"/>
      <c r="AF27" s="153"/>
      <c r="AG27" s="153"/>
      <c r="AH27" s="153"/>
      <c r="AI27" s="153"/>
      <c r="AJ27" s="153"/>
      <c r="AK27" s="153"/>
      <c r="AL27" s="56"/>
      <c r="AM27" s="56"/>
      <c r="AN27" s="56"/>
      <c r="AO27" s="154"/>
      <c r="AP27" s="56"/>
    </row>
    <row r="28" spans="1:42" s="26" customFormat="1" ht="15">
      <c r="A28" s="53"/>
      <c r="B28" s="11"/>
      <c r="C28" s="119">
        <v>9</v>
      </c>
      <c r="D28" s="192" t="s">
        <v>32</v>
      </c>
      <c r="E28" s="192"/>
      <c r="F28" s="117">
        <f t="shared" si="4"/>
        <v>4768.52</v>
      </c>
      <c r="G28" s="126">
        <v>1813.22</v>
      </c>
      <c r="H28" s="126">
        <v>8</v>
      </c>
      <c r="I28" s="129">
        <v>2947.3</v>
      </c>
      <c r="J28" s="144">
        <f t="shared" si="5"/>
        <v>0.3802479595346145</v>
      </c>
      <c r="K28" s="6">
        <f>G28/G31</f>
        <v>1.023551818856132</v>
      </c>
      <c r="L28" s="6">
        <f t="shared" si="6"/>
        <v>0.0016776693816949492</v>
      </c>
      <c r="M28" s="6">
        <f>H28/H31</f>
        <v>0.2099737532808399</v>
      </c>
      <c r="N28" s="6">
        <f t="shared" si="7"/>
        <v>0.6180743710836906</v>
      </c>
      <c r="O28" s="6">
        <f>I28/I31</f>
        <v>1.6102912653186106</v>
      </c>
      <c r="P28" s="12"/>
      <c r="Q28" s="12"/>
      <c r="R28" s="12"/>
      <c r="S28" s="12"/>
      <c r="T28" s="12"/>
      <c r="U28" s="56"/>
      <c r="V28" s="149"/>
      <c r="W28" s="150"/>
      <c r="X28" s="151"/>
      <c r="Y28" s="150"/>
      <c r="Z28" s="149"/>
      <c r="AA28" s="60"/>
      <c r="AB28" s="152"/>
      <c r="AC28" s="152"/>
      <c r="AD28" s="152"/>
      <c r="AE28" s="56"/>
      <c r="AF28" s="153"/>
      <c r="AG28" s="153"/>
      <c r="AH28" s="153"/>
      <c r="AI28" s="153"/>
      <c r="AJ28" s="153"/>
      <c r="AK28" s="153"/>
      <c r="AL28" s="56"/>
      <c r="AM28" s="56"/>
      <c r="AN28" s="56"/>
      <c r="AO28" s="154"/>
      <c r="AP28" s="56"/>
    </row>
    <row r="29" spans="1:42" s="26" customFormat="1" ht="15">
      <c r="A29" s="53"/>
      <c r="B29" s="11"/>
      <c r="C29" s="119">
        <v>10</v>
      </c>
      <c r="D29" s="192" t="s">
        <v>33</v>
      </c>
      <c r="E29" s="192"/>
      <c r="F29" s="117">
        <f t="shared" si="4"/>
        <v>4082.63</v>
      </c>
      <c r="G29" s="126">
        <v>1716.73</v>
      </c>
      <c r="H29" s="126">
        <v>12</v>
      </c>
      <c r="I29" s="129">
        <v>2353.9</v>
      </c>
      <c r="J29" s="144">
        <f t="shared" si="5"/>
        <v>0.42049610177753066</v>
      </c>
      <c r="K29" s="6">
        <f>G29/G31</f>
        <v>0.9690837923610414</v>
      </c>
      <c r="L29" s="6">
        <f t="shared" si="6"/>
        <v>0.0029392817864954696</v>
      </c>
      <c r="M29" s="6">
        <f>H29/H31</f>
        <v>0.31496062992125984</v>
      </c>
      <c r="N29" s="6">
        <f t="shared" si="7"/>
        <v>0.5765646164359739</v>
      </c>
      <c r="O29" s="6">
        <f>I29/I31</f>
        <v>1.2860803479230067</v>
      </c>
      <c r="P29" s="12"/>
      <c r="Q29" s="12"/>
      <c r="R29" s="12"/>
      <c r="S29" s="12"/>
      <c r="T29" s="12"/>
      <c r="U29" s="56"/>
      <c r="V29" s="149"/>
      <c r="W29" s="150"/>
      <c r="X29" s="151"/>
      <c r="Y29" s="150"/>
      <c r="Z29" s="149"/>
      <c r="AA29" s="60"/>
      <c r="AB29" s="152"/>
      <c r="AC29" s="152"/>
      <c r="AD29" s="152"/>
      <c r="AE29" s="56"/>
      <c r="AF29" s="153"/>
      <c r="AG29" s="153"/>
      <c r="AH29" s="153"/>
      <c r="AI29" s="153"/>
      <c r="AJ29" s="153"/>
      <c r="AK29" s="153"/>
      <c r="AL29" s="56"/>
      <c r="AM29" s="56"/>
      <c r="AN29" s="56"/>
      <c r="AO29" s="154"/>
      <c r="AP29" s="56"/>
    </row>
    <row r="30" spans="1:42" s="26" customFormat="1" ht="15">
      <c r="A30" s="7"/>
      <c r="B30" s="7"/>
      <c r="C30" s="195" t="s">
        <v>97</v>
      </c>
      <c r="D30" s="196"/>
      <c r="E30" s="196"/>
      <c r="F30" s="114">
        <f>SUM(F20:F29)</f>
        <v>36398.88</v>
      </c>
      <c r="G30" s="126">
        <f>SUM(G20:G29)</f>
        <v>17714.98</v>
      </c>
      <c r="H30" s="126">
        <f>SUM(H20:H29)</f>
        <v>381</v>
      </c>
      <c r="I30" s="129">
        <f>SUM(I20:I29)</f>
        <v>18302.9</v>
      </c>
      <c r="J30" s="144">
        <f>AVERAGE(J20:J29)</f>
        <v>0.5154727927143596</v>
      </c>
      <c r="K30" s="85">
        <f>G30/F30</f>
        <v>0.4866902498098843</v>
      </c>
      <c r="L30" s="130">
        <f>AVERAGE(L20:L29)</f>
        <v>0.006545922564386878</v>
      </c>
      <c r="M30" s="130">
        <f>H30/F30</f>
        <v>0.010467355039495722</v>
      </c>
      <c r="N30" s="105">
        <f>AVERAGE(N20:N29)</f>
        <v>0.47798128472125334</v>
      </c>
      <c r="O30" s="85">
        <f>I30/F30</f>
        <v>0.5028423951506201</v>
      </c>
      <c r="P30" s="138"/>
      <c r="Q30" s="138"/>
      <c r="R30" s="138"/>
      <c r="S30" s="138"/>
      <c r="T30" s="138"/>
      <c r="U30" s="56"/>
      <c r="V30" s="150"/>
      <c r="W30" s="150"/>
      <c r="X30" s="150"/>
      <c r="Y30" s="150"/>
      <c r="Z30" s="149"/>
      <c r="AA30" s="60"/>
      <c r="AB30" s="152"/>
      <c r="AC30" s="152"/>
      <c r="AD30" s="152"/>
      <c r="AE30" s="56"/>
      <c r="AF30" s="153"/>
      <c r="AG30" s="153"/>
      <c r="AH30" s="153"/>
      <c r="AI30" s="153"/>
      <c r="AJ30" s="153"/>
      <c r="AK30" s="153"/>
      <c r="AL30" s="56"/>
      <c r="AM30" s="155"/>
      <c r="AN30" s="155"/>
      <c r="AO30" s="155"/>
      <c r="AP30" s="56"/>
    </row>
    <row r="31" spans="1:42" s="26" customFormat="1" ht="15">
      <c r="A31" s="7"/>
      <c r="B31" s="7"/>
      <c r="C31" s="7"/>
      <c r="D31" s="7"/>
      <c r="E31" s="7"/>
      <c r="F31" s="7">
        <f>F30/10</f>
        <v>3639.888</v>
      </c>
      <c r="G31" s="7">
        <f>G30/10</f>
        <v>1771.498</v>
      </c>
      <c r="H31" s="7">
        <f>H30/10</f>
        <v>38.1</v>
      </c>
      <c r="I31" s="7">
        <f>I30/10</f>
        <v>1830.2900000000002</v>
      </c>
      <c r="J31" s="7"/>
      <c r="K31" s="7"/>
      <c r="L31" s="7"/>
      <c r="M31" s="7"/>
      <c r="N31" s="7"/>
      <c r="O31" s="7"/>
      <c r="P31" s="7"/>
      <c r="Q31" s="7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</row>
    <row r="32" s="26" customFormat="1" ht="15"/>
    <row r="33" spans="3:17" s="26" customFormat="1" ht="15">
      <c r="C33" s="53"/>
      <c r="D33" s="194"/>
      <c r="E33" s="194"/>
      <c r="F33" s="131"/>
      <c r="G33" s="52"/>
      <c r="H33" s="52"/>
      <c r="I33" s="140"/>
      <c r="J33" s="53"/>
      <c r="K33" s="141"/>
      <c r="L33" s="53"/>
      <c r="M33" s="53"/>
      <c r="N33" s="53"/>
      <c r="O33" s="53"/>
      <c r="P33" s="53"/>
      <c r="Q33" s="53"/>
    </row>
    <row r="34" spans="3:17" ht="15">
      <c r="C34" s="53"/>
      <c r="D34" s="194"/>
      <c r="E34" s="194"/>
      <c r="F34" s="60"/>
      <c r="G34" s="60"/>
      <c r="H34" s="60"/>
      <c r="I34" s="56"/>
      <c r="J34" s="60"/>
      <c r="K34" s="142"/>
      <c r="L34" s="56"/>
      <c r="M34" s="139"/>
      <c r="N34" s="139"/>
      <c r="O34" s="139"/>
      <c r="P34" s="139"/>
      <c r="Q34" s="139"/>
    </row>
    <row r="35" spans="3:17" ht="15">
      <c r="C35" s="53"/>
      <c r="D35" s="194"/>
      <c r="E35" s="194"/>
      <c r="F35" s="60"/>
      <c r="G35" s="60"/>
      <c r="H35" s="60"/>
      <c r="I35" s="56"/>
      <c r="J35" s="60"/>
      <c r="K35" s="142"/>
      <c r="L35" s="56"/>
      <c r="M35" s="139"/>
      <c r="N35" s="139"/>
      <c r="O35" s="139"/>
      <c r="P35" s="139"/>
      <c r="Q35" s="139"/>
    </row>
    <row r="36" spans="3:17" ht="15">
      <c r="C36" s="53"/>
      <c r="D36" s="194"/>
      <c r="E36" s="194"/>
      <c r="F36" s="60"/>
      <c r="G36" s="60"/>
      <c r="H36" s="60"/>
      <c r="I36" s="56"/>
      <c r="J36" s="60"/>
      <c r="K36" s="142"/>
      <c r="L36" s="56"/>
      <c r="M36" s="139"/>
      <c r="N36" s="139"/>
      <c r="O36" s="139"/>
      <c r="P36" s="139"/>
      <c r="Q36" s="139"/>
    </row>
    <row r="37" spans="3:17" ht="15">
      <c r="C37" s="53"/>
      <c r="D37" s="194"/>
      <c r="E37" s="194"/>
      <c r="F37" s="60"/>
      <c r="G37" s="60"/>
      <c r="H37" s="60"/>
      <c r="I37" s="56"/>
      <c r="J37" s="60"/>
      <c r="K37" s="142"/>
      <c r="L37" s="56"/>
      <c r="M37" s="139"/>
      <c r="N37" s="139"/>
      <c r="O37" s="139"/>
      <c r="P37" s="139"/>
      <c r="Q37" s="139"/>
    </row>
    <row r="38" spans="3:17" ht="15">
      <c r="C38" s="53"/>
      <c r="D38" s="194"/>
      <c r="E38" s="194"/>
      <c r="F38" s="60"/>
      <c r="G38" s="60"/>
      <c r="H38" s="60"/>
      <c r="I38" s="56"/>
      <c r="J38" s="60"/>
      <c r="K38" s="142"/>
      <c r="L38" s="56"/>
      <c r="M38" s="139"/>
      <c r="N38" s="139"/>
      <c r="O38" s="139"/>
      <c r="P38" s="139"/>
      <c r="Q38" s="139"/>
    </row>
    <row r="39" spans="3:17" ht="15">
      <c r="C39" s="53"/>
      <c r="D39" s="194"/>
      <c r="E39" s="194"/>
      <c r="F39" s="60"/>
      <c r="G39" s="60"/>
      <c r="H39" s="60"/>
      <c r="I39" s="56"/>
      <c r="J39" s="60"/>
      <c r="K39" s="142"/>
      <c r="L39" s="56"/>
      <c r="M39" s="139"/>
      <c r="N39" s="139"/>
      <c r="O39" s="139"/>
      <c r="P39" s="139"/>
      <c r="Q39" s="139"/>
    </row>
    <row r="40" spans="3:17" ht="15">
      <c r="C40" s="53"/>
      <c r="D40" s="194"/>
      <c r="E40" s="194"/>
      <c r="F40" s="60"/>
      <c r="G40" s="60"/>
      <c r="H40" s="60"/>
      <c r="I40" s="56"/>
      <c r="J40" s="60"/>
      <c r="K40" s="142"/>
      <c r="L40" s="56"/>
      <c r="M40" s="56"/>
      <c r="N40" s="56"/>
      <c r="O40" s="56"/>
      <c r="P40" s="56"/>
      <c r="Q40" s="56"/>
    </row>
    <row r="41" spans="3:17" ht="15">
      <c r="C41" s="53"/>
      <c r="D41" s="194"/>
      <c r="E41" s="194"/>
      <c r="F41" s="60"/>
      <c r="G41" s="60"/>
      <c r="H41" s="60"/>
      <c r="I41" s="56"/>
      <c r="J41" s="60"/>
      <c r="K41" s="142"/>
      <c r="L41" s="56"/>
      <c r="M41" s="56"/>
      <c r="N41" s="56"/>
      <c r="O41" s="56"/>
      <c r="P41" s="56"/>
      <c r="Q41" s="56"/>
    </row>
    <row r="42" spans="3:17" ht="15">
      <c r="C42" s="53"/>
      <c r="D42" s="194"/>
      <c r="E42" s="194"/>
      <c r="F42" s="60"/>
      <c r="G42" s="60"/>
      <c r="H42" s="60"/>
      <c r="I42" s="56"/>
      <c r="J42" s="60"/>
      <c r="K42" s="142"/>
      <c r="L42" s="56"/>
      <c r="M42" s="56"/>
      <c r="N42" s="56"/>
      <c r="O42" s="56"/>
      <c r="P42" s="56"/>
      <c r="Q42" s="56"/>
    </row>
    <row r="43" spans="3:17" ht="15">
      <c r="C43" s="53"/>
      <c r="D43" s="194"/>
      <c r="E43" s="194"/>
      <c r="F43" s="60"/>
      <c r="G43" s="60"/>
      <c r="H43" s="60"/>
      <c r="I43" s="56"/>
      <c r="J43" s="60"/>
      <c r="K43" s="142"/>
      <c r="L43" s="56"/>
      <c r="M43" s="139"/>
      <c r="N43" s="139"/>
      <c r="O43" s="139"/>
      <c r="P43" s="139"/>
      <c r="Q43" s="139"/>
    </row>
    <row r="44" spans="3:17" ht="15">
      <c r="C44" s="186"/>
      <c r="D44" s="186"/>
      <c r="E44" s="186"/>
      <c r="F44" s="60"/>
      <c r="G44" s="60"/>
      <c r="H44" s="60"/>
      <c r="I44" s="60"/>
      <c r="J44" s="60"/>
      <c r="K44" s="143"/>
      <c r="L44" s="56"/>
      <c r="M44" s="139"/>
      <c r="N44" s="139"/>
      <c r="O44" s="139"/>
      <c r="P44" s="139"/>
      <c r="Q44" s="139"/>
    </row>
    <row r="45" spans="3:12" ht="15">
      <c r="C45" s="56"/>
      <c r="D45" s="56"/>
      <c r="E45" s="56"/>
      <c r="F45" s="56"/>
      <c r="G45" s="56"/>
      <c r="H45" s="60"/>
      <c r="I45" s="56"/>
      <c r="J45" s="56"/>
      <c r="K45" s="143"/>
      <c r="L45" s="56"/>
    </row>
  </sheetData>
  <sheetProtection/>
  <mergeCells count="31">
    <mergeCell ref="AJ17:AL17"/>
    <mergeCell ref="AC17:AG17"/>
    <mergeCell ref="S17:W17"/>
    <mergeCell ref="D24:E24"/>
    <mergeCell ref="D25:E25"/>
    <mergeCell ref="D37:E37"/>
    <mergeCell ref="D38:E38"/>
    <mergeCell ref="C30:E30"/>
    <mergeCell ref="D21:E21"/>
    <mergeCell ref="D20:E20"/>
    <mergeCell ref="Y17:AA17"/>
    <mergeCell ref="D28:E28"/>
    <mergeCell ref="D29:E29"/>
    <mergeCell ref="D33:E33"/>
    <mergeCell ref="D27:E27"/>
    <mergeCell ref="C44:E44"/>
    <mergeCell ref="D39:E39"/>
    <mergeCell ref="D40:E40"/>
    <mergeCell ref="D41:E41"/>
    <mergeCell ref="D42:E42"/>
    <mergeCell ref="D26:E26"/>
    <mergeCell ref="D35:E35"/>
    <mergeCell ref="D43:E43"/>
    <mergeCell ref="D36:E36"/>
    <mergeCell ref="D34:E34"/>
    <mergeCell ref="B1:J1"/>
    <mergeCell ref="D23:E23"/>
    <mergeCell ref="C17:L17"/>
    <mergeCell ref="C18:E18"/>
    <mergeCell ref="D19:E19"/>
    <mergeCell ref="D22:E22"/>
  </mergeCells>
  <printOptions/>
  <pageMargins left="0.5905511811023623" right="0" top="0.984251968503937" bottom="0.6299212598425197" header="0" footer="0"/>
  <pageSetup fitToHeight="1" fitToWidth="1" horizontalDpi="180" verticalDpi="18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6.140625" style="0" customWidth="1"/>
    <col min="2" max="2" width="19.140625" style="0" customWidth="1"/>
    <col min="3" max="3" width="10.57421875" style="0" customWidth="1"/>
    <col min="4" max="4" width="11.28125" style="0" customWidth="1"/>
    <col min="5" max="5" width="12.00390625" style="0" customWidth="1"/>
    <col min="6" max="6" width="17.7109375" style="0" customWidth="1"/>
    <col min="7" max="7" width="14.421875" style="0" customWidth="1"/>
    <col min="8" max="9" width="12.140625" style="0" customWidth="1"/>
    <col min="10" max="10" width="13.140625" style="0" customWidth="1"/>
    <col min="11" max="12" width="12.8515625" style="0" customWidth="1"/>
  </cols>
  <sheetData>
    <row r="1" spans="1:14" ht="15.75">
      <c r="A1" s="197" t="s">
        <v>57</v>
      </c>
      <c r="B1" s="197"/>
      <c r="C1" s="197"/>
      <c r="D1" s="197"/>
      <c r="E1" s="197"/>
      <c r="F1" s="197"/>
      <c r="G1" s="197"/>
      <c r="H1" s="197"/>
      <c r="I1" s="197"/>
      <c r="J1" s="2"/>
      <c r="K1" s="2"/>
      <c r="L1" s="2"/>
      <c r="M1" s="2"/>
      <c r="N1" s="2"/>
    </row>
    <row r="2" spans="1:14" s="10" customFormat="1" ht="120">
      <c r="A2" s="1" t="s">
        <v>0</v>
      </c>
      <c r="B2" s="1" t="s">
        <v>1</v>
      </c>
      <c r="C2" s="4" t="s">
        <v>60</v>
      </c>
      <c r="D2" s="1" t="s">
        <v>61</v>
      </c>
      <c r="E2" s="1" t="s">
        <v>62</v>
      </c>
      <c r="F2" s="4" t="s">
        <v>7</v>
      </c>
      <c r="G2" s="4" t="s">
        <v>63</v>
      </c>
      <c r="H2" s="4" t="s">
        <v>59</v>
      </c>
      <c r="I2" s="86" t="s">
        <v>58</v>
      </c>
      <c r="J2" s="16"/>
      <c r="K2" s="16"/>
      <c r="L2" s="16"/>
      <c r="M2" s="16"/>
      <c r="N2" s="16"/>
    </row>
    <row r="3" spans="1:14" ht="15">
      <c r="A3" s="5">
        <v>1</v>
      </c>
      <c r="B3" s="5" t="s">
        <v>25</v>
      </c>
      <c r="C3" s="3">
        <f>' К - расчет коэффициентов'!F5</f>
        <v>1.0196450749976116</v>
      </c>
      <c r="D3" s="3">
        <f>'К-коэффиц. структ. потр.'!J4</f>
        <v>1.5048729644674568</v>
      </c>
      <c r="E3" s="5">
        <f>' К - расчет коэффициентов'!G5</f>
        <v>1594</v>
      </c>
      <c r="F3" s="6">
        <f>(C3*D3*E3)</f>
        <v>2445.891472905779</v>
      </c>
      <c r="G3" s="125">
        <f>E13</f>
        <v>14312</v>
      </c>
      <c r="H3" s="6">
        <f>F13</f>
        <v>13103.338538445558</v>
      </c>
      <c r="I3" s="87">
        <f>C3*D3*G3/H3</f>
        <v>1.6759738258528474</v>
      </c>
      <c r="J3" s="2"/>
      <c r="K3" s="2"/>
      <c r="L3" s="2"/>
      <c r="M3" s="2"/>
      <c r="N3" s="2"/>
    </row>
    <row r="4" spans="1:14" ht="15">
      <c r="A4" s="5">
        <v>2</v>
      </c>
      <c r="B4" s="5" t="s">
        <v>26</v>
      </c>
      <c r="C4" s="3">
        <f>' К - расчет коэффициентов'!F6</f>
        <v>1.0112257571414922</v>
      </c>
      <c r="D4" s="3">
        <f>'К-коэффиц. структ. потр.'!J5</f>
        <v>1.5073688980852182</v>
      </c>
      <c r="E4" s="5">
        <f>' К - расчет коэффициентов'!G6</f>
        <v>779</v>
      </c>
      <c r="F4" s="6">
        <f aca="true" t="shared" si="0" ref="F4:F12">(C4*D4*E4)</f>
        <v>1187.4221088457962</v>
      </c>
      <c r="G4" s="125">
        <f>E13</f>
        <v>14312</v>
      </c>
      <c r="H4" s="6">
        <f>F13</f>
        <v>13103.338538445558</v>
      </c>
      <c r="I4" s="87">
        <f aca="true" t="shared" si="1" ref="I4:I12">C4*D4*G4/H4</f>
        <v>1.6648918952403913</v>
      </c>
      <c r="J4" s="2"/>
      <c r="K4" s="2"/>
      <c r="L4" s="2"/>
      <c r="M4" s="2"/>
      <c r="N4" s="2"/>
    </row>
    <row r="5" spans="1:14" ht="15">
      <c r="A5" s="5">
        <v>3</v>
      </c>
      <c r="B5" s="5" t="s">
        <v>27</v>
      </c>
      <c r="C5" s="3">
        <f>' К - расчет коэффициентов'!F7</f>
        <v>1.005612878570746</v>
      </c>
      <c r="D5" s="3">
        <f>'К-коэффиц. структ. потр.'!J6</f>
        <v>1.8730760131858282</v>
      </c>
      <c r="E5" s="5">
        <f>' К - расчет коэффициентов'!G7</f>
        <v>516</v>
      </c>
      <c r="F5" s="6">
        <f t="shared" si="0"/>
        <v>971.9321104832346</v>
      </c>
      <c r="G5" s="125">
        <f>E13</f>
        <v>14312</v>
      </c>
      <c r="H5" s="6">
        <f>F13</f>
        <v>13103.338538445558</v>
      </c>
      <c r="I5" s="87">
        <f t="shared" si="1"/>
        <v>2.057333011833941</v>
      </c>
      <c r="J5" s="2"/>
      <c r="K5" s="2"/>
      <c r="L5" s="2"/>
      <c r="M5" s="2"/>
      <c r="N5" s="2"/>
    </row>
    <row r="6" spans="1:14" ht="15">
      <c r="A6" s="5">
        <v>4</v>
      </c>
      <c r="B6" s="5" t="s">
        <v>28</v>
      </c>
      <c r="C6" s="3">
        <f>' К - расчет коэффициентов'!F8</f>
        <v>1.0019645074997612</v>
      </c>
      <c r="D6" s="3">
        <f>'К-коэффиц. структ. потр.'!J7</f>
        <v>1.5713897135231711</v>
      </c>
      <c r="E6" s="5">
        <f>' К - расчет коэффициентов'!G8</f>
        <v>665</v>
      </c>
      <c r="F6" s="6">
        <f t="shared" si="0"/>
        <v>1047.0270190662893</v>
      </c>
      <c r="G6" s="125">
        <f>E13</f>
        <v>14312</v>
      </c>
      <c r="H6" s="6">
        <f>F13</f>
        <v>13103.338538445558</v>
      </c>
      <c r="I6" s="87">
        <f t="shared" si="1"/>
        <v>1.71970759636988</v>
      </c>
      <c r="J6" s="2"/>
      <c r="K6" s="2"/>
      <c r="L6" s="2"/>
      <c r="M6" s="2"/>
      <c r="N6" s="2"/>
    </row>
    <row r="7" spans="1:14" ht="15">
      <c r="A7" s="5">
        <v>5</v>
      </c>
      <c r="B7" s="5" t="s">
        <v>29</v>
      </c>
      <c r="C7" s="3">
        <f>' К - расчет коэффициентов'!F9</f>
        <v>1.0047709467851342</v>
      </c>
      <c r="D7" s="3">
        <f>'К-коэффиц. структ. потр.'!J8</f>
        <v>0.9362450034383858</v>
      </c>
      <c r="E7" s="5">
        <f>' К - расчет коэффициентов'!G9</f>
        <v>969</v>
      </c>
      <c r="F7" s="6">
        <f t="shared" si="0"/>
        <v>911.5497133932813</v>
      </c>
      <c r="G7" s="125">
        <f>E13</f>
        <v>14312</v>
      </c>
      <c r="H7" s="6">
        <f>F13</f>
        <v>13103.338538445558</v>
      </c>
      <c r="I7" s="87">
        <f t="shared" si="1"/>
        <v>1.0274837160610153</v>
      </c>
      <c r="J7" s="2"/>
      <c r="K7" s="2"/>
      <c r="L7" s="2"/>
      <c r="M7" s="2"/>
      <c r="N7" s="2"/>
    </row>
    <row r="8" spans="1:14" ht="15">
      <c r="A8" s="5">
        <v>6</v>
      </c>
      <c r="B8" s="5" t="s">
        <v>30</v>
      </c>
      <c r="C8" s="3">
        <f>' К - расчет коэффициентов'!F10</f>
        <v>1.0061741664278208</v>
      </c>
      <c r="D8" s="3">
        <f>'К-коэффиц. структ. потр.'!J9</f>
        <v>1.1529504380502646</v>
      </c>
      <c r="E8" s="5">
        <f>' К - расчет коэффициентов'!G10</f>
        <v>514</v>
      </c>
      <c r="F8" s="6">
        <f t="shared" si="0"/>
        <v>596.2754382120373</v>
      </c>
      <c r="G8" s="125">
        <f>E13</f>
        <v>14312</v>
      </c>
      <c r="H8" s="6">
        <f>F13</f>
        <v>13103.338538445558</v>
      </c>
      <c r="I8" s="87">
        <f t="shared" si="1"/>
        <v>1.2670745478756142</v>
      </c>
      <c r="J8" s="2"/>
      <c r="K8" s="2"/>
      <c r="L8" s="2"/>
      <c r="M8" s="2"/>
      <c r="N8" s="2"/>
    </row>
    <row r="9" spans="1:14" ht="15">
      <c r="A9" s="5">
        <v>7</v>
      </c>
      <c r="B9" s="73" t="s">
        <v>95</v>
      </c>
      <c r="C9" s="34">
        <f>' К - расчет коэффициентов'!F11</f>
        <v>1</v>
      </c>
      <c r="D9" s="34">
        <f>'К-коэффиц. структ. потр.'!J10</f>
        <v>0.44324986813212536</v>
      </c>
      <c r="E9" s="33">
        <f>' К - расчет коэффициентов'!G11</f>
        <v>5721</v>
      </c>
      <c r="F9" s="34">
        <f t="shared" si="0"/>
        <v>2535.8324955838893</v>
      </c>
      <c r="G9" s="39">
        <f>E13</f>
        <v>14312</v>
      </c>
      <c r="H9" s="34">
        <f>F13</f>
        <v>13103.338538445558</v>
      </c>
      <c r="I9" s="88">
        <f t="shared" si="1"/>
        <v>0.48413555782704665</v>
      </c>
      <c r="J9" s="2"/>
      <c r="K9" s="2"/>
      <c r="L9" s="2"/>
      <c r="M9" s="2"/>
      <c r="N9" s="2"/>
    </row>
    <row r="10" spans="1:14" ht="15">
      <c r="A10" s="5">
        <v>8</v>
      </c>
      <c r="B10" s="5" t="s">
        <v>31</v>
      </c>
      <c r="C10" s="3">
        <f>' К - расчет коэффициентов'!F12</f>
        <v>1.0112257571414922</v>
      </c>
      <c r="D10" s="3">
        <f>'К-коэффиц. структ. потр.'!J11</f>
        <v>1.270706846180985</v>
      </c>
      <c r="E10" s="5">
        <f>' К - расчет коэффициентов'!G12</f>
        <v>731</v>
      </c>
      <c r="F10" s="6">
        <f t="shared" si="0"/>
        <v>939.3141611156325</v>
      </c>
      <c r="G10" s="125">
        <f>E13</f>
        <v>14312</v>
      </c>
      <c r="H10" s="6">
        <f>F13</f>
        <v>13103.338538445558</v>
      </c>
      <c r="I10" s="87">
        <f t="shared" si="1"/>
        <v>1.4034981961751984</v>
      </c>
      <c r="J10" s="2"/>
      <c r="K10" s="2"/>
      <c r="L10" s="2"/>
      <c r="M10" s="2"/>
      <c r="N10" s="2"/>
    </row>
    <row r="11" spans="1:14" ht="15">
      <c r="A11" s="5">
        <v>9</v>
      </c>
      <c r="B11" s="5" t="s">
        <v>32</v>
      </c>
      <c r="C11" s="3">
        <f>' К - расчет коэффициентов'!F13</f>
        <v>1.012628976784179</v>
      </c>
      <c r="D11" s="3">
        <f>'К-коэффиц. структ. потр.'!J12</f>
        <v>0.767432427411939</v>
      </c>
      <c r="E11" s="5">
        <f>' К - расчет коэффициентов'!G13</f>
        <v>1635</v>
      </c>
      <c r="F11" s="6">
        <f t="shared" si="0"/>
        <v>1270.5982529340808</v>
      </c>
      <c r="G11" s="125">
        <f>E13</f>
        <v>14312</v>
      </c>
      <c r="H11" s="6">
        <f>F13</f>
        <v>13103.338538445558</v>
      </c>
      <c r="I11" s="87">
        <f t="shared" si="1"/>
        <v>0.8488068247144994</v>
      </c>
      <c r="J11" s="2"/>
      <c r="K11" s="2"/>
      <c r="L11" s="2"/>
      <c r="M11" s="2"/>
      <c r="N11" s="2"/>
    </row>
    <row r="12" spans="1:14" ht="15">
      <c r="A12" s="5">
        <v>10</v>
      </c>
      <c r="B12" s="5" t="s">
        <v>33</v>
      </c>
      <c r="C12" s="3">
        <f>' К - расчет коэффициентов'!F14</f>
        <v>1.0157160599980892</v>
      </c>
      <c r="D12" s="3">
        <f>'К-коэффиц. структ. потр.'!J13</f>
        <v>0.9923965059151972</v>
      </c>
      <c r="E12" s="5">
        <f>' К - расчет коэффициентов'!G14</f>
        <v>1188</v>
      </c>
      <c r="F12" s="6">
        <f t="shared" si="0"/>
        <v>1197.495765905537</v>
      </c>
      <c r="G12" s="125">
        <f>E13</f>
        <v>14312</v>
      </c>
      <c r="H12" s="6">
        <f>F13</f>
        <v>13103.338538445558</v>
      </c>
      <c r="I12" s="87">
        <f t="shared" si="1"/>
        <v>1.1009710815606162</v>
      </c>
      <c r="J12" s="2"/>
      <c r="K12" s="2"/>
      <c r="L12" s="2"/>
      <c r="M12" s="2"/>
      <c r="N12" s="2"/>
    </row>
    <row r="13" spans="1:14" ht="15">
      <c r="A13" s="2"/>
      <c r="B13" s="2"/>
      <c r="C13" s="2"/>
      <c r="D13" s="2"/>
      <c r="E13" s="2">
        <f>SUM(E3:E12)</f>
        <v>14312</v>
      </c>
      <c r="F13" s="15">
        <f>SUM(F3:F12)</f>
        <v>13103.338538445558</v>
      </c>
      <c r="G13" s="15"/>
      <c r="H13" s="15"/>
      <c r="I13" s="2"/>
      <c r="J13" s="2"/>
      <c r="K13" s="2"/>
      <c r="L13" s="2"/>
      <c r="M13" s="2"/>
      <c r="N13" s="2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6"/>
  <sheetViews>
    <sheetView zoomScalePageLayoutView="0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20" sqref="W20"/>
    </sheetView>
  </sheetViews>
  <sheetFormatPr defaultColWidth="9.140625" defaultRowHeight="15"/>
  <cols>
    <col min="1" max="1" width="4.421875" style="0" customWidth="1"/>
    <col min="2" max="2" width="18.57421875" style="0" customWidth="1"/>
    <col min="4" max="4" width="9.57421875" style="0" bestFit="1" customWidth="1"/>
    <col min="5" max="5" width="10.57421875" style="0" bestFit="1" customWidth="1"/>
    <col min="6" max="6" width="9.140625" style="26" customWidth="1"/>
    <col min="10" max="10" width="9.140625" style="26" customWidth="1"/>
    <col min="14" max="14" width="9.140625" style="26" customWidth="1"/>
    <col min="18" max="19" width="9.140625" style="26" customWidth="1"/>
    <col min="20" max="20" width="11.28125" style="0" customWidth="1"/>
    <col min="21" max="21" width="8.8515625" style="0" customWidth="1"/>
    <col min="22" max="23" width="9.57421875" style="0" bestFit="1" customWidth="1"/>
    <col min="24" max="24" width="11.8515625" style="0" customWidth="1"/>
  </cols>
  <sheetData>
    <row r="2" spans="1:24" ht="15.75">
      <c r="A2" s="190" t="s">
        <v>52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4" spans="1:24" ht="135">
      <c r="A4" s="1" t="s">
        <v>0</v>
      </c>
      <c r="B4" s="1" t="s">
        <v>1</v>
      </c>
      <c r="C4" s="5" t="s">
        <v>8</v>
      </c>
      <c r="D4" s="17" t="s">
        <v>9</v>
      </c>
      <c r="E4" s="17" t="s">
        <v>10</v>
      </c>
      <c r="F4" s="64" t="s">
        <v>11</v>
      </c>
      <c r="G4" s="5" t="s">
        <v>12</v>
      </c>
      <c r="H4" s="17" t="s">
        <v>9</v>
      </c>
      <c r="I4" s="17" t="s">
        <v>10</v>
      </c>
      <c r="J4" s="64" t="s">
        <v>13</v>
      </c>
      <c r="K4" s="5" t="s">
        <v>14</v>
      </c>
      <c r="L4" s="17" t="s">
        <v>9</v>
      </c>
      <c r="M4" s="17" t="s">
        <v>10</v>
      </c>
      <c r="N4" s="64" t="s">
        <v>15</v>
      </c>
      <c r="O4" s="5" t="s">
        <v>16</v>
      </c>
      <c r="P4" s="17" t="s">
        <v>9</v>
      </c>
      <c r="Q4" s="17" t="s">
        <v>10</v>
      </c>
      <c r="R4" s="64" t="s">
        <v>17</v>
      </c>
      <c r="S4" s="64" t="s">
        <v>18</v>
      </c>
      <c r="T4" s="109" t="s">
        <v>53</v>
      </c>
      <c r="U4" s="50" t="s">
        <v>19</v>
      </c>
      <c r="V4" s="1" t="s">
        <v>55</v>
      </c>
      <c r="W4" s="1" t="s">
        <v>56</v>
      </c>
      <c r="X4" s="84" t="s">
        <v>54</v>
      </c>
    </row>
    <row r="5" spans="1:24" ht="15">
      <c r="A5" s="5">
        <v>1</v>
      </c>
      <c r="B5" s="5" t="s">
        <v>25</v>
      </c>
      <c r="C5" s="5">
        <v>1861</v>
      </c>
      <c r="D5" s="5">
        <v>19419</v>
      </c>
      <c r="E5" s="5">
        <f>D$15</f>
        <v>715748</v>
      </c>
      <c r="F5" s="65">
        <f>C5*(D5/E5)</f>
        <v>50.49089763436293</v>
      </c>
      <c r="G5" s="5">
        <v>418.8</v>
      </c>
      <c r="H5" s="5">
        <v>410.082</v>
      </c>
      <c r="I5" s="5">
        <f>H15</f>
        <v>23519.995000000003</v>
      </c>
      <c r="J5" s="65">
        <f>G5*(H5/I5)</f>
        <v>7.301971858412385</v>
      </c>
      <c r="K5" s="5">
        <v>1940</v>
      </c>
      <c r="L5" s="5">
        <v>59669.44</v>
      </c>
      <c r="M5" s="5">
        <f>L15</f>
        <v>929397.2</v>
      </c>
      <c r="N5" s="65">
        <f>K5*(L5/M5)-45.45</f>
        <v>79.1024664804241</v>
      </c>
      <c r="O5" s="5">
        <v>6450</v>
      </c>
      <c r="P5" s="5">
        <v>112950.4</v>
      </c>
      <c r="Q5" s="5">
        <f>P15</f>
        <v>1651932.2400000002</v>
      </c>
      <c r="R5" s="65">
        <f>O5*(P5/Q5)-45.776</f>
        <v>395.2409269412647</v>
      </c>
      <c r="S5" s="64">
        <v>0</v>
      </c>
      <c r="T5" s="110">
        <f>F5+J5+N5+R5+S5</f>
        <v>532.1362629144642</v>
      </c>
      <c r="U5" s="18">
        <f>' К - расчет коэффициентов'!G5</f>
        <v>1594</v>
      </c>
      <c r="V5" s="72">
        <f>T15</f>
        <v>10669.8</v>
      </c>
      <c r="W5" s="24">
        <f>U15</f>
        <v>14312</v>
      </c>
      <c r="X5" s="85">
        <f>(T5/U5)/(V5/W5)</f>
        <v>0.4477943266433254</v>
      </c>
    </row>
    <row r="6" spans="1:24" ht="15">
      <c r="A6" s="5">
        <v>2</v>
      </c>
      <c r="B6" s="5" t="s">
        <v>26</v>
      </c>
      <c r="C6" s="5">
        <v>1861</v>
      </c>
      <c r="D6" s="5">
        <v>14690</v>
      </c>
      <c r="E6" s="5">
        <f aca="true" t="shared" si="0" ref="E6:E14">D$15</f>
        <v>715748</v>
      </c>
      <c r="F6" s="65">
        <f aca="true" t="shared" si="1" ref="F6:F14">C6*(D6/E6)</f>
        <v>38.19513292387824</v>
      </c>
      <c r="G6" s="5">
        <v>418.8</v>
      </c>
      <c r="H6" s="5">
        <v>126.69</v>
      </c>
      <c r="I6" s="5">
        <f>H15</f>
        <v>23519.995000000003</v>
      </c>
      <c r="J6" s="65">
        <f aca="true" t="shared" si="2" ref="J6:J14">G6*(H6/I6)</f>
        <v>2.255858132622902</v>
      </c>
      <c r="K6" s="5">
        <v>1940</v>
      </c>
      <c r="L6" s="5">
        <v>33646.08</v>
      </c>
      <c r="M6" s="5">
        <f>L15</f>
        <v>929397.2</v>
      </c>
      <c r="N6" s="65">
        <f>K6*(L6/M6)-26.405</f>
        <v>43.82696885034731</v>
      </c>
      <c r="O6" s="5">
        <v>6450</v>
      </c>
      <c r="P6" s="5">
        <v>32098.92</v>
      </c>
      <c r="Q6" s="5">
        <f>P15</f>
        <v>1651932.2400000002</v>
      </c>
      <c r="R6" s="65">
        <f>O6*(P6/Q6)+83.156</f>
        <v>208.48682712884153</v>
      </c>
      <c r="S6" s="64">
        <v>0</v>
      </c>
      <c r="T6" s="110">
        <f aca="true" t="shared" si="3" ref="T6:T14">F6+J6+N6+R6+S6</f>
        <v>292.76478703569</v>
      </c>
      <c r="U6" s="18">
        <f>' К - расчет коэффициентов'!G6</f>
        <v>779</v>
      </c>
      <c r="V6" s="72">
        <f>T15</f>
        <v>10669.8</v>
      </c>
      <c r="W6" s="24">
        <f>U15</f>
        <v>14312</v>
      </c>
      <c r="X6" s="85">
        <f aca="true" t="shared" si="4" ref="X6:X14">(T6/U6)/(V6/W6)</f>
        <v>0.5041101371659971</v>
      </c>
    </row>
    <row r="7" spans="1:24" ht="15">
      <c r="A7" s="5">
        <v>3</v>
      </c>
      <c r="B7" s="5" t="s">
        <v>27</v>
      </c>
      <c r="C7" s="5">
        <v>1861</v>
      </c>
      <c r="D7" s="5">
        <v>7238</v>
      </c>
      <c r="E7" s="5">
        <f t="shared" si="0"/>
        <v>715748</v>
      </c>
      <c r="F7" s="65">
        <f t="shared" si="1"/>
        <v>18.81935820987275</v>
      </c>
      <c r="G7" s="5">
        <v>418.8</v>
      </c>
      <c r="H7" s="5">
        <v>605.283</v>
      </c>
      <c r="I7" s="5">
        <f>H15</f>
        <v>23519.995000000003</v>
      </c>
      <c r="J7" s="65">
        <f t="shared" si="2"/>
        <v>10.777745505473108</v>
      </c>
      <c r="K7" s="5">
        <v>1940</v>
      </c>
      <c r="L7" s="5">
        <v>29587.52</v>
      </c>
      <c r="M7" s="5">
        <f>L15</f>
        <v>929397.2</v>
      </c>
      <c r="N7" s="65">
        <f>K7*(L7/M7)-30.843</f>
        <v>30.917234267974987</v>
      </c>
      <c r="O7" s="5">
        <v>6450</v>
      </c>
      <c r="P7" s="5">
        <v>58072.1</v>
      </c>
      <c r="Q7" s="5">
        <f>P15</f>
        <v>1651932.2400000002</v>
      </c>
      <c r="R7" s="65">
        <f>O7*(P7/Q7)+36.775</f>
        <v>263.51858907118367</v>
      </c>
      <c r="S7" s="64">
        <v>0</v>
      </c>
      <c r="T7" s="110">
        <f t="shared" si="3"/>
        <v>324.0329270545045</v>
      </c>
      <c r="U7" s="18">
        <f>' К - расчет коэффициентов'!G7</f>
        <v>516</v>
      </c>
      <c r="V7" s="72">
        <f>T15</f>
        <v>10669.8</v>
      </c>
      <c r="W7" s="24">
        <f>U15</f>
        <v>14312</v>
      </c>
      <c r="X7" s="85">
        <f t="shared" si="4"/>
        <v>0.8423323708261115</v>
      </c>
    </row>
    <row r="8" spans="1:24" ht="15">
      <c r="A8" s="5">
        <v>4</v>
      </c>
      <c r="B8" s="5" t="s">
        <v>28</v>
      </c>
      <c r="C8" s="5">
        <v>1861</v>
      </c>
      <c r="D8" s="5">
        <v>10832</v>
      </c>
      <c r="E8" s="5">
        <f t="shared" si="0"/>
        <v>715748</v>
      </c>
      <c r="F8" s="65">
        <f t="shared" si="1"/>
        <v>28.164035386756233</v>
      </c>
      <c r="G8" s="5">
        <v>418.8</v>
      </c>
      <c r="H8" s="5">
        <v>5828.35</v>
      </c>
      <c r="I8" s="5">
        <f>H15</f>
        <v>23519.995000000003</v>
      </c>
      <c r="J8" s="65">
        <f t="shared" si="2"/>
        <v>103.78033583765642</v>
      </c>
      <c r="K8" s="5">
        <v>1940</v>
      </c>
      <c r="L8" s="5">
        <v>31758.48</v>
      </c>
      <c r="M8" s="5">
        <f>L15</f>
        <v>929397.2</v>
      </c>
      <c r="N8" s="65">
        <f>K8*(L8/M8)-14.504</f>
        <v>51.7878407759352</v>
      </c>
      <c r="O8" s="5">
        <v>6450</v>
      </c>
      <c r="P8" s="5">
        <v>185968.5</v>
      </c>
      <c r="Q8" s="5">
        <f>P15</f>
        <v>1651932.2400000002</v>
      </c>
      <c r="R8" s="65">
        <f>O8*(P8/Q8)</f>
        <v>726.1174495873995</v>
      </c>
      <c r="S8" s="64">
        <v>0</v>
      </c>
      <c r="T8" s="110">
        <f>F8+J8+N8+R8+S8</f>
        <v>909.8496615877474</v>
      </c>
      <c r="U8" s="18">
        <f>' К - расчет коэффициентов'!G8</f>
        <v>665</v>
      </c>
      <c r="V8" s="72">
        <f>T15</f>
        <v>10669.8</v>
      </c>
      <c r="W8" s="24">
        <f>U15</f>
        <v>14312</v>
      </c>
      <c r="X8" s="85">
        <f>(T8/U8)/(V8/W8)</f>
        <v>1.8352365134626816</v>
      </c>
    </row>
    <row r="9" spans="1:24" ht="15">
      <c r="A9" s="5">
        <v>5</v>
      </c>
      <c r="B9" s="5" t="s">
        <v>29</v>
      </c>
      <c r="C9" s="5">
        <v>1861</v>
      </c>
      <c r="D9" s="5">
        <v>24157</v>
      </c>
      <c r="E9" s="5">
        <f t="shared" si="0"/>
        <v>715748</v>
      </c>
      <c r="F9" s="65">
        <f t="shared" si="1"/>
        <v>62.810063038946666</v>
      </c>
      <c r="G9" s="5">
        <v>418.8</v>
      </c>
      <c r="H9" s="5">
        <v>3155.073</v>
      </c>
      <c r="I9" s="5">
        <f>H15</f>
        <v>23519.995000000003</v>
      </c>
      <c r="J9" s="65">
        <f t="shared" si="2"/>
        <v>56.179628116417526</v>
      </c>
      <c r="K9" s="5">
        <v>1940</v>
      </c>
      <c r="L9" s="5">
        <v>53185.04</v>
      </c>
      <c r="M9" s="5">
        <f>L15</f>
        <v>929397.2</v>
      </c>
      <c r="N9" s="65">
        <f>K9*(L9/M9)+19.2</f>
        <v>130.21709538182384</v>
      </c>
      <c r="O9" s="5">
        <v>6450</v>
      </c>
      <c r="P9" s="5">
        <v>78696.52</v>
      </c>
      <c r="Q9" s="5">
        <f>P15</f>
        <v>1651932.2400000002</v>
      </c>
      <c r="R9" s="65">
        <f>O9*(P9/Q9)+7.714</f>
        <v>314.98601861500083</v>
      </c>
      <c r="S9" s="64">
        <v>0</v>
      </c>
      <c r="T9" s="110">
        <f t="shared" si="3"/>
        <v>564.1928051521888</v>
      </c>
      <c r="U9" s="18">
        <f>' К - расчет коэффициентов'!G9</f>
        <v>969</v>
      </c>
      <c r="V9" s="72">
        <f>T15</f>
        <v>10669.8</v>
      </c>
      <c r="W9" s="24">
        <f>U15</f>
        <v>14312</v>
      </c>
      <c r="X9" s="85">
        <f t="shared" si="4"/>
        <v>0.7809942117562299</v>
      </c>
    </row>
    <row r="10" spans="1:24" ht="17.25" customHeight="1">
      <c r="A10" s="5">
        <v>6</v>
      </c>
      <c r="B10" s="5" t="s">
        <v>30</v>
      </c>
      <c r="C10" s="5">
        <v>1861</v>
      </c>
      <c r="D10" s="5">
        <v>7847</v>
      </c>
      <c r="E10" s="5">
        <f t="shared" si="0"/>
        <v>715748</v>
      </c>
      <c r="F10" s="65">
        <f t="shared" si="1"/>
        <v>20.402805177241152</v>
      </c>
      <c r="G10" s="5">
        <v>418.8</v>
      </c>
      <c r="H10" s="5">
        <v>987.444</v>
      </c>
      <c r="I10" s="5">
        <f>H15</f>
        <v>23519.995000000003</v>
      </c>
      <c r="J10" s="65">
        <f t="shared" si="2"/>
        <v>17.582552513297728</v>
      </c>
      <c r="K10" s="5">
        <v>1940</v>
      </c>
      <c r="L10" s="5">
        <v>27077.44</v>
      </c>
      <c r="M10" s="5">
        <f>L15</f>
        <v>929397.2</v>
      </c>
      <c r="N10" s="65">
        <f>K10*(L10/M10)-21.49</f>
        <v>35.03075732528568</v>
      </c>
      <c r="O10" s="5">
        <v>6450</v>
      </c>
      <c r="P10" s="5">
        <v>59481.9</v>
      </c>
      <c r="Q10" s="5">
        <f>P15</f>
        <v>1651932.2400000002</v>
      </c>
      <c r="R10" s="65">
        <f>O10*(P10/Q10)-17.142</f>
        <v>215.1061792594592</v>
      </c>
      <c r="S10" s="64">
        <v>0</v>
      </c>
      <c r="T10" s="110">
        <f t="shared" si="3"/>
        <v>288.12229427528376</v>
      </c>
      <c r="U10" s="18">
        <f>' К - расчет коэффициентов'!G10</f>
        <v>514</v>
      </c>
      <c r="V10" s="72">
        <f>T15</f>
        <v>10669.8</v>
      </c>
      <c r="W10" s="24">
        <f>U15</f>
        <v>14312</v>
      </c>
      <c r="X10" s="85">
        <f t="shared" si="4"/>
        <v>0.7518960339327598</v>
      </c>
    </row>
    <row r="11" spans="1:24" ht="15">
      <c r="A11" s="33">
        <v>7</v>
      </c>
      <c r="B11" s="73" t="s">
        <v>95</v>
      </c>
      <c r="C11" s="33">
        <v>1861</v>
      </c>
      <c r="D11" s="33">
        <v>541418</v>
      </c>
      <c r="E11" s="123">
        <f t="shared" si="0"/>
        <v>715748</v>
      </c>
      <c r="F11" s="65">
        <f t="shared" si="1"/>
        <v>1407.7285553015865</v>
      </c>
      <c r="G11" s="70">
        <v>418.8</v>
      </c>
      <c r="H11" s="33">
        <v>1822.122</v>
      </c>
      <c r="I11" s="33">
        <f>H15</f>
        <v>23519.995000000003</v>
      </c>
      <c r="J11" s="65">
        <f t="shared" si="2"/>
        <v>32.44493434628706</v>
      </c>
      <c r="K11" s="33">
        <v>1940</v>
      </c>
      <c r="L11" s="33">
        <v>483508</v>
      </c>
      <c r="M11" s="33">
        <f>L15</f>
        <v>929397.2</v>
      </c>
      <c r="N11" s="34">
        <f>K11*(L11/M11)+134.657</f>
        <v>1143.9192616035427</v>
      </c>
      <c r="O11" s="33">
        <v>6450</v>
      </c>
      <c r="P11" s="33">
        <v>617450.7</v>
      </c>
      <c r="Q11" s="108">
        <f>P15</f>
        <v>1651932.2400000002</v>
      </c>
      <c r="R11" s="34">
        <f>O11*(P11/Q11)+80.419</f>
        <v>2491.26668404302</v>
      </c>
      <c r="S11" s="108">
        <v>0</v>
      </c>
      <c r="T11" s="34">
        <f>F11+J11+N11+R11+S11</f>
        <v>5075.3594352944365</v>
      </c>
      <c r="U11" s="35">
        <f>' К - расчет коэффициентов'!G11</f>
        <v>5721</v>
      </c>
      <c r="V11" s="37">
        <f>T15</f>
        <v>10669.8</v>
      </c>
      <c r="W11" s="39">
        <f>U15</f>
        <v>14312</v>
      </c>
      <c r="X11" s="111">
        <f t="shared" si="4"/>
        <v>1.1899779255970653</v>
      </c>
    </row>
    <row r="12" spans="1:24" ht="15">
      <c r="A12" s="5">
        <v>8</v>
      </c>
      <c r="B12" s="5" t="s">
        <v>31</v>
      </c>
      <c r="C12" s="5">
        <v>1861</v>
      </c>
      <c r="D12" s="5">
        <v>17763</v>
      </c>
      <c r="E12" s="5">
        <f t="shared" si="0"/>
        <v>715748</v>
      </c>
      <c r="F12" s="65">
        <f t="shared" si="1"/>
        <v>46.18516992013949</v>
      </c>
      <c r="G12" s="5">
        <v>418.8</v>
      </c>
      <c r="H12" s="5">
        <v>865.428</v>
      </c>
      <c r="I12" s="5">
        <f>H15</f>
        <v>23519.995000000003</v>
      </c>
      <c r="J12" s="65">
        <f t="shared" si="2"/>
        <v>15.409920214693923</v>
      </c>
      <c r="K12" s="5">
        <v>1940</v>
      </c>
      <c r="L12" s="5">
        <v>56389.6</v>
      </c>
      <c r="M12" s="5">
        <f>L15</f>
        <v>929397.2</v>
      </c>
      <c r="N12" s="65">
        <f>K12*(L12/M12)-12.36</f>
        <v>105.34621215557783</v>
      </c>
      <c r="O12" s="5">
        <v>6450</v>
      </c>
      <c r="P12" s="5">
        <v>84111</v>
      </c>
      <c r="Q12" s="5">
        <f>P15</f>
        <v>1651932.2400000002</v>
      </c>
      <c r="R12" s="65">
        <f>O12*(P12/Q12)-26.854</f>
        <v>301.558955969671</v>
      </c>
      <c r="S12" s="64">
        <v>0</v>
      </c>
      <c r="T12" s="110">
        <f t="shared" si="3"/>
        <v>468.5002582600822</v>
      </c>
      <c r="U12" s="18">
        <f>' К - расчет коэффициентов'!G12</f>
        <v>731</v>
      </c>
      <c r="V12" s="72">
        <f>T15</f>
        <v>10669.8</v>
      </c>
      <c r="W12" s="24">
        <f>U15</f>
        <v>14312</v>
      </c>
      <c r="X12" s="85">
        <f t="shared" si="4"/>
        <v>0.859679372769017</v>
      </c>
    </row>
    <row r="13" spans="1:24" ht="15">
      <c r="A13" s="5">
        <v>9</v>
      </c>
      <c r="B13" s="5" t="s">
        <v>32</v>
      </c>
      <c r="C13" s="5">
        <v>1861</v>
      </c>
      <c r="D13" s="5">
        <v>55184</v>
      </c>
      <c r="E13" s="5">
        <f t="shared" si="0"/>
        <v>715748</v>
      </c>
      <c r="F13" s="65">
        <f t="shared" si="1"/>
        <v>143.48265590682755</v>
      </c>
      <c r="G13" s="5">
        <v>418.8</v>
      </c>
      <c r="H13" s="5">
        <v>4555.122</v>
      </c>
      <c r="I13" s="5">
        <f>H15</f>
        <v>23519.995000000003</v>
      </c>
      <c r="J13" s="65">
        <f t="shared" si="2"/>
        <v>81.10907734461678</v>
      </c>
      <c r="K13" s="5">
        <v>1940</v>
      </c>
      <c r="L13" s="5">
        <v>97581</v>
      </c>
      <c r="M13" s="5">
        <f>L15</f>
        <v>929397.2</v>
      </c>
      <c r="N13" s="65">
        <f>K13*(L13/M13)+22.842</f>
        <v>226.5300894411991</v>
      </c>
      <c r="O13" s="5">
        <v>6450</v>
      </c>
      <c r="P13" s="5">
        <v>291404.6</v>
      </c>
      <c r="Q13" s="5">
        <f>P15</f>
        <v>1651932.2400000002</v>
      </c>
      <c r="R13" s="65">
        <f>O13*(P13/Q13)-41.065</f>
        <v>1096.7296531269342</v>
      </c>
      <c r="S13" s="64">
        <v>0</v>
      </c>
      <c r="T13" s="110">
        <f t="shared" si="3"/>
        <v>1547.8514758195777</v>
      </c>
      <c r="U13" s="18">
        <f>' К - расчет коэффициентов'!G13</f>
        <v>1635</v>
      </c>
      <c r="V13" s="72">
        <f>T15</f>
        <v>10669.8</v>
      </c>
      <c r="W13" s="24">
        <f>U15</f>
        <v>14312</v>
      </c>
      <c r="X13" s="85">
        <f t="shared" si="4"/>
        <v>1.2698592220834326</v>
      </c>
    </row>
    <row r="14" spans="1:24" ht="15">
      <c r="A14" s="5">
        <v>10</v>
      </c>
      <c r="B14" s="5" t="s">
        <v>33</v>
      </c>
      <c r="C14" s="5">
        <v>1861</v>
      </c>
      <c r="D14" s="5">
        <v>17200</v>
      </c>
      <c r="E14" s="5">
        <f t="shared" si="0"/>
        <v>715748</v>
      </c>
      <c r="F14" s="65">
        <f t="shared" si="1"/>
        <v>44.72132650038841</v>
      </c>
      <c r="G14" s="5">
        <v>418.8</v>
      </c>
      <c r="H14" s="5">
        <v>5164.401</v>
      </c>
      <c r="I14" s="5">
        <f>H15</f>
        <v>23519.995000000003</v>
      </c>
      <c r="J14" s="65">
        <f t="shared" si="2"/>
        <v>91.95797613052213</v>
      </c>
      <c r="K14" s="5">
        <v>1940</v>
      </c>
      <c r="L14" s="5">
        <v>56994.6</v>
      </c>
      <c r="M14" s="5">
        <f>L15</f>
        <v>929397.2</v>
      </c>
      <c r="N14" s="65">
        <f>K14*(L14/M14)-25.647</f>
        <v>93.3220737178894</v>
      </c>
      <c r="O14" s="5">
        <v>6450</v>
      </c>
      <c r="P14" s="5">
        <v>131697.6</v>
      </c>
      <c r="Q14" s="5">
        <f>P15</f>
        <v>1651932.2400000002</v>
      </c>
      <c r="R14" s="65">
        <f>O14*(P14/Q14)-77.227</f>
        <v>436.9887162572237</v>
      </c>
      <c r="S14" s="64">
        <v>0</v>
      </c>
      <c r="T14" s="110">
        <f t="shared" si="3"/>
        <v>666.9900926060236</v>
      </c>
      <c r="U14" s="18">
        <f>' К - расчет коэффициентов'!G14</f>
        <v>1188</v>
      </c>
      <c r="V14" s="72">
        <f>T15</f>
        <v>10669.8</v>
      </c>
      <c r="W14" s="24">
        <f>U15</f>
        <v>14312</v>
      </c>
      <c r="X14" s="85">
        <f t="shared" si="4"/>
        <v>0.7530901911655473</v>
      </c>
    </row>
    <row r="15" spans="1:24" ht="15">
      <c r="A15" s="2"/>
      <c r="B15" s="2"/>
      <c r="C15" s="2"/>
      <c r="D15" s="2">
        <f>SUM(D5:D14)</f>
        <v>715748</v>
      </c>
      <c r="E15" s="2"/>
      <c r="F15" s="15">
        <f>SUM(F5:F14)</f>
        <v>1861</v>
      </c>
      <c r="G15" s="2"/>
      <c r="H15" s="2">
        <f>SUM(H5:H14)</f>
        <v>23519.995000000003</v>
      </c>
      <c r="I15" s="2"/>
      <c r="J15" s="15">
        <f>SUM(J5:J14)</f>
        <v>418.79999999999995</v>
      </c>
      <c r="K15" s="2"/>
      <c r="L15" s="2">
        <f>SUM(L5:L14)</f>
        <v>929397.2</v>
      </c>
      <c r="M15" s="2"/>
      <c r="N15" s="15">
        <f>SUM(N5:N14)</f>
        <v>1940.0000000000002</v>
      </c>
      <c r="O15" s="2"/>
      <c r="P15" s="2">
        <f>SUM(P5:P14)</f>
        <v>1651932.2400000002</v>
      </c>
      <c r="Q15" s="2"/>
      <c r="R15" s="15">
        <f>SUM(R5:R14)</f>
        <v>6449.999999999998</v>
      </c>
      <c r="S15" s="26">
        <f>SUM(S5:S14)</f>
        <v>0</v>
      </c>
      <c r="T15" s="71">
        <f>SUM(T5:T14)</f>
        <v>10669.8</v>
      </c>
      <c r="U15" s="19">
        <f>SUM(U5:U14)</f>
        <v>14312</v>
      </c>
      <c r="V15" s="11"/>
      <c r="W15" s="11"/>
      <c r="X15" s="11"/>
    </row>
    <row r="16" ht="15">
      <c r="T16" s="124"/>
    </row>
  </sheetData>
  <sheetProtection/>
  <mergeCells count="1">
    <mergeCell ref="A2:X2"/>
  </mergeCells>
  <printOptions/>
  <pageMargins left="0.31496062992125984" right="0.1968503937007874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28.57421875" style="0" customWidth="1"/>
    <col min="3" max="3" width="15.00390625" style="0" customWidth="1"/>
    <col min="5" max="5" width="10.00390625" style="0" customWidth="1"/>
    <col min="6" max="6" width="10.140625" style="0" customWidth="1"/>
    <col min="7" max="7" width="10.7109375" style="0" customWidth="1"/>
    <col min="11" max="11" width="9.57421875" style="0" customWidth="1"/>
  </cols>
  <sheetData>
    <row r="1" spans="1:12" ht="15.75">
      <c r="A1" s="191" t="s">
        <v>48</v>
      </c>
      <c r="B1" s="191"/>
      <c r="C1" s="191"/>
      <c r="D1" s="191"/>
      <c r="E1" s="191"/>
      <c r="F1" s="198"/>
      <c r="G1" s="198"/>
      <c r="H1" s="198"/>
      <c r="I1" s="198"/>
      <c r="J1" s="198"/>
      <c r="K1" s="198"/>
      <c r="L1" s="198"/>
    </row>
    <row r="3" spans="1:12" ht="105">
      <c r="A3" s="1" t="s">
        <v>0</v>
      </c>
      <c r="B3" s="1" t="s">
        <v>1</v>
      </c>
      <c r="C3" s="1" t="s">
        <v>50</v>
      </c>
      <c r="D3" s="1" t="s">
        <v>49</v>
      </c>
      <c r="E3" s="1" t="s">
        <v>51</v>
      </c>
      <c r="F3" s="1" t="s">
        <v>107</v>
      </c>
      <c r="G3" s="1" t="s">
        <v>108</v>
      </c>
      <c r="H3" s="1" t="s">
        <v>109</v>
      </c>
      <c r="I3" s="137"/>
      <c r="J3" s="1" t="s">
        <v>110</v>
      </c>
      <c r="K3" s="20"/>
      <c r="L3" s="20"/>
    </row>
    <row r="4" spans="1:12" ht="15">
      <c r="A4" s="5">
        <v>1</v>
      </c>
      <c r="B4" s="5" t="s">
        <v>25</v>
      </c>
      <c r="C4" s="21">
        <f>'Расчет НП'!X5</f>
        <v>0.4477943266433254</v>
      </c>
      <c r="D4" s="21">
        <f>'Расчет ИБР'!I3</f>
        <v>1.6759738258528474</v>
      </c>
      <c r="E4" s="30">
        <f>C4/D4</f>
        <v>0.2671845584554149</v>
      </c>
      <c r="F4" s="66">
        <f>RANK(E4,$E$4:$E$13,0)</f>
        <v>10</v>
      </c>
      <c r="G4" s="21">
        <f>(('Расчет НП'!T5+ДОТАЦИЯ!G5/'Расчет Тн'!I3)/('Расчет Тн'!I3))/(('Расчет НП'!$T$15+ДОТАЦИЯ!$C$5)/'Расчет Тн'!$I$13)</f>
        <v>0.15614689587265726</v>
      </c>
      <c r="H4" s="46">
        <f>G4/D4</f>
        <v>0.09316786065748926</v>
      </c>
      <c r="I4" s="46"/>
      <c r="J4" s="66">
        <f>RANK(H4,$H$4:$H$13,0)</f>
        <v>10</v>
      </c>
      <c r="K4" s="46">
        <f>E4+'Расчет Тн'!J3/'Расчет Тн'!I3/'Расчет Тн'!H3/('Расчет НП'!$T$15/'Расчет НП'!$U$15)</f>
        <v>2.8844776846801254</v>
      </c>
      <c r="L4" s="20"/>
    </row>
    <row r="5" spans="1:12" ht="15">
      <c r="A5" s="5">
        <v>2</v>
      </c>
      <c r="B5" s="5" t="s">
        <v>26</v>
      </c>
      <c r="C5" s="21">
        <f>'Расчет НП'!X6</f>
        <v>0.5041101371659971</v>
      </c>
      <c r="D5" s="21">
        <f>'Расчет ИБР'!I4</f>
        <v>1.6648918952403913</v>
      </c>
      <c r="E5" s="30">
        <f aca="true" t="shared" si="0" ref="E5:E13">C5/D5</f>
        <v>0.30278851053762224</v>
      </c>
      <c r="F5" s="66">
        <f>RANK(E5,$E$4:$E$13,0)</f>
        <v>9</v>
      </c>
      <c r="G5" s="21">
        <f>(('Расчет НП'!T6+ДОТАЦИЯ!G6/'Расчет Тн'!I4)/('Расчет Тн'!I4))/(('Расчет НП'!$T$15+ДОТАЦИЯ!$C$5)/'Расчет Тн'!$I$13)</f>
        <v>0.17675555378717228</v>
      </c>
      <c r="H5" s="46">
        <f aca="true" t="shared" si="1" ref="H5:H13">G5/D5</f>
        <v>0.10616638491212717</v>
      </c>
      <c r="I5" s="46"/>
      <c r="J5" s="66">
        <f>RANK(H5,$H$4:$H$13,0)</f>
        <v>9</v>
      </c>
      <c r="K5" s="46">
        <f>E5+'Расчет Тн'!J4/'Расчет Тн'!I4/'Расчет Тн'!H4/('Расчет НП'!$T$15/'Расчет НП'!$U$15)</f>
        <v>2.8844776846801254</v>
      </c>
      <c r="L5" s="20"/>
    </row>
    <row r="6" spans="1:12" ht="15">
      <c r="A6" s="5">
        <v>3</v>
      </c>
      <c r="B6" s="5" t="s">
        <v>27</v>
      </c>
      <c r="C6" s="21">
        <f>'Расчет НП'!X7</f>
        <v>0.8423323708261115</v>
      </c>
      <c r="D6" s="21">
        <f>'Расчет ИБР'!I5</f>
        <v>2.057333011833941</v>
      </c>
      <c r="E6" s="30">
        <f t="shared" si="0"/>
        <v>0.409429278576171</v>
      </c>
      <c r="F6" s="66">
        <f>RANK(E6,$E$4:$E$13,0)</f>
        <v>8</v>
      </c>
      <c r="G6" s="21">
        <f>(('Расчет НП'!T7+ДОТАЦИЯ!G7/'Расчет Тн'!I5)/('Расчет Тн'!I5))/(('Расчет НП'!$T$15+ДОТАЦИЯ!$C$5)/'Расчет Тн'!$I$13)</f>
        <v>0.2960251358063017</v>
      </c>
      <c r="H6" s="46">
        <f t="shared" si="1"/>
        <v>0.14388780722592887</v>
      </c>
      <c r="I6" s="46"/>
      <c r="J6" s="66">
        <f aca="true" t="shared" si="2" ref="J6:J13">RANK(H6,$H$4:$H$13,0)</f>
        <v>8</v>
      </c>
      <c r="K6" s="46">
        <f>E6+'Расчет Тн'!J5/'Расчет Тн'!I5/'Расчет Тн'!H5/('Расчет НП'!$T$15/'Расчет НП'!$U$15)</f>
        <v>2.8844776846801254</v>
      </c>
      <c r="L6" s="20"/>
    </row>
    <row r="7" spans="1:12" ht="15">
      <c r="A7" s="5">
        <v>4</v>
      </c>
      <c r="B7" s="5" t="s">
        <v>28</v>
      </c>
      <c r="C7" s="21">
        <f>'Расчет НП'!X8</f>
        <v>1.8352365134626816</v>
      </c>
      <c r="D7" s="21">
        <f>'Расчет ИБР'!I6</f>
        <v>1.71970759636988</v>
      </c>
      <c r="E7" s="30">
        <f t="shared" si="0"/>
        <v>1.0671793956930067</v>
      </c>
      <c r="F7" s="66">
        <f aca="true" t="shared" si="3" ref="F7:F13">RANK(E7,$E$4:$E$13,0)</f>
        <v>3</v>
      </c>
      <c r="G7" s="21">
        <f>(('Расчет НП'!T8+ДОТАЦИЯ!G8/'Расчет Тн'!I6)/('Расчет Тн'!I6))/(('Расчет НП'!$T$15+ДОТАЦИЯ!$C$5)/'Расчет Тн'!$I$13)</f>
        <v>0.6385954782926329</v>
      </c>
      <c r="H7" s="46">
        <f t="shared" si="1"/>
        <v>0.37133956937832924</v>
      </c>
      <c r="I7" s="46"/>
      <c r="J7" s="66">
        <f t="shared" si="2"/>
        <v>3</v>
      </c>
      <c r="K7" s="46">
        <f>E7+'Расчет Тн'!J6/'Расчет Тн'!I6/'Расчет Тн'!H6/('Расчет НП'!$T$15/'Расчет НП'!$U$15)</f>
        <v>2.8844776846801254</v>
      </c>
      <c r="L7" s="20"/>
    </row>
    <row r="8" spans="1:12" ht="15">
      <c r="A8" s="5">
        <v>5</v>
      </c>
      <c r="B8" s="5" t="s">
        <v>29</v>
      </c>
      <c r="C8" s="21">
        <f>'Расчет НП'!X9</f>
        <v>0.7809942117562299</v>
      </c>
      <c r="D8" s="21">
        <f>'Расчет ИБР'!I7</f>
        <v>1.0274837160610153</v>
      </c>
      <c r="E8" s="30">
        <f t="shared" si="0"/>
        <v>0.760103736485739</v>
      </c>
      <c r="F8" s="66">
        <f t="shared" si="3"/>
        <v>4</v>
      </c>
      <c r="G8" s="21">
        <f>(('Расчет НП'!T9+ДОТАЦИЯ!G9/'Расчет Тн'!I7)/('Расчет Тн'!I7))/(('Расчет НП'!$T$15+ДОТАЦИЯ!$C$5)/'Расчет Тн'!$I$13)</f>
        <v>0.27202892069104606</v>
      </c>
      <c r="H8" s="46">
        <f t="shared" si="1"/>
        <v>0.2647525371340212</v>
      </c>
      <c r="I8" s="46"/>
      <c r="J8" s="66">
        <f t="shared" si="2"/>
        <v>4</v>
      </c>
      <c r="K8" s="46">
        <f>E8+'Расчет Тн'!J7/'Расчет Тн'!I7/'Расчет Тн'!H7/('Расчет НП'!$T$15/'Расчет НП'!$U$15)</f>
        <v>2.8844776846801254</v>
      </c>
      <c r="L8" s="20"/>
    </row>
    <row r="9" spans="1:12" ht="15">
      <c r="A9" s="5">
        <v>6</v>
      </c>
      <c r="B9" s="5" t="s">
        <v>30</v>
      </c>
      <c r="C9" s="21">
        <f>'Расчет НП'!X10</f>
        <v>0.7518960339327598</v>
      </c>
      <c r="D9" s="21">
        <f>'Расчет ИБР'!I8</f>
        <v>1.2670745478756142</v>
      </c>
      <c r="E9" s="30">
        <f t="shared" si="0"/>
        <v>0.59341104688228</v>
      </c>
      <c r="F9" s="66">
        <f t="shared" si="3"/>
        <v>7</v>
      </c>
      <c r="G9" s="21">
        <f>(('Расчет НП'!T10+ДОТАЦИЯ!G10/'Расчет Тн'!I8)/('Расчет Тн'!I8))/(('Расчет НП'!$T$15+ДОТАЦИЯ!$C$5)/'Расчет Тн'!$I$13)</f>
        <v>0.2639052322736611</v>
      </c>
      <c r="H9" s="46">
        <f t="shared" si="1"/>
        <v>0.20827916772231467</v>
      </c>
      <c r="I9" s="46"/>
      <c r="J9" s="66">
        <f t="shared" si="2"/>
        <v>7</v>
      </c>
      <c r="K9" s="46">
        <f>E9+'Расчет Тн'!J8/'Расчет Тн'!I8/'Расчет Тн'!H8/('Расчет НП'!$T$15/'Расчет НП'!$U$15)</f>
        <v>2.8844776846801254</v>
      </c>
      <c r="L9" s="20"/>
    </row>
    <row r="10" spans="1:12" ht="15">
      <c r="A10" s="5">
        <v>7</v>
      </c>
      <c r="B10" s="73" t="s">
        <v>95</v>
      </c>
      <c r="C10" s="36">
        <f>'Расчет НП'!X11</f>
        <v>1.1899779255970653</v>
      </c>
      <c r="D10" s="36">
        <f>'Расчет ИБР'!I9</f>
        <v>0.48413555782704665</v>
      </c>
      <c r="E10" s="36">
        <f>C10/D10</f>
        <v>2.4579436613539856</v>
      </c>
      <c r="F10" s="81">
        <f t="shared" si="3"/>
        <v>1</v>
      </c>
      <c r="G10" s="36">
        <f>(('Расчет НП'!T11+ДОТАЦИЯ!G11/'Расчет Тн'!I9)/('Расчет Тн'!I9))/(('Расчет НП'!$T$15+ДОТАЦИЯ!$C$5)/'Расчет Тн'!$I$13)</f>
        <v>0.4125610898840995</v>
      </c>
      <c r="H10" s="48">
        <f t="shared" si="1"/>
        <v>0.8521602745640168</v>
      </c>
      <c r="I10" s="48"/>
      <c r="J10" s="81">
        <f t="shared" si="2"/>
        <v>1</v>
      </c>
      <c r="K10" s="48">
        <f>E10+'Расчет Тн'!J9/'Расчет Тн'!I9/'Расчет Тн'!H9/('Расчет НП'!$T$15/'Расчет НП'!$U$15)</f>
        <v>2.8844776846801254</v>
      </c>
      <c r="L10" s="49"/>
    </row>
    <row r="11" spans="1:12" ht="15">
      <c r="A11" s="5">
        <v>8</v>
      </c>
      <c r="B11" s="5" t="s">
        <v>31</v>
      </c>
      <c r="C11" s="21">
        <f>'Расчет НП'!X12</f>
        <v>0.859679372769017</v>
      </c>
      <c r="D11" s="21">
        <f>'Расчет ИБР'!I10</f>
        <v>1.4034981961751984</v>
      </c>
      <c r="E11" s="30">
        <f t="shared" si="0"/>
        <v>0.6125261686205283</v>
      </c>
      <c r="F11" s="66">
        <f t="shared" si="3"/>
        <v>6</v>
      </c>
      <c r="G11" s="21">
        <f>(('Расчет НП'!T12+ДОТАЦИЯ!G12/'Расчет Тн'!I10)/('Расчет Тн'!I10))/(('Расчет НП'!$T$15+ДОТАЦИЯ!$C$5)/'Расчет Тн'!$I$13)</f>
        <v>0.2999325889585444</v>
      </c>
      <c r="H11" s="46">
        <f>G11/D11</f>
        <v>0.2137035799375576</v>
      </c>
      <c r="I11" s="46"/>
      <c r="J11" s="66">
        <f t="shared" si="2"/>
        <v>6</v>
      </c>
      <c r="K11" s="46">
        <f>E11+'Расчет Тн'!J10/'Расчет Тн'!I10/'Расчет Тн'!H10/('Расчет НП'!$T$15/'Расчет НП'!$U$15)</f>
        <v>2.8844776846801254</v>
      </c>
      <c r="L11" s="20"/>
    </row>
    <row r="12" spans="1:12" ht="15">
      <c r="A12" s="5">
        <v>9</v>
      </c>
      <c r="B12" s="5" t="s">
        <v>32</v>
      </c>
      <c r="C12" s="21">
        <f>'Расчет НП'!X13</f>
        <v>1.2698592220834326</v>
      </c>
      <c r="D12" s="21">
        <f>'Расчет ИБР'!I11</f>
        <v>0.8488068247144994</v>
      </c>
      <c r="E12" s="30">
        <f t="shared" si="0"/>
        <v>1.4960520876002104</v>
      </c>
      <c r="F12" s="66">
        <f t="shared" si="3"/>
        <v>2</v>
      </c>
      <c r="G12" s="21">
        <f>(('Расчет НП'!T13+ДОТАЦИЯ!G13/'Расчет Тн'!I11)/('Расчет Тн'!I11))/(('Расчет НП'!$T$15+ДОТАЦИЯ!$C$5)/'Расчет Тн'!$I$13)</f>
        <v>0.44080491162499025</v>
      </c>
      <c r="H12" s="46">
        <f t="shared" si="1"/>
        <v>0.5193230058832966</v>
      </c>
      <c r="I12" s="46"/>
      <c r="J12" s="66">
        <f t="shared" si="2"/>
        <v>2</v>
      </c>
      <c r="K12" s="46">
        <f>E12+'Расчет Тн'!J11/'Расчет Тн'!I11/'Расчет Тн'!H11/('Расчет НП'!$T$15/'Расчет НП'!$U$15)</f>
        <v>2.8844776846801254</v>
      </c>
      <c r="L12" s="20"/>
    </row>
    <row r="13" spans="1:12" ht="15">
      <c r="A13" s="5">
        <v>10</v>
      </c>
      <c r="B13" s="5" t="s">
        <v>33</v>
      </c>
      <c r="C13" s="21">
        <f>'Расчет НП'!X14</f>
        <v>0.7530901911655473</v>
      </c>
      <c r="D13" s="21">
        <f>'Расчет ИБР'!I12</f>
        <v>1.1009710815606162</v>
      </c>
      <c r="E13" s="30">
        <f t="shared" si="0"/>
        <v>0.6840235895188537</v>
      </c>
      <c r="F13" s="66">
        <f t="shared" si="3"/>
        <v>5</v>
      </c>
      <c r="G13" s="21">
        <f>(('Расчет НП'!T14+ДОТАЦИЯ!G14/'Расчет Тн'!I12)/('Расчет Тн'!I12))/(('Расчет НП'!$T$15+ДОТАЦИЯ!$C$5)/'Расчет Тн'!$I$13)</f>
        <v>0.26205819006485226</v>
      </c>
      <c r="H13" s="46">
        <f t="shared" si="1"/>
        <v>0.2380245897952081</v>
      </c>
      <c r="I13" s="46"/>
      <c r="J13" s="66">
        <f t="shared" si="2"/>
        <v>5</v>
      </c>
      <c r="K13" s="46">
        <f>E13+'Расчет Тн'!J12/'Расчет Тн'!I12/'Расчет Тн'!H12/('Расчет НП'!$T$15/'Расчет НП'!$U$15)</f>
        <v>2.884477684680125</v>
      </c>
      <c r="L13" s="20"/>
    </row>
    <row r="14" spans="3:6" ht="15">
      <c r="C14" s="51"/>
      <c r="E14" s="82"/>
      <c r="F14" s="83"/>
    </row>
    <row r="15" spans="5:6" ht="15">
      <c r="E15" s="82"/>
      <c r="F15" s="83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4.7109375" style="0" customWidth="1"/>
    <col min="2" max="2" width="22.57421875" style="0" customWidth="1"/>
    <col min="3" max="3" width="11.57421875" style="0" customWidth="1"/>
    <col min="4" max="4" width="13.421875" style="0" customWidth="1"/>
    <col min="5" max="5" width="13.8515625" style="0" customWidth="1"/>
    <col min="6" max="6" width="12.421875" style="0" customWidth="1"/>
    <col min="7" max="7" width="15.57421875" style="0" customWidth="1"/>
    <col min="8" max="8" width="12.140625" style="0" customWidth="1"/>
    <col min="9" max="9" width="13.8515625" style="0" customWidth="1"/>
    <col min="10" max="10" width="18.140625" style="0" customWidth="1"/>
    <col min="15" max="15" width="11.421875" style="0" customWidth="1"/>
  </cols>
  <sheetData>
    <row r="1" spans="2:14" ht="39" customHeight="1">
      <c r="B1" s="197" t="s">
        <v>111</v>
      </c>
      <c r="C1" s="197"/>
      <c r="D1" s="197"/>
      <c r="E1" s="197"/>
      <c r="F1" s="197"/>
      <c r="G1" s="197"/>
      <c r="H1" s="197"/>
      <c r="I1" s="197"/>
      <c r="J1" s="197"/>
      <c r="K1" s="80"/>
      <c r="L1" s="80"/>
      <c r="M1" s="80"/>
      <c r="N1" s="80"/>
    </row>
    <row r="2" spans="1:20" ht="141">
      <c r="A2" s="1" t="s">
        <v>0</v>
      </c>
      <c r="B2" s="1" t="s">
        <v>1</v>
      </c>
      <c r="C2" s="79" t="s">
        <v>35</v>
      </c>
      <c r="D2" s="22" t="s">
        <v>36</v>
      </c>
      <c r="E2" s="22" t="s">
        <v>112</v>
      </c>
      <c r="F2" s="22" t="s">
        <v>37</v>
      </c>
      <c r="G2" s="22" t="s">
        <v>24</v>
      </c>
      <c r="H2" s="22" t="s">
        <v>38</v>
      </c>
      <c r="I2" s="22" t="s">
        <v>39</v>
      </c>
      <c r="J2" s="67" t="s">
        <v>40</v>
      </c>
      <c r="K2" s="58"/>
      <c r="L2" s="59"/>
      <c r="M2" s="59"/>
      <c r="N2" s="58"/>
      <c r="O2" s="58"/>
      <c r="P2" s="56"/>
      <c r="Q2" s="56"/>
      <c r="R2" s="56"/>
      <c r="S2" s="26"/>
      <c r="T2" s="26"/>
    </row>
    <row r="3" spans="1:20" ht="15">
      <c r="A3" s="5">
        <v>1</v>
      </c>
      <c r="B3" s="5" t="s">
        <v>25</v>
      </c>
      <c r="C3" s="72">
        <f>'Расчет НП'!T$15</f>
        <v>10669.8</v>
      </c>
      <c r="D3" s="5">
        <f>' К - расчет коэффициентов'!G15</f>
        <v>14312</v>
      </c>
      <c r="E3" s="3">
        <f>' Д- объем дотации'!C10</f>
        <v>2.8844776846801254</v>
      </c>
      <c r="F3" s="3">
        <f>'Расчет БО'!E4</f>
        <v>0.2671845584554149</v>
      </c>
      <c r="G3" s="24">
        <f aca="true" t="shared" si="0" ref="G3:G12">RANK(F3,$F$3:$F$12,0)</f>
        <v>10</v>
      </c>
      <c r="H3" s="3">
        <f>'Расчет ИБР'!I3</f>
        <v>1.6759738258528474</v>
      </c>
      <c r="I3" s="5">
        <f>' К - расчет коэффициентов'!G5</f>
        <v>1594</v>
      </c>
      <c r="J3" s="23">
        <f>(C3/D3)*(E3-F3)*H3*I3</f>
        <v>5212.713605877572</v>
      </c>
      <c r="K3" s="56"/>
      <c r="L3" s="60"/>
      <c r="M3" s="61"/>
      <c r="N3" s="60"/>
      <c r="O3" s="60"/>
      <c r="P3" s="60"/>
      <c r="Q3" s="62"/>
      <c r="R3" s="60"/>
      <c r="S3" s="63"/>
      <c r="T3" s="26"/>
    </row>
    <row r="4" spans="1:20" ht="15">
      <c r="A4" s="5">
        <v>2</v>
      </c>
      <c r="B4" s="5" t="s">
        <v>26</v>
      </c>
      <c r="C4" s="72">
        <f>'Расчет НП'!T$15</f>
        <v>10669.8</v>
      </c>
      <c r="D4" s="5">
        <f>D3</f>
        <v>14312</v>
      </c>
      <c r="E4" s="3">
        <f>E3</f>
        <v>2.8844776846801254</v>
      </c>
      <c r="F4" s="3">
        <f>'Расчет БО'!E5</f>
        <v>0.30278851053762224</v>
      </c>
      <c r="G4" s="24">
        <f t="shared" si="0"/>
        <v>9</v>
      </c>
      <c r="H4" s="3">
        <f>'Расчет ИБР'!I4</f>
        <v>1.6648918952403913</v>
      </c>
      <c r="I4" s="5">
        <f>' К - расчет коэффициентов'!G6</f>
        <v>779</v>
      </c>
      <c r="J4" s="23">
        <f aca="true" t="shared" si="1" ref="J4:J12">(C4/D4)*(E4-F4)*H4*I4</f>
        <v>2496.223122595211</v>
      </c>
      <c r="K4" s="56"/>
      <c r="L4" s="60"/>
      <c r="M4" s="61"/>
      <c r="N4" s="60"/>
      <c r="O4" s="60"/>
      <c r="P4" s="60"/>
      <c r="Q4" s="62"/>
      <c r="R4" s="60"/>
      <c r="S4" s="63"/>
      <c r="T4" s="26"/>
    </row>
    <row r="5" spans="1:20" ht="15">
      <c r="A5" s="5">
        <v>3</v>
      </c>
      <c r="B5" s="5" t="s">
        <v>27</v>
      </c>
      <c r="C5" s="72">
        <f>'Расчет НП'!T$15</f>
        <v>10669.8</v>
      </c>
      <c r="D5" s="5">
        <f>D3</f>
        <v>14312</v>
      </c>
      <c r="E5" s="3">
        <f>E3</f>
        <v>2.8844776846801254</v>
      </c>
      <c r="F5" s="3">
        <f>'Расчет БО'!E6</f>
        <v>0.409429278576171</v>
      </c>
      <c r="G5" s="24">
        <f t="shared" si="0"/>
        <v>8</v>
      </c>
      <c r="H5" s="3">
        <f>'Расчет ИБР'!I5</f>
        <v>2.057333011833941</v>
      </c>
      <c r="I5" s="5">
        <f>' К - расчет коэффициентов'!G7</f>
        <v>516</v>
      </c>
      <c r="J5" s="23">
        <f t="shared" si="1"/>
        <v>1958.8173625991562</v>
      </c>
      <c r="K5" s="56"/>
      <c r="L5" s="60"/>
      <c r="M5" s="61"/>
      <c r="N5" s="60"/>
      <c r="O5" s="60"/>
      <c r="P5" s="60"/>
      <c r="Q5" s="62"/>
      <c r="R5" s="60"/>
      <c r="S5" s="63"/>
      <c r="T5" s="26"/>
    </row>
    <row r="6" spans="1:20" ht="15">
      <c r="A6" s="5">
        <v>4</v>
      </c>
      <c r="B6" s="5" t="s">
        <v>28</v>
      </c>
      <c r="C6" s="72">
        <f>'Расчет НП'!T$15</f>
        <v>10669.8</v>
      </c>
      <c r="D6" s="5">
        <f>D3</f>
        <v>14312</v>
      </c>
      <c r="E6" s="3">
        <f>E3</f>
        <v>2.8844776846801254</v>
      </c>
      <c r="F6" s="3">
        <f>'Расчет БО'!E7</f>
        <v>1.0671793956930067</v>
      </c>
      <c r="G6" s="24">
        <f t="shared" si="0"/>
        <v>3</v>
      </c>
      <c r="H6" s="3">
        <f>'Расчет ИБР'!I6</f>
        <v>1.71970759636988</v>
      </c>
      <c r="I6" s="5">
        <f>' К - расчет коэффициентов'!G8</f>
        <v>665</v>
      </c>
      <c r="J6" s="23">
        <f t="shared" si="1"/>
        <v>1549.3817064985503</v>
      </c>
      <c r="K6" s="56"/>
      <c r="L6" s="60"/>
      <c r="M6" s="61"/>
      <c r="N6" s="60"/>
      <c r="O6" s="60"/>
      <c r="P6" s="60"/>
      <c r="Q6" s="62"/>
      <c r="R6" s="60"/>
      <c r="S6" s="63"/>
      <c r="T6" s="26"/>
    </row>
    <row r="7" spans="1:20" ht="15">
      <c r="A7" s="5">
        <v>5</v>
      </c>
      <c r="B7" s="5" t="s">
        <v>29</v>
      </c>
      <c r="C7" s="72">
        <f>'Расчет НП'!T$15</f>
        <v>10669.8</v>
      </c>
      <c r="D7" s="5">
        <f>D3</f>
        <v>14312</v>
      </c>
      <c r="E7" s="3">
        <f>E3</f>
        <v>2.8844776846801254</v>
      </c>
      <c r="F7" s="3">
        <f>'Расчет БО'!E8</f>
        <v>0.760103736485739</v>
      </c>
      <c r="G7" s="24">
        <f t="shared" si="0"/>
        <v>4</v>
      </c>
      <c r="H7" s="3">
        <f>'Расчет ИБР'!I7</f>
        <v>1.0274837160610153</v>
      </c>
      <c r="I7" s="5">
        <f>' К - расчет коэффициентов'!G9</f>
        <v>969</v>
      </c>
      <c r="J7" s="23">
        <f t="shared" si="1"/>
        <v>1576.8327920152367</v>
      </c>
      <c r="K7" s="56"/>
      <c r="L7" s="60"/>
      <c r="M7" s="61"/>
      <c r="N7" s="60"/>
      <c r="O7" s="60"/>
      <c r="P7" s="60"/>
      <c r="Q7" s="62"/>
      <c r="R7" s="60"/>
      <c r="S7" s="63"/>
      <c r="T7" s="26"/>
    </row>
    <row r="8" spans="1:20" ht="15">
      <c r="A8" s="5">
        <v>6</v>
      </c>
      <c r="B8" s="5" t="s">
        <v>30</v>
      </c>
      <c r="C8" s="72">
        <f>'Расчет НП'!T$15</f>
        <v>10669.8</v>
      </c>
      <c r="D8" s="5">
        <f>D3</f>
        <v>14312</v>
      </c>
      <c r="E8" s="3">
        <f>E3</f>
        <v>2.8844776846801254</v>
      </c>
      <c r="F8" s="3">
        <f>'Расчет БО'!E9</f>
        <v>0.59341104688228</v>
      </c>
      <c r="G8" s="24">
        <f t="shared" si="0"/>
        <v>7</v>
      </c>
      <c r="H8" s="3">
        <f>'Расчет ИБР'!I8</f>
        <v>1.2670745478756142</v>
      </c>
      <c r="I8" s="5">
        <f>' К - расчет коэффициентов'!G10</f>
        <v>514</v>
      </c>
      <c r="J8" s="23">
        <f t="shared" si="1"/>
        <v>1112.3948222534975</v>
      </c>
      <c r="K8" s="56"/>
      <c r="L8" s="60"/>
      <c r="M8" s="61"/>
      <c r="N8" s="60"/>
      <c r="O8" s="60"/>
      <c r="P8" s="60"/>
      <c r="Q8" s="62"/>
      <c r="R8" s="60"/>
      <c r="S8" s="63"/>
      <c r="T8" s="26"/>
    </row>
    <row r="9" spans="1:20" ht="15">
      <c r="A9" s="5">
        <v>7</v>
      </c>
      <c r="B9" s="73" t="s">
        <v>95</v>
      </c>
      <c r="C9" s="37">
        <f>'Расчет НП'!T$15</f>
        <v>10669.8</v>
      </c>
      <c r="D9" s="33">
        <f>D3</f>
        <v>14312</v>
      </c>
      <c r="E9" s="34">
        <f>E3</f>
        <v>2.8844776846801254</v>
      </c>
      <c r="F9" s="34">
        <f>'Расчет БО'!E10</f>
        <v>2.4579436613539856</v>
      </c>
      <c r="G9" s="39">
        <f t="shared" si="0"/>
        <v>1</v>
      </c>
      <c r="H9" s="34">
        <f>'Расчет ИБР'!I9</f>
        <v>0.48413555782704665</v>
      </c>
      <c r="I9" s="33">
        <f>' К - расчет коэффициентов'!G11</f>
        <v>5721</v>
      </c>
      <c r="J9" s="31">
        <f t="shared" si="1"/>
        <v>880.7417003894669</v>
      </c>
      <c r="K9" s="56"/>
      <c r="L9" s="60"/>
      <c r="M9" s="61"/>
      <c r="N9" s="60"/>
      <c r="O9" s="60"/>
      <c r="P9" s="60"/>
      <c r="Q9" s="62"/>
      <c r="R9" s="60"/>
      <c r="S9" s="63"/>
      <c r="T9" s="26"/>
    </row>
    <row r="10" spans="1:20" ht="15">
      <c r="A10" s="5">
        <v>8</v>
      </c>
      <c r="B10" s="5" t="s">
        <v>31</v>
      </c>
      <c r="C10" s="72">
        <f>'Расчет НП'!T$15</f>
        <v>10669.8</v>
      </c>
      <c r="D10" s="5">
        <f>D3</f>
        <v>14312</v>
      </c>
      <c r="E10" s="3">
        <f>E3</f>
        <v>2.8844776846801254</v>
      </c>
      <c r="F10" s="3">
        <f>'Расчет БО'!E11</f>
        <v>0.6125261686205283</v>
      </c>
      <c r="G10" s="24">
        <f t="shared" si="0"/>
        <v>6</v>
      </c>
      <c r="H10" s="3">
        <f>'Расчет ИБР'!I10</f>
        <v>1.4034981961751984</v>
      </c>
      <c r="I10" s="5">
        <f>' К - расчет коэффициентов'!G12</f>
        <v>731</v>
      </c>
      <c r="J10" s="23">
        <f t="shared" si="1"/>
        <v>1737.7377923713311</v>
      </c>
      <c r="K10" s="56"/>
      <c r="L10" s="60"/>
      <c r="M10" s="61"/>
      <c r="N10" s="60"/>
      <c r="O10" s="60"/>
      <c r="P10" s="60"/>
      <c r="Q10" s="62"/>
      <c r="R10" s="60"/>
      <c r="S10" s="63"/>
      <c r="T10" s="26"/>
    </row>
    <row r="11" spans="1:20" ht="15">
      <c r="A11" s="5">
        <v>9</v>
      </c>
      <c r="B11" s="5" t="s">
        <v>32</v>
      </c>
      <c r="C11" s="72">
        <f>'Расчет НП'!T$15</f>
        <v>10669.8</v>
      </c>
      <c r="D11" s="5">
        <f>D3</f>
        <v>14312</v>
      </c>
      <c r="E11" s="3">
        <f>E3</f>
        <v>2.8844776846801254</v>
      </c>
      <c r="F11" s="3">
        <f>'Расчет БО'!E12</f>
        <v>1.4960520876002104</v>
      </c>
      <c r="G11" s="24">
        <f t="shared" si="0"/>
        <v>2</v>
      </c>
      <c r="H11" s="3">
        <f>'Расчет ИБР'!I11</f>
        <v>0.8488068247144994</v>
      </c>
      <c r="I11" s="5">
        <f>' К - расчет коэффициентов'!G13</f>
        <v>1635</v>
      </c>
      <c r="J11" s="23">
        <f t="shared" si="1"/>
        <v>1436.4985198831678</v>
      </c>
      <c r="K11" s="56"/>
      <c r="L11" s="60"/>
      <c r="M11" s="61"/>
      <c r="N11" s="60"/>
      <c r="O11" s="60"/>
      <c r="P11" s="60"/>
      <c r="Q11" s="62"/>
      <c r="R11" s="60"/>
      <c r="S11" s="63"/>
      <c r="T11" s="26"/>
    </row>
    <row r="12" spans="1:20" ht="15">
      <c r="A12" s="5">
        <v>10</v>
      </c>
      <c r="B12" s="5" t="s">
        <v>33</v>
      </c>
      <c r="C12" s="72">
        <f>'Расчет НП'!T$15</f>
        <v>10669.8</v>
      </c>
      <c r="D12" s="5">
        <f>D3</f>
        <v>14312</v>
      </c>
      <c r="E12" s="3">
        <f>E3</f>
        <v>2.8844776846801254</v>
      </c>
      <c r="F12" s="3">
        <f>'Расчет БО'!E13</f>
        <v>0.6840235895188537</v>
      </c>
      <c r="G12" s="24">
        <f t="shared" si="0"/>
        <v>5</v>
      </c>
      <c r="H12" s="3">
        <f>'Расчет ИБР'!I12</f>
        <v>1.1009710815606162</v>
      </c>
      <c r="I12" s="5">
        <f>' К - расчет коэффициентов'!G14</f>
        <v>1188</v>
      </c>
      <c r="J12" s="23">
        <f t="shared" si="1"/>
        <v>2145.6585755168126</v>
      </c>
      <c r="K12" s="56"/>
      <c r="L12" s="60"/>
      <c r="M12" s="61"/>
      <c r="N12" s="60"/>
      <c r="O12" s="60"/>
      <c r="P12" s="60"/>
      <c r="Q12" s="62"/>
      <c r="R12" s="60"/>
      <c r="S12" s="63"/>
      <c r="T12" s="26"/>
    </row>
    <row r="13" spans="9:20" ht="15">
      <c r="I13">
        <f>SUM(I3:I12)</f>
        <v>14312</v>
      </c>
      <c r="J13" s="32">
        <f>SUM(J3:J12)</f>
        <v>20107.000000000004</v>
      </c>
      <c r="K13" s="56"/>
      <c r="L13" s="60"/>
      <c r="M13" s="61"/>
      <c r="N13" s="60"/>
      <c r="O13" s="60"/>
      <c r="P13" s="60"/>
      <c r="Q13" s="60"/>
      <c r="R13" s="56"/>
      <c r="S13" s="26"/>
      <c r="T13" s="26"/>
    </row>
  </sheetData>
  <sheetProtection/>
  <mergeCells count="1">
    <mergeCell ref="B1:J1"/>
  </mergeCells>
  <printOptions/>
  <pageMargins left="0.7874015748031497" right="0" top="0.9448818897637796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B1">
      <pane xSplit="1" topLeftCell="C1" activePane="topRight" state="frozen"/>
      <selection pane="topLeft" activeCell="B1" sqref="B1"/>
      <selection pane="topRight" activeCell="L11" sqref="L11"/>
    </sheetView>
  </sheetViews>
  <sheetFormatPr defaultColWidth="9.140625" defaultRowHeight="15"/>
  <cols>
    <col min="2" max="2" width="18.28125" style="0" customWidth="1"/>
    <col min="3" max="3" width="9.140625" style="0" customWidth="1"/>
    <col min="4" max="4" width="11.8515625" style="0" customWidth="1"/>
    <col min="5" max="5" width="8.421875" style="0" customWidth="1"/>
    <col min="6" max="6" width="6.140625" style="0" customWidth="1"/>
    <col min="7" max="7" width="10.8515625" style="0" customWidth="1"/>
    <col min="8" max="9" width="11.57421875" style="0" customWidth="1"/>
    <col min="10" max="10" width="8.8515625" style="0" customWidth="1"/>
    <col min="11" max="11" width="8.57421875" style="0" customWidth="1"/>
  </cols>
  <sheetData>
    <row r="1" spans="1:7" ht="24.75" customHeight="1">
      <c r="A1" s="161"/>
      <c r="B1" s="191" t="s">
        <v>102</v>
      </c>
      <c r="C1" s="193"/>
      <c r="D1" s="193"/>
      <c r="E1" s="193"/>
      <c r="F1" s="193"/>
      <c r="G1" s="193"/>
    </row>
    <row r="2" spans="1:15" ht="15">
      <c r="A2" s="2"/>
      <c r="B2" s="2"/>
      <c r="C2" s="2"/>
      <c r="D2" s="2"/>
      <c r="E2" s="2"/>
      <c r="F2" s="2"/>
      <c r="G2" s="2"/>
      <c r="H2" s="187"/>
      <c r="I2" s="187"/>
      <c r="J2" s="187"/>
      <c r="K2" s="187"/>
      <c r="L2" s="187"/>
      <c r="M2" s="187"/>
      <c r="N2" s="187"/>
      <c r="O2" s="187"/>
    </row>
    <row r="3" spans="1:15" ht="141">
      <c r="A3" s="1" t="s">
        <v>0</v>
      </c>
      <c r="B3" s="1" t="s">
        <v>1</v>
      </c>
      <c r="C3" s="1" t="s">
        <v>118</v>
      </c>
      <c r="D3" s="22" t="s">
        <v>20</v>
      </c>
      <c r="E3" s="17" t="s">
        <v>21</v>
      </c>
      <c r="F3" s="17" t="s">
        <v>22</v>
      </c>
      <c r="G3" s="67" t="s">
        <v>96</v>
      </c>
      <c r="H3" s="168"/>
      <c r="I3" s="168"/>
      <c r="J3" s="168"/>
      <c r="K3" s="168"/>
      <c r="L3" s="168"/>
      <c r="M3" s="168"/>
      <c r="N3" s="168"/>
      <c r="O3" s="168"/>
    </row>
    <row r="4" spans="1:15" ht="34.5" customHeight="1">
      <c r="A4" s="1">
        <v>1</v>
      </c>
      <c r="B4" s="1">
        <f>A4+1</f>
        <v>2</v>
      </c>
      <c r="C4" s="1">
        <f>B4+1</f>
        <v>3</v>
      </c>
      <c r="D4" s="1">
        <f>C4+1</f>
        <v>4</v>
      </c>
      <c r="E4" s="1">
        <f>D4+1</f>
        <v>5</v>
      </c>
      <c r="F4" s="1">
        <f>E4+1</f>
        <v>6</v>
      </c>
      <c r="G4" s="1">
        <f>F4+1</f>
        <v>7</v>
      </c>
      <c r="H4" s="131"/>
      <c r="I4" s="131"/>
      <c r="J4" s="131"/>
      <c r="K4" s="131"/>
      <c r="L4" s="131"/>
      <c r="M4" s="139"/>
      <c r="N4" s="139"/>
      <c r="O4" s="139"/>
    </row>
    <row r="5" spans="1:15" ht="15">
      <c r="A5" s="5">
        <v>1</v>
      </c>
      <c r="B5" s="5" t="s">
        <v>25</v>
      </c>
      <c r="C5" s="23">
        <f>' Д- объем дотации'!B$10</f>
        <v>20107</v>
      </c>
      <c r="D5" s="72">
        <f>'Расчет Тн'!J3</f>
        <v>5212.713605877572</v>
      </c>
      <c r="E5" s="24">
        <f>D15</f>
        <v>20107.000000000004</v>
      </c>
      <c r="F5" s="24">
        <v>0</v>
      </c>
      <c r="G5" s="37">
        <v>4939.98</v>
      </c>
      <c r="H5" s="132"/>
      <c r="I5" s="132"/>
      <c r="J5" s="133"/>
      <c r="K5" s="132"/>
      <c r="L5" s="132"/>
      <c r="M5" s="169"/>
      <c r="N5" s="139"/>
      <c r="O5" s="169"/>
    </row>
    <row r="6" spans="1:15" ht="15">
      <c r="A6" s="5">
        <v>2</v>
      </c>
      <c r="B6" s="5" t="s">
        <v>26</v>
      </c>
      <c r="C6" s="23">
        <f>' Д- объем дотации'!B$10</f>
        <v>20107</v>
      </c>
      <c r="D6" s="72">
        <f>'Расчет Тн'!J4</f>
        <v>2496.223122595211</v>
      </c>
      <c r="E6" s="24">
        <f>D15</f>
        <v>20107.000000000004</v>
      </c>
      <c r="F6" s="24">
        <v>0</v>
      </c>
      <c r="G6" s="37">
        <v>2595.61</v>
      </c>
      <c r="H6" s="132"/>
      <c r="I6" s="132"/>
      <c r="J6" s="133"/>
      <c r="K6" s="132"/>
      <c r="L6" s="132"/>
      <c r="M6" s="169"/>
      <c r="N6" s="139"/>
      <c r="O6" s="169"/>
    </row>
    <row r="7" spans="1:15" ht="15">
      <c r="A7" s="5">
        <v>3</v>
      </c>
      <c r="B7" s="5" t="s">
        <v>27</v>
      </c>
      <c r="C7" s="23">
        <f>' Д- объем дотации'!B$10</f>
        <v>20107</v>
      </c>
      <c r="D7" s="72">
        <f>'Расчет Тн'!J5</f>
        <v>1958.8173625991562</v>
      </c>
      <c r="E7" s="24">
        <f>D15</f>
        <v>20107.000000000004</v>
      </c>
      <c r="F7" s="24">
        <v>0</v>
      </c>
      <c r="G7" s="37">
        <v>2291.76</v>
      </c>
      <c r="H7" s="132"/>
      <c r="I7" s="132"/>
      <c r="J7" s="133"/>
      <c r="K7" s="132"/>
      <c r="L7" s="132"/>
      <c r="M7" s="169"/>
      <c r="N7" s="139"/>
      <c r="O7" s="169"/>
    </row>
    <row r="8" spans="1:15" ht="15">
      <c r="A8" s="5">
        <v>4</v>
      </c>
      <c r="B8" s="5" t="s">
        <v>28</v>
      </c>
      <c r="C8" s="23">
        <f>' Д- объем дотации'!B$10</f>
        <v>20107</v>
      </c>
      <c r="D8" s="72">
        <f>'Расчет Тн'!J6</f>
        <v>1549.3817064985503</v>
      </c>
      <c r="E8" s="24">
        <f>D15</f>
        <v>20107.000000000004</v>
      </c>
      <c r="F8" s="24">
        <v>0</v>
      </c>
      <c r="G8" s="37">
        <v>2234.57</v>
      </c>
      <c r="H8" s="132"/>
      <c r="I8" s="132"/>
      <c r="J8" s="133"/>
      <c r="K8" s="132"/>
      <c r="L8" s="132"/>
      <c r="M8" s="169"/>
      <c r="N8" s="139"/>
      <c r="O8" s="169"/>
    </row>
    <row r="9" spans="1:15" ht="15">
      <c r="A9" s="5">
        <v>5</v>
      </c>
      <c r="B9" s="5" t="s">
        <v>29</v>
      </c>
      <c r="C9" s="23">
        <f>' Д- объем дотации'!B$10</f>
        <v>20107</v>
      </c>
      <c r="D9" s="72">
        <f>'Расчет Тн'!J7</f>
        <v>1576.8327920152367</v>
      </c>
      <c r="E9" s="24">
        <f>D15</f>
        <v>20107.000000000004</v>
      </c>
      <c r="F9" s="24">
        <v>0</v>
      </c>
      <c r="G9" s="37">
        <v>2567.03</v>
      </c>
      <c r="H9" s="132"/>
      <c r="I9" s="132"/>
      <c r="J9" s="133"/>
      <c r="K9" s="132"/>
      <c r="L9" s="132"/>
      <c r="M9" s="170"/>
      <c r="N9" s="139"/>
      <c r="O9" s="169"/>
    </row>
    <row r="10" spans="1:15" ht="16.5" customHeight="1">
      <c r="A10" s="5">
        <v>6</v>
      </c>
      <c r="B10" s="5" t="s">
        <v>30</v>
      </c>
      <c r="C10" s="23">
        <f>' Д- объем дотации'!B$10</f>
        <v>20107</v>
      </c>
      <c r="D10" s="72">
        <f>'Расчет Тн'!J8</f>
        <v>1112.3948222534975</v>
      </c>
      <c r="E10" s="24">
        <f>D15</f>
        <v>20107.000000000004</v>
      </c>
      <c r="F10" s="24">
        <v>0</v>
      </c>
      <c r="G10" s="37">
        <v>1838.19</v>
      </c>
      <c r="H10" s="132"/>
      <c r="I10" s="132"/>
      <c r="J10" s="133"/>
      <c r="K10" s="132"/>
      <c r="L10" s="132"/>
      <c r="M10" s="170"/>
      <c r="N10" s="139"/>
      <c r="O10" s="169"/>
    </row>
    <row r="11" spans="1:15" ht="15">
      <c r="A11" s="33">
        <v>7</v>
      </c>
      <c r="B11" s="73" t="s">
        <v>95</v>
      </c>
      <c r="C11" s="31">
        <f>' Д- объем дотации'!B$10</f>
        <v>20107</v>
      </c>
      <c r="D11" s="37">
        <f>'Расчет Тн'!J9</f>
        <v>880.7417003894669</v>
      </c>
      <c r="E11" s="39">
        <f>D15</f>
        <v>20107.000000000004</v>
      </c>
      <c r="F11" s="39">
        <v>0</v>
      </c>
      <c r="G11" s="37">
        <v>1106.12</v>
      </c>
      <c r="H11" s="132"/>
      <c r="I11" s="132"/>
      <c r="J11" s="133"/>
      <c r="K11" s="132"/>
      <c r="L11" s="132"/>
      <c r="M11" s="169"/>
      <c r="N11" s="139"/>
      <c r="O11" s="169"/>
    </row>
    <row r="12" spans="1:15" ht="15">
      <c r="A12" s="5">
        <v>8</v>
      </c>
      <c r="B12" s="5" t="s">
        <v>31</v>
      </c>
      <c r="C12" s="23">
        <f>' Д- объем дотации'!B$10</f>
        <v>20107</v>
      </c>
      <c r="D12" s="72">
        <f>'Расчет Тн'!J10</f>
        <v>1737.7377923713311</v>
      </c>
      <c r="E12" s="24">
        <f>D15</f>
        <v>20107.000000000004</v>
      </c>
      <c r="F12" s="24">
        <v>0</v>
      </c>
      <c r="G12" s="37">
        <v>2178.9</v>
      </c>
      <c r="H12" s="132"/>
      <c r="I12" s="132"/>
      <c r="J12" s="133"/>
      <c r="K12" s="132"/>
      <c r="L12" s="132"/>
      <c r="M12" s="169"/>
      <c r="N12" s="139"/>
      <c r="O12" s="169"/>
    </row>
    <row r="13" spans="1:15" ht="15">
      <c r="A13" s="5">
        <v>9</v>
      </c>
      <c r="B13" s="5" t="s">
        <v>32</v>
      </c>
      <c r="C13" s="23">
        <f>' Д- объем дотации'!B$10</f>
        <v>20107</v>
      </c>
      <c r="D13" s="72">
        <f>'Расчет Тн'!J11</f>
        <v>1436.4985198831678</v>
      </c>
      <c r="E13" s="24">
        <f>D15</f>
        <v>20107.000000000004</v>
      </c>
      <c r="F13" s="24">
        <v>0</v>
      </c>
      <c r="G13" s="37">
        <v>3253.87</v>
      </c>
      <c r="H13" s="132"/>
      <c r="I13" s="132"/>
      <c r="J13" s="133"/>
      <c r="K13" s="132"/>
      <c r="L13" s="132"/>
      <c r="M13" s="170"/>
      <c r="N13" s="139"/>
      <c r="O13" s="169"/>
    </row>
    <row r="14" spans="1:15" ht="15">
      <c r="A14" s="5">
        <v>10</v>
      </c>
      <c r="B14" s="5" t="s">
        <v>33</v>
      </c>
      <c r="C14" s="23">
        <f>' Д- объем дотации'!B$10</f>
        <v>20107</v>
      </c>
      <c r="D14" s="72">
        <f>'Расчет Тн'!J12</f>
        <v>2145.6585755168126</v>
      </c>
      <c r="E14" s="24">
        <f>D15</f>
        <v>20107.000000000004</v>
      </c>
      <c r="F14" s="24">
        <v>0</v>
      </c>
      <c r="G14" s="37">
        <v>2957.47</v>
      </c>
      <c r="H14" s="132"/>
      <c r="I14" s="132"/>
      <c r="J14" s="133"/>
      <c r="K14" s="132"/>
      <c r="L14" s="132"/>
      <c r="M14" s="170"/>
      <c r="N14" s="139"/>
      <c r="O14" s="169"/>
    </row>
    <row r="15" spans="1:15" ht="15">
      <c r="A15" s="2"/>
      <c r="B15" s="2"/>
      <c r="C15" s="2"/>
      <c r="D15" s="25">
        <f>SUM(D5:D14)</f>
        <v>20107.000000000004</v>
      </c>
      <c r="E15" s="2"/>
      <c r="F15" s="2"/>
      <c r="G15" s="19">
        <f>SUM(G5:G14)</f>
        <v>25963.5</v>
      </c>
      <c r="H15" s="132"/>
      <c r="I15" s="171"/>
      <c r="J15" s="133"/>
      <c r="K15" s="132"/>
      <c r="L15" s="132"/>
      <c r="M15" s="169"/>
      <c r="N15" s="139"/>
      <c r="O15" s="139"/>
    </row>
    <row r="16" spans="3:15" ht="15">
      <c r="C16" s="187"/>
      <c r="D16" s="187"/>
      <c r="E16" s="187"/>
      <c r="F16" s="187"/>
      <c r="G16" s="187"/>
      <c r="H16" s="139"/>
      <c r="I16" s="169"/>
      <c r="J16" s="169"/>
      <c r="K16" s="139"/>
      <c r="L16" s="139"/>
      <c r="M16" s="139"/>
      <c r="N16" s="139"/>
      <c r="O16" s="139"/>
    </row>
    <row r="17" spans="2:10" ht="15" customHeight="1">
      <c r="B17" s="199"/>
      <c r="C17" s="199"/>
      <c r="D17" s="199"/>
      <c r="E17" s="199"/>
      <c r="F17" s="199"/>
      <c r="G17" s="199"/>
      <c r="J17" s="32"/>
    </row>
    <row r="18" spans="2:8" ht="15">
      <c r="B18" s="165"/>
      <c r="C18" s="11"/>
      <c r="D18" s="11"/>
      <c r="E18" s="11"/>
      <c r="F18" s="172"/>
      <c r="G18" s="173"/>
      <c r="H18" s="124"/>
    </row>
    <row r="19" spans="2:7" ht="15">
      <c r="B19" s="174"/>
      <c r="C19" s="175"/>
      <c r="D19" s="175"/>
      <c r="E19" s="175"/>
      <c r="F19" s="175"/>
      <c r="G19" s="176"/>
    </row>
    <row r="20" spans="2:7" ht="15">
      <c r="B20" s="11"/>
      <c r="C20" s="139"/>
      <c r="D20" s="139"/>
      <c r="E20" s="139"/>
      <c r="F20" s="173"/>
      <c r="G20" s="177"/>
    </row>
    <row r="21" spans="2:7" ht="15">
      <c r="B21" s="11"/>
      <c r="C21" s="139"/>
      <c r="D21" s="139"/>
      <c r="E21" s="139"/>
      <c r="F21" s="173"/>
      <c r="G21" s="177"/>
    </row>
    <row r="22" spans="2:7" ht="15">
      <c r="B22" s="11"/>
      <c r="C22" s="139"/>
      <c r="D22" s="139"/>
      <c r="E22" s="139"/>
      <c r="F22" s="173"/>
      <c r="G22" s="177"/>
    </row>
    <row r="23" spans="2:7" ht="15">
      <c r="B23" s="11"/>
      <c r="C23" s="139"/>
      <c r="D23" s="139"/>
      <c r="E23" s="139"/>
      <c r="F23" s="173"/>
      <c r="G23" s="177"/>
    </row>
    <row r="24" spans="2:7" ht="15">
      <c r="B24" s="11"/>
      <c r="C24" s="139"/>
      <c r="D24" s="139"/>
      <c r="E24" s="139"/>
      <c r="F24" s="173"/>
      <c r="G24" s="177"/>
    </row>
    <row r="25" spans="2:7" ht="18" customHeight="1">
      <c r="B25" s="11"/>
      <c r="C25" s="139"/>
      <c r="D25" s="139"/>
      <c r="E25" s="139"/>
      <c r="F25" s="173"/>
      <c r="G25" s="177"/>
    </row>
    <row r="26" spans="2:7" ht="15">
      <c r="B26" s="166"/>
      <c r="C26" s="56"/>
      <c r="D26" s="56"/>
      <c r="E26" s="56"/>
      <c r="F26" s="178"/>
      <c r="G26" s="179"/>
    </row>
    <row r="27" spans="2:7" ht="15">
      <c r="B27" s="11"/>
      <c r="C27" s="139"/>
      <c r="D27" s="139"/>
      <c r="E27" s="139"/>
      <c r="F27" s="173"/>
      <c r="G27" s="177"/>
    </row>
    <row r="28" spans="2:7" ht="15">
      <c r="B28" s="11"/>
      <c r="C28" s="139"/>
      <c r="D28" s="139"/>
      <c r="E28" s="139"/>
      <c r="F28" s="173"/>
      <c r="G28" s="177"/>
    </row>
    <row r="29" spans="2:7" ht="15">
      <c r="B29" s="11"/>
      <c r="C29" s="139"/>
      <c r="D29" s="139"/>
      <c r="E29" s="139"/>
      <c r="F29" s="173"/>
      <c r="G29" s="177"/>
    </row>
    <row r="30" spans="2:7" ht="15">
      <c r="B30" s="139"/>
      <c r="C30" s="139"/>
      <c r="D30" s="139"/>
      <c r="E30" s="139"/>
      <c r="F30" s="139"/>
      <c r="G30" s="139"/>
    </row>
    <row r="31" spans="2:7" ht="15">
      <c r="B31" s="139"/>
      <c r="C31" s="139"/>
      <c r="D31" s="139"/>
      <c r="E31" s="139"/>
      <c r="F31" s="139"/>
      <c r="G31" s="139"/>
    </row>
  </sheetData>
  <sheetProtection/>
  <mergeCells count="4">
    <mergeCell ref="B17:G17"/>
    <mergeCell ref="H2:O2"/>
    <mergeCell ref="C16:G16"/>
    <mergeCell ref="B1:G1"/>
  </mergeCells>
  <printOptions/>
  <pageMargins left="0.984251968503937" right="0" top="0.7480314960629921" bottom="0.7480314960629921" header="0.11811023622047245" footer="0.118110236220472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zoomScalePageLayoutView="0" workbookViewId="0" topLeftCell="A1">
      <selection activeCell="D10" sqref="D10"/>
    </sheetView>
  </sheetViews>
  <sheetFormatPr defaultColWidth="9.140625" defaultRowHeight="15"/>
  <cols>
    <col min="2" max="2" width="27.28125" style="0" customWidth="1"/>
    <col min="3" max="3" width="16.421875" style="0" customWidth="1"/>
    <col min="4" max="4" width="12.140625" style="0" customWidth="1"/>
    <col min="5" max="5" width="15.8515625" style="0" customWidth="1"/>
  </cols>
  <sheetData>
    <row r="3" spans="2:8" ht="51" customHeight="1">
      <c r="B3" s="189" t="s">
        <v>98</v>
      </c>
      <c r="C3" s="189"/>
      <c r="D3" s="189"/>
      <c r="E3" s="189"/>
      <c r="F3" s="189"/>
      <c r="G3" s="189"/>
      <c r="H3" s="189"/>
    </row>
    <row r="5" spans="1:5" ht="77.25">
      <c r="A5" s="20" t="s">
        <v>47</v>
      </c>
      <c r="B5" s="1" t="s">
        <v>1</v>
      </c>
      <c r="C5" s="76" t="s">
        <v>100</v>
      </c>
      <c r="D5" s="76" t="s">
        <v>104</v>
      </c>
      <c r="E5" s="76" t="s">
        <v>105</v>
      </c>
    </row>
    <row r="6" spans="1:5" ht="15">
      <c r="A6" s="78">
        <v>1</v>
      </c>
      <c r="B6" s="77">
        <v>2</v>
      </c>
      <c r="C6" s="78">
        <v>3</v>
      </c>
      <c r="D6" s="78">
        <v>4</v>
      </c>
      <c r="E6" s="78">
        <v>5</v>
      </c>
    </row>
    <row r="7" spans="1:5" ht="15">
      <c r="A7" s="20">
        <v>1</v>
      </c>
      <c r="B7" s="5" t="s">
        <v>25</v>
      </c>
      <c r="C7" s="20">
        <v>1933.1</v>
      </c>
      <c r="D7" s="20">
        <v>1933.1</v>
      </c>
      <c r="E7" s="20">
        <v>1933.1</v>
      </c>
    </row>
    <row r="8" spans="1:5" ht="15">
      <c r="A8" s="20">
        <v>2</v>
      </c>
      <c r="B8" s="5" t="s">
        <v>26</v>
      </c>
      <c r="C8" s="20">
        <v>912.4</v>
      </c>
      <c r="D8" s="20">
        <v>912.4</v>
      </c>
      <c r="E8" s="20">
        <v>912.4</v>
      </c>
    </row>
    <row r="9" spans="1:5" ht="15">
      <c r="A9" s="20">
        <v>3</v>
      </c>
      <c r="B9" s="5" t="s">
        <v>27</v>
      </c>
      <c r="C9" s="20">
        <v>682.9</v>
      </c>
      <c r="D9" s="20">
        <v>682.9</v>
      </c>
      <c r="E9" s="20">
        <v>682.9</v>
      </c>
    </row>
    <row r="10" spans="1:5" ht="15">
      <c r="A10" s="20">
        <v>4</v>
      </c>
      <c r="B10" s="5" t="s">
        <v>28</v>
      </c>
      <c r="C10" s="122">
        <v>311</v>
      </c>
      <c r="D10" s="122">
        <v>311</v>
      </c>
      <c r="E10" s="122">
        <v>311</v>
      </c>
    </row>
    <row r="11" spans="1:5" ht="15">
      <c r="A11" s="20">
        <v>5</v>
      </c>
      <c r="B11" s="5" t="s">
        <v>29</v>
      </c>
      <c r="C11" s="20">
        <v>443.4</v>
      </c>
      <c r="D11" s="20">
        <v>443.4</v>
      </c>
      <c r="E11" s="20">
        <v>443.4</v>
      </c>
    </row>
    <row r="12" spans="1:5" ht="15">
      <c r="A12" s="20">
        <v>6</v>
      </c>
      <c r="B12" s="5" t="s">
        <v>30</v>
      </c>
      <c r="C12" s="20">
        <v>351.3</v>
      </c>
      <c r="D12" s="20">
        <v>351.3</v>
      </c>
      <c r="E12" s="20">
        <v>351.3</v>
      </c>
    </row>
    <row r="13" spans="1:5" ht="15">
      <c r="A13" s="20">
        <v>7</v>
      </c>
      <c r="B13" s="73" t="s">
        <v>95</v>
      </c>
      <c r="C13" s="49">
        <v>0</v>
      </c>
      <c r="D13" s="49">
        <v>0</v>
      </c>
      <c r="E13" s="49">
        <v>0</v>
      </c>
    </row>
    <row r="14" spans="1:5" ht="15">
      <c r="A14" s="20">
        <v>8</v>
      </c>
      <c r="B14" s="5" t="s">
        <v>31</v>
      </c>
      <c r="C14" s="20">
        <v>542.4</v>
      </c>
      <c r="D14" s="20">
        <v>542.4</v>
      </c>
      <c r="E14" s="20">
        <v>542.4</v>
      </c>
    </row>
    <row r="15" spans="1:5" ht="15">
      <c r="A15" s="20">
        <v>9</v>
      </c>
      <c r="B15" s="5" t="s">
        <v>32</v>
      </c>
      <c r="C15" s="20">
        <v>41.4</v>
      </c>
      <c r="D15" s="20">
        <v>41.4</v>
      </c>
      <c r="E15" s="20">
        <v>41.4</v>
      </c>
    </row>
    <row r="16" spans="1:5" ht="15">
      <c r="A16" s="20">
        <v>10</v>
      </c>
      <c r="B16" s="5" t="s">
        <v>33</v>
      </c>
      <c r="C16" s="20">
        <v>638.6</v>
      </c>
      <c r="D16" s="20">
        <v>638.6</v>
      </c>
      <c r="E16" s="20">
        <v>638.6</v>
      </c>
    </row>
    <row r="17" spans="1:5" ht="15">
      <c r="A17" s="20"/>
      <c r="B17" s="47" t="s">
        <v>46</v>
      </c>
      <c r="C17" s="20">
        <f>SUM(C7:C16)</f>
        <v>5856.5</v>
      </c>
      <c r="D17" s="20">
        <f>SUM(D7:D16)</f>
        <v>5856.5</v>
      </c>
      <c r="E17" s="20">
        <f>SUM(E7:E16)</f>
        <v>5856.5</v>
      </c>
    </row>
  </sheetData>
  <sheetProtection/>
  <mergeCells count="1">
    <mergeCell ref="B3:H3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2018-11-13T11:58:11Z</dcterms:modified>
  <cp:category/>
  <cp:version/>
  <cp:contentType/>
  <cp:contentStatus/>
</cp:coreProperties>
</file>