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 2 (2012)" sheetId="1" r:id="rId1"/>
    <sheet name="прил 3 (2012 " sheetId="2" r:id="rId2"/>
  </sheets>
  <externalReferences>
    <externalReference r:id="rId5"/>
  </externalReferences>
  <definedNames>
    <definedName name="_xlnm.Print_Titles" localSheetId="0">'Прил 2 (2012)'!$8:$8</definedName>
    <definedName name="_xlnm.Print_Titles" localSheetId="1">'прил 3 (2012 '!$10:$10</definedName>
    <definedName name="_xlnm.Print_Area" localSheetId="0">'Прил 2 (2012)'!$A$2:$F$63</definedName>
    <definedName name="_xlnm.Print_Area" localSheetId="1">'прил 3 (2012 '!$A$2:$N$596</definedName>
  </definedNames>
  <calcPr fullCalcOnLoad="1"/>
</workbook>
</file>

<file path=xl/sharedStrings.xml><?xml version="1.0" encoding="utf-8"?>
<sst xmlns="http://schemas.openxmlformats.org/spreadsheetml/2006/main" count="3323" uniqueCount="555">
  <si>
    <t>092</t>
  </si>
  <si>
    <t>проект</t>
  </si>
  <si>
    <t>расходов бюджета муниципального образования  "Онгудайский район" на 2012 год                                           по разделам и подразделам   классификации расходов бюджетов Российской Федерации</t>
  </si>
  <si>
    <t>Наименование разделов и подразделов</t>
  </si>
  <si>
    <t>Сумма на утверждение 2012 г.</t>
  </si>
  <si>
    <t>Общегосударственные вопросы</t>
  </si>
  <si>
    <t>0100</t>
  </si>
  <si>
    <t>01</t>
  </si>
  <si>
    <t>02</t>
  </si>
  <si>
    <t>03</t>
  </si>
  <si>
    <t>04</t>
  </si>
  <si>
    <t>Судебная система</t>
  </si>
  <si>
    <t>05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</si>
  <si>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</si>
  <si>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</si>
  <si>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</si>
  <si>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</si>
  <si>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</si>
  <si>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</si>
  <si>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13</t>
  </si>
  <si>
    <t>Другие общегосударственные вопросы</t>
  </si>
  <si>
    <t>14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</si>
  <si>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</si>
  <si>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</si>
  <si>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</si>
  <si>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</si>
  <si>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</si>
  <si>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</si>
  <si>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</si>
  <si>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</si>
  <si>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</si>
  <si>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</si>
  <si>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</si>
  <si>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</si>
  <si>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</si>
  <si>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08</t>
  </si>
  <si>
    <t>Другие вопросы в области национальной экономики</t>
  </si>
  <si>
    <t>Жилищно- 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</si>
  <si>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</si>
  <si>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</si>
  <si>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</si>
  <si>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</si>
  <si>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Образование</t>
  </si>
  <si>
    <t>0700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</si>
  <si>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</si>
  <si>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</si>
  <si>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</si>
  <si>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</si>
  <si>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</si>
  <si>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</si>
  <si>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>0800</t>
  </si>
  <si>
    <t>Культура</t>
  </si>
  <si>
    <t>Периодическая печать и издательства</t>
  </si>
  <si>
    <t xml:space="preserve">Другие вопросы в области культуры, кинематографии 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</si>
  <si>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</si>
  <si>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</si>
  <si>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</si>
  <si>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</si>
  <si>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</si>
  <si>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</si>
  <si>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</si>
  <si>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</si>
  <si>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10</t>
  </si>
  <si>
    <t>Социальная политика</t>
  </si>
  <si>
    <t>1000</t>
  </si>
  <si>
    <t>Пенсионное обеспечение</t>
  </si>
  <si>
    <t>Социальное обслуживание населения</t>
  </si>
  <si>
    <t>Социальное обеспечение население</t>
  </si>
  <si>
    <t>Охрана семьи  и детства</t>
  </si>
  <si>
    <t>Другие вопросы в области социальной политики</t>
  </si>
  <si>
    <t>1100</t>
  </si>
  <si>
    <t>Физическая культура</t>
  </si>
  <si>
    <t>Средства массовой информации</t>
  </si>
  <si>
    <t>1200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</si>
  <si>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</si>
  <si>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</si>
  <si>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</si>
  <si>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</si>
  <si>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</si>
  <si>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</si>
  <si>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</si>
  <si>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ВСЕГО РАСХОДОВ</t>
  </si>
  <si>
    <t xml:space="preserve">Наименование </t>
  </si>
  <si>
    <t>КОДЫ</t>
  </si>
  <si>
    <t>Изменения и дополнения   (тыс.руб)</t>
  </si>
  <si>
    <t>Сумма на 2009 год (тыс.руб.)</t>
  </si>
  <si>
    <t>Сумма на утверждение  c учетом изменений 2012г (тыс.руб.)</t>
  </si>
  <si>
    <t>Сумма на утверждение   2009г (тыс.руб.)</t>
  </si>
  <si>
    <t>Функциональной классификации расходов</t>
  </si>
  <si>
    <t>Раздел</t>
  </si>
  <si>
    <t>Подраздел</t>
  </si>
  <si>
    <t>Целевая статья**</t>
  </si>
  <si>
    <t>Вид расхода**</t>
  </si>
  <si>
    <t>А</t>
  </si>
  <si>
    <t>055</t>
  </si>
  <si>
    <t xml:space="preserve">Образование </t>
  </si>
  <si>
    <t>Учебные заведения и курсы по переподготовке кадров</t>
  </si>
  <si>
    <t>4290000</t>
  </si>
  <si>
    <t>Переподготовка и повышение квалификации кадров</t>
  </si>
  <si>
    <t>4297800</t>
  </si>
  <si>
    <t>Выполнение функций государственными органами</t>
  </si>
  <si>
    <t>500</t>
  </si>
  <si>
    <t>Выполнение функций органами местного самоуправления</t>
  </si>
  <si>
    <t>Здравоохранение</t>
  </si>
  <si>
    <t>Выполнение функций  бюджетными учреждениями</t>
  </si>
  <si>
    <t>001</t>
  </si>
  <si>
    <t>Обеспечение деятельности подведомственных учреждений</t>
  </si>
  <si>
    <t>Выполнение функций бюджетными учреждениями, за счет средств от предпринимательской и иной приносящей доход деятельности</t>
  </si>
  <si>
    <t>Выполнение функций бюджетными учреждениями</t>
  </si>
  <si>
    <t>Иные безвозмездные и безвозвратные перечисления</t>
  </si>
  <si>
    <t>5200000</t>
  </si>
  <si>
    <t>Учебно- методические кабинеты, централизованные бухгалтерии, группы хозяйственного обслуживания</t>
  </si>
  <si>
    <t>4520000</t>
  </si>
  <si>
    <t>4529900</t>
  </si>
  <si>
    <t>МЦП "Вакцинопрофилактика заболеваний, управляемых иммунизацией в МО "Онгудайский район" на 2008-2010г"</t>
  </si>
  <si>
    <t>МЦП "Профилактика и предупреждение распространения туберкулеза в МО "Онгудайский район" на 2009-2011г</t>
  </si>
  <si>
    <t>МЦП "Совершенствование первичной медико-санитарной помощи населению МО "Онгудайский район" на 2009-2011г</t>
  </si>
  <si>
    <t>МЦП "О мерах по предупреждению дальнейшего распространения заболеваний, передающихся преимущественно половым путем в МО "Онгудайский район" на 2009-2011г"</t>
  </si>
  <si>
    <t>МЦП "Скорая медицинская помощь в МО "Онгудайский район" на 2009-2011г"</t>
  </si>
  <si>
    <t>Отдел образования Онгудайского района</t>
  </si>
  <si>
    <t>074</t>
  </si>
  <si>
    <t>Осуществление государственных полномочий в сфере организации деятельности комиссий по делам несовершеннолетних и защите их прав</t>
  </si>
  <si>
    <t>0016200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</si>
  <si>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</si>
  <si>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</si>
  <si>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Центральный аппарат</t>
  </si>
  <si>
    <t>0020400</t>
  </si>
  <si>
    <t>Детские дошкольные учреждения</t>
  </si>
  <si>
    <t>4200000</t>
  </si>
  <si>
    <t>4209900</t>
  </si>
  <si>
    <t>Выпонение функций бюджетными учреждениями</t>
  </si>
  <si>
    <t>Школы- детские сады, школы начальные, неполные средние и средние</t>
  </si>
  <si>
    <t>4210000</t>
  </si>
  <si>
    <t>4219900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</si>
  <si>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</si>
  <si>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</si>
  <si>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4219901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</si>
  <si>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</t>
  </si>
  <si>
    <t>4219904</t>
  </si>
  <si>
    <t>4210001</t>
  </si>
  <si>
    <t>Субсидии на предоставление ежемесячной надбавки к зарплате молодым специалистам в муниципальных образовательных учреждениях</t>
  </si>
  <si>
    <t>4219905</t>
  </si>
  <si>
    <t>4219902</t>
  </si>
  <si>
    <t>612</t>
  </si>
  <si>
    <t>4219903</t>
  </si>
  <si>
    <t>Обеспечение питанием учащихся из малообеспеченных семей в муниципальных образовательных учреждениях</t>
  </si>
  <si>
    <t>4219906</t>
  </si>
  <si>
    <t>Учреждения по внешкольной работе с детьми</t>
  </si>
  <si>
    <t>4230000</t>
  </si>
  <si>
    <t>4239900</t>
  </si>
  <si>
    <t>Реализация РЦП "Развитие образования в Республике Алтай на 2010-2012годы"</t>
  </si>
  <si>
    <t>5221600</t>
  </si>
  <si>
    <t xml:space="preserve">Переподготовка и повышение квалификации </t>
  </si>
  <si>
    <t>Мероприятия по организации оздоровительной кампании детей и подростков</t>
  </si>
  <si>
    <t>4320000</t>
  </si>
  <si>
    <t>4320200</t>
  </si>
  <si>
    <t xml:space="preserve">Прочая закупка товаров, работ и услуг для государственных нужд
</t>
  </si>
  <si>
    <t>4320202</t>
  </si>
  <si>
    <t>244</t>
  </si>
  <si>
    <t>4320201</t>
  </si>
  <si>
    <t>4320203</t>
  </si>
  <si>
    <t>012</t>
  </si>
  <si>
    <t xml:space="preserve">Фонд оплаты труда и страховые взносы
</t>
  </si>
  <si>
    <t>121</t>
  </si>
  <si>
    <t>4365300</t>
  </si>
  <si>
    <t xml:space="preserve">Иные выплаты персоналу, за исключением фонда оплаты труда
</t>
  </si>
  <si>
    <t>122</t>
  </si>
  <si>
    <t>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комбинаты, логопедические пункты</t>
  </si>
  <si>
    <t>МЦП "Обеспечение санитарно-эпидемиологического благополучия школ Онгудайского района на 2009-2011 годы"</t>
  </si>
  <si>
    <t xml:space="preserve">Закупка товаров, работ, услуг в сфере информационно-коммуникационных технологий
</t>
  </si>
  <si>
    <t>242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</si>
  <si>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</si>
  <si>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</si>
  <si>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</si>
  <si>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</si>
  <si>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7952018</t>
  </si>
  <si>
    <t>Субсидии бюджетным учреждениям на иные цели</t>
  </si>
  <si>
    <t>Социальное обеспечение населения</t>
  </si>
  <si>
    <t>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</si>
  <si>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</si>
  <si>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Социальные выплаты</t>
  </si>
  <si>
    <t>005</t>
  </si>
  <si>
    <t>5053601</t>
  </si>
  <si>
    <t>Охрана семьи и детства</t>
  </si>
  <si>
    <t>5052102</t>
  </si>
  <si>
    <t>Меры социальной  поддержки населения по публичным нормативным обязательствам</t>
  </si>
  <si>
    <t>314</t>
  </si>
  <si>
    <t>Осуществление полномочий по проведению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 без попечения родителей</t>
  </si>
  <si>
    <t>505 36 02</t>
  </si>
  <si>
    <t>Компенсация части родительской платы за содержание  ребеннка в гос и мун.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</si>
  <si>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</si>
  <si>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Пособия и компенсации гражданам и иные социальные выплаты, кроме публичных нормативных обязательств
</t>
  </si>
  <si>
    <t>321</t>
  </si>
  <si>
    <t>Содержание ребенка в семье опекуна и приемной семье, а также оплпта труда приемного родителя</t>
  </si>
  <si>
    <t>5201300</t>
  </si>
  <si>
    <t>Содержание ребенка в семье опекуна и приемной семье, а также оплата труда приемного  родителя</t>
  </si>
  <si>
    <t>5201301</t>
  </si>
  <si>
    <t>Пособия и компенсации по публичным нормативным обязательствам</t>
  </si>
  <si>
    <t>313</t>
  </si>
  <si>
    <t>Управление по экономике и финансам Онгудайского района</t>
  </si>
  <si>
    <t>Ощегосударственные вопросы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</si>
  <si>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</si>
  <si>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Осуществление государственных полномочий по лицензированию розничной продажи алкогольной продукции</t>
  </si>
  <si>
    <t>0016500</t>
  </si>
  <si>
    <t>Обеспечение деятельности  финансовых, налоговых и таможенных  органов и органов финансового надзора</t>
  </si>
  <si>
    <t>Руководство и управление в сфере установленных функций органов государственной власти  субъектов РФ и органов местного  самоуправления</t>
  </si>
  <si>
    <t>Выполнение функций  государственными органами</t>
  </si>
  <si>
    <t>Процентные платежи по долговым обязательствам</t>
  </si>
  <si>
    <t>Процентные платежи по муниципальному долгу</t>
  </si>
  <si>
    <t>Прочие расходы</t>
  </si>
  <si>
    <t>013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</si>
  <si>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</si>
  <si>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</si>
  <si>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</si>
  <si>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</si>
  <si>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</si>
  <si>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</si>
  <si>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001 66 00</t>
  </si>
  <si>
    <t>Субвенции</t>
  </si>
  <si>
    <t>00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</si>
  <si>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</si>
  <si>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</si>
  <si>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</si>
  <si>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коменсаций</t>
  </si>
  <si>
    <t>009</t>
  </si>
  <si>
    <t>530</t>
  </si>
  <si>
    <t>МЦП «Профилактика правонарушений на территории Онгудайского района на 2010-2012 г.г»</t>
  </si>
  <si>
    <t>7950001</t>
  </si>
  <si>
    <t>МЦП «Повышение безопасности дорожного движения в Онгудайском районе на 2010-2012г</t>
  </si>
  <si>
    <t>7952006</t>
  </si>
  <si>
    <t>Субсидии юридическим лицам</t>
  </si>
  <si>
    <t>006</t>
  </si>
  <si>
    <t>3450101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</si>
  <si>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</si>
  <si>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</si>
  <si>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МЦП  «Развитие малого предпринимательства  и туризма в Онгудайском районе на 2010-2012г</t>
  </si>
  <si>
    <t>7950002</t>
  </si>
  <si>
    <t>Жилищно-коммунальное хозяйство</t>
  </si>
  <si>
    <t>Обеспечение мероприятий по капит.ремонту многоквартирных домов и переселению граждан из аварийного жилищного фонда за счет средств бюджетов</t>
  </si>
  <si>
    <t>Субсидии юридическим лицам на финансовое обеспечение мероприятий по проведению капитального ремонта многоквартирных домов</t>
  </si>
  <si>
    <t>Переподготовка и повышение квалификации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</si>
  <si>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</si>
  <si>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</si>
  <si>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>5160110</t>
  </si>
  <si>
    <t>008</t>
  </si>
  <si>
    <t>5160130</t>
  </si>
  <si>
    <t>0650000</t>
  </si>
  <si>
    <t>0650300</t>
  </si>
  <si>
    <t>Обслуживание государственного долга субъекта Российской Федерации</t>
  </si>
  <si>
    <t>720</t>
  </si>
  <si>
    <t>Межбюджетные трансферты бюджетам субъектов РФ и муниципальных образований общего характера</t>
  </si>
  <si>
    <t xml:space="preserve">Дотации на выравнивание бюджетной обеспеченности субъектов РФ и муниципальных образований </t>
  </si>
  <si>
    <t>Выравнивание бюджетной обеспеченности</t>
  </si>
  <si>
    <t>5160100</t>
  </si>
  <si>
    <t xml:space="preserve">Выравнивание бюджетной обеспеченности поселений из регионального фонда финансовой поддержки </t>
  </si>
  <si>
    <t>Фонд финансовой помощи</t>
  </si>
  <si>
    <t>Дотация на выравнивание бюджетной обеспеченности муниципальных образований</t>
  </si>
  <si>
    <t>511</t>
  </si>
  <si>
    <t xml:space="preserve">Выравнивание бюджетной обеспеченности поселений из районного фонда финансовой поддержки </t>
  </si>
  <si>
    <t>Доплаты к пенсиям государственных служащих субъектов Российской Федерации и муниципальных служащих</t>
  </si>
  <si>
    <t>4910100</t>
  </si>
  <si>
    <t>5089900</t>
  </si>
  <si>
    <t>Социальная помощь</t>
  </si>
  <si>
    <t>5050000</t>
  </si>
  <si>
    <t>5053402</t>
  </si>
  <si>
    <t>Оказание других видов социальной помощи</t>
  </si>
  <si>
    <t>5058500</t>
  </si>
  <si>
    <t>Руководство и управление в сфере установленных функций</t>
  </si>
  <si>
    <t>Целевые программы муниципальных образований</t>
  </si>
  <si>
    <t>7950000</t>
  </si>
  <si>
    <t xml:space="preserve">Районная подпрограмма «Социальная поддержка населения МО "Онгудайский район" </t>
  </si>
  <si>
    <t>7952009</t>
  </si>
  <si>
    <t>МЦП "Улучшения условий и охраны труда в МО "Онгудайский район на 2011-2013г.г."</t>
  </si>
  <si>
    <t>7952011</t>
  </si>
  <si>
    <t>ОВД   по Онгудайскому району</t>
  </si>
  <si>
    <t>188</t>
  </si>
  <si>
    <t>МЦП "Профилактика правонарушений в муниципальном образорвании "Онгудайский район" на 2006-2009 г.г.""</t>
  </si>
  <si>
    <t>Целевая программа "Повышение безопасности дорожного движения в Онгудайском районе на 2007-2009 годы"</t>
  </si>
  <si>
    <t>Администрация Онгудайского района (аймака)</t>
  </si>
  <si>
    <t>800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</si>
  <si>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</si>
  <si>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</si>
  <si>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0020300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</si>
  <si>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</si>
  <si>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Председатель представительного органа муниципального образования</t>
  </si>
  <si>
    <t>0021100</t>
  </si>
  <si>
    <t>Осуществление государственных полномочий по вопросам административного законодательства</t>
  </si>
  <si>
    <t>0016000</t>
  </si>
  <si>
    <t xml:space="preserve">Уплата налога на имущество организаций и земельного налога
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</si>
  <si>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</si>
  <si>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0014000</t>
  </si>
  <si>
    <t>Обеспечение  проведения  выборов  и референдумов</t>
  </si>
  <si>
    <t>Проведение  выборов  и референдумов</t>
  </si>
  <si>
    <t>0200000</t>
  </si>
  <si>
    <t>Проведение выборов главы муниципального образования</t>
  </si>
  <si>
    <t>0200003</t>
  </si>
  <si>
    <t>Осуществление государственных полномочий в области архивного дела</t>
  </si>
  <si>
    <t>0016100</t>
  </si>
  <si>
    <t>Дворцы и дома культуры, другие учреждения культуры и средств массовой информации</t>
  </si>
  <si>
    <t>4400000</t>
  </si>
  <si>
    <t>4409900</t>
  </si>
  <si>
    <t>МЦП "Энергосбережение в мо "Онгудайский район" на 2010-2015г"</t>
  </si>
  <si>
    <t>7952020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</si>
  <si>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</si>
  <si>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</si>
  <si>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</si>
  <si>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</si>
  <si>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</si>
  <si>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</si>
  <si>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014</t>
  </si>
  <si>
    <t>МЦП "Комплексные  меры по противодействию незаконному обороту и потреблению наркотических средств, психотропных веществ и их прекурсоров в Онгудайском районе на 2011-2014 годы»</t>
  </si>
  <si>
    <t>7952023</t>
  </si>
  <si>
    <t>МЦП "О мерах по противодействию терроризму и экстремизму в мо "Онгудайский район" на 2012-2014 годы"</t>
  </si>
  <si>
    <t>7952027</t>
  </si>
  <si>
    <t>МЦП "Развитие агропромышленного комплекса в Онгудайском районе" на 2011-2014 годы</t>
  </si>
  <si>
    <t>7952005</t>
  </si>
  <si>
    <t>Мероприятия в области сельскохозяйственного производства</t>
  </si>
  <si>
    <t>342</t>
  </si>
  <si>
    <t>Другие вопросы в области  национальной экономики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</si>
  <si>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</si>
  <si>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</si>
  <si>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Бюджетные инвестиции</t>
  </si>
  <si>
    <t>003</t>
  </si>
  <si>
    <t>Мероприятия в области строительства, архитектуры и градостроительства</t>
  </si>
  <si>
    <t>3380000</t>
  </si>
  <si>
    <t>Финансирование ОКС</t>
  </si>
  <si>
    <t>3380001</t>
  </si>
  <si>
    <t xml:space="preserve">Реализация государственных фнукций  в области национальной экономики </t>
  </si>
  <si>
    <t>3400000</t>
  </si>
  <si>
    <t>Мероприятия по землеустройству и землепользованию</t>
  </si>
  <si>
    <t>3400300</t>
  </si>
  <si>
    <t>МЦП «Оснащение многоквартирных домов коллективными (общедомовыми) приборами учета потребления коммунального ресурса на 2011-2013 годы»</t>
  </si>
  <si>
    <t>7952026</t>
  </si>
  <si>
    <t>Бюджетные инвестиции в объекты капитального строительства, не включенные в целевые программы</t>
  </si>
  <si>
    <t>1020000</t>
  </si>
  <si>
    <t>1020100</t>
  </si>
  <si>
    <t>Бюджетные инвестиции в объекты муниципальной собственности бюджетным учреждениям вне рамок гос. оборонного заказа</t>
  </si>
  <si>
    <t>413</t>
  </si>
  <si>
    <t>Мероприятия в области коммунального хозяйства</t>
  </si>
  <si>
    <t>3510500</t>
  </si>
  <si>
    <t>Муниципальные целевые программы</t>
  </si>
  <si>
    <t>МЦП "Обеспечение населения Онгудайского района питьевой водой на 2010-2015г."</t>
  </si>
  <si>
    <t>7952021</t>
  </si>
  <si>
    <t>Благоустрой ство</t>
  </si>
  <si>
    <t>6000000</t>
  </si>
  <si>
    <t>Организация и содержание  мест захоронения</t>
  </si>
  <si>
    <t>6000400</t>
  </si>
  <si>
    <t>Бюджетные инвестиции  в объекты капитального строительства собственности муниципальных образований</t>
  </si>
  <si>
    <t>Региональные целевые программы</t>
  </si>
  <si>
    <t>5220000</t>
  </si>
  <si>
    <t>Субсидии на реализацию РЦП "Развитие агропромышленного комплекса", на 2011-2017г</t>
  </si>
  <si>
    <t>5222702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</si>
  <si>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</si>
  <si>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Субсидии на реализацию РЦП "Демографическое развитие РА на 2010-2015г"</t>
  </si>
  <si>
    <t>5228400</t>
  </si>
  <si>
    <t>Субсидии автономным учреждениям</t>
  </si>
  <si>
    <t>620</t>
  </si>
  <si>
    <t>Выполнение функций  государственными учреждениями</t>
  </si>
  <si>
    <t>МЦП "Патриотическое воспитание граждан в Онгудайском районе  на 2011-2015 годы»"</t>
  </si>
  <si>
    <t>7952025</t>
  </si>
  <si>
    <t>Периодические издания, учрежденные органами законодательной и исполнительной власти</t>
  </si>
  <si>
    <t>4570000</t>
  </si>
  <si>
    <t>Государственная поддержка в сфере культуры, кинематографии и средств массовой информации</t>
  </si>
  <si>
    <t>4578500</t>
  </si>
  <si>
    <t>Другие вопросы в области культуры,кинематографии</t>
  </si>
  <si>
    <t>Учебно-методические кабинеты, центральные бухгалтерии, группы хоз.обслуживания</t>
  </si>
  <si>
    <t>Физкультурно-оздоровительная работа и спортивные мероприятия</t>
  </si>
  <si>
    <t>Пенсии, выплачиваемые организациями сектора государственного управления</t>
  </si>
  <si>
    <t>312</t>
  </si>
  <si>
    <t>7952008</t>
  </si>
  <si>
    <t>Субсидии гражданам на приобретение жилья</t>
  </si>
  <si>
    <t>322</t>
  </si>
  <si>
    <t xml:space="preserve">Отдел культуры, спорта и туризма </t>
  </si>
  <si>
    <t>Фонд оплаты труда и страховые взносы</t>
  </si>
  <si>
    <t>4319900</t>
  </si>
  <si>
    <t>Библиотека</t>
  </si>
  <si>
    <t>4420000</t>
  </si>
  <si>
    <t>4429900</t>
  </si>
  <si>
    <t>Театры, цирки, коцертные и другие организации и исполнительских искусств</t>
  </si>
  <si>
    <t>4430000</t>
  </si>
  <si>
    <t>4439900</t>
  </si>
  <si>
    <t>4439901</t>
  </si>
  <si>
    <t>Комплектование книжных фондов библиотек муниципальных образований</t>
  </si>
  <si>
    <t>4500600</t>
  </si>
  <si>
    <t>Другие вопросы в области культуры, кинематографии</t>
  </si>
  <si>
    <t>5120000</t>
  </si>
  <si>
    <t>5129700</t>
  </si>
  <si>
    <t xml:space="preserve">Физическая культура </t>
  </si>
  <si>
    <t>Мероприятия в области  физической культуры</t>
  </si>
  <si>
    <t xml:space="preserve">Всего </t>
  </si>
  <si>
    <t>0102</t>
  </si>
  <si>
    <t>0103</t>
  </si>
  <si>
    <t>0104</t>
  </si>
  <si>
    <t>0105</t>
  </si>
  <si>
    <t>0106</t>
  </si>
  <si>
    <t>0107</t>
  </si>
  <si>
    <t>0111</t>
  </si>
  <si>
    <t>0112</t>
  </si>
  <si>
    <t>0113</t>
  </si>
  <si>
    <t>0114</t>
  </si>
  <si>
    <t>0203</t>
  </si>
  <si>
    <t>0302</t>
  </si>
  <si>
    <t>0309</t>
  </si>
  <si>
    <t>0314</t>
  </si>
  <si>
    <t>0405</t>
  </si>
  <si>
    <t>0409</t>
  </si>
  <si>
    <t>0411</t>
  </si>
  <si>
    <t>0412</t>
  </si>
  <si>
    <t>0501</t>
  </si>
  <si>
    <t>0502</t>
  </si>
  <si>
    <t>0503</t>
  </si>
  <si>
    <t>0505</t>
  </si>
  <si>
    <t>0701</t>
  </si>
  <si>
    <t>0702</t>
  </si>
  <si>
    <t>0705</t>
  </si>
  <si>
    <t>0707</t>
  </si>
  <si>
    <t>0709</t>
  </si>
  <si>
    <t>0801</t>
  </si>
  <si>
    <t>0804</t>
  </si>
  <si>
    <t>0806</t>
  </si>
  <si>
    <t>0901</t>
  </si>
  <si>
    <t>0902</t>
  </si>
  <si>
    <t>0904</t>
  </si>
  <si>
    <t>,</t>
  </si>
  <si>
    <t>0908</t>
  </si>
  <si>
    <t>0909</t>
  </si>
  <si>
    <t>0910</t>
  </si>
  <si>
    <t>1001</t>
  </si>
  <si>
    <t>1002</t>
  </si>
  <si>
    <t>1003</t>
  </si>
  <si>
    <t>1004</t>
  </si>
  <si>
    <t>1006</t>
  </si>
  <si>
    <t>1101</t>
  </si>
  <si>
    <t>1102</t>
  </si>
  <si>
    <t>1103</t>
  </si>
  <si>
    <t>итог</t>
  </si>
  <si>
    <t xml:space="preserve">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</si>
  <si>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421 00 01</t>
  </si>
  <si>
    <t>Организация и осуществление деятельности органов местного самоуправления по осуществлению полномочий по опеке и попечительству, социальной поддержке детей-сирот, детей, оставшихся без попечения родителей, и лиц из их числа</t>
  </si>
  <si>
    <t>Софинансирование субсидии на кап.,текущий ремонт объектов социо-культ.сферы</t>
  </si>
  <si>
    <t>Проведение  капитального  и текущего  ремонтов  объектов образования</t>
  </si>
  <si>
    <t>Оздоровлени детей за счет средств республиканского бюджета</t>
  </si>
  <si>
    <t>Оздоровлени детей за счет средств местного бюджета</t>
  </si>
  <si>
    <t>Оздоровление детей (федеральные средства)</t>
  </si>
  <si>
    <t>0010000</t>
  </si>
  <si>
    <t>Субсидии бюджетным учрежедниям на иные цели</t>
  </si>
  <si>
    <t xml:space="preserve">Региональные  целевые программы </t>
  </si>
  <si>
    <t>РЦП "Совершенствование организации школьного питания в Республике Алтай на 2012 - 2014 годы"</t>
  </si>
  <si>
    <t>5221000</t>
  </si>
  <si>
    <t>0980201</t>
  </si>
  <si>
    <t>РЦП "Развитие агропромышленного комплекса Республики Алтай на 2011-2017 годы"</t>
  </si>
  <si>
    <t>5222700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</si>
  <si>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</si>
  <si>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5053401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</si>
  <si>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 07.05.2008 года № 714                               "Об обеспечении жильем ветеранов Великой Отечественной войны 1941-1945 годов"</t>
  </si>
  <si>
    <t>РЦП "Культура Республики Алтай на 2011-2016 годы"</t>
  </si>
  <si>
    <t>5228600</t>
  </si>
  <si>
    <t>Районная целевая программа "Реализация молодежной политики в Онгудайской районе на 2010-2013г"</t>
  </si>
  <si>
    <t>Культура и кинематография</t>
  </si>
  <si>
    <t>Функционирование высшего должностного лица муниципального образования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</si>
  <si>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</si>
  <si>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</si>
  <si>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Обеспечение деятельности финансовых,органов финансового (финансово-бюджетного) надзора</t>
  </si>
  <si>
    <t>МЦП "Медико -социальная  поддержка слабозащищенных категорий населения в муниципальном образовании "Онгудайский район" на 2012-2014 годы"</t>
  </si>
  <si>
    <t>7952030</t>
  </si>
  <si>
    <t>РЦП "Энергосбережение и повышение  энергетической эффективности  РА на 2010-2015 годы"</t>
  </si>
  <si>
    <t>5225103</t>
  </si>
  <si>
    <t>7952031</t>
  </si>
  <si>
    <t>МЦП "Проведение капитального  ремонта многоквартирных домов в Онгудайском районе на 2012-2014годы"</t>
  </si>
  <si>
    <t>5058502</t>
  </si>
  <si>
    <t>7952032</t>
  </si>
  <si>
    <t>Программа  комплексного развития  систем коммунальной инфраструктуры муниципального образования «Онгудайский район» на 2011-2020г.г</t>
  </si>
  <si>
    <t>Обеспечение мероприятий по капитальному ремонту многоквартирных домов  за счет средств фонда содействия развития жкх</t>
  </si>
  <si>
    <t>Софинансирование  мероприятий по капитальному ремонту многокв. домов  за счет средств  респ.бюджета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</si>
  <si>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</si>
  <si>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</si>
  <si>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540</t>
  </si>
  <si>
    <t>Иные межбюджетные трансферты</t>
  </si>
  <si>
    <t>Развитие транспортной инфраструктуры Онгудайского района на  период 2012-2015 годы»</t>
  </si>
  <si>
    <t>7952033</t>
  </si>
  <si>
    <t>630</t>
  </si>
  <si>
    <t>Субсидии некоммерческим организациям</t>
  </si>
  <si>
    <t>0980101</t>
  </si>
  <si>
    <t>Модернизация региональной системы общего образования</t>
  </si>
  <si>
    <t>4362100</t>
  </si>
  <si>
    <t>4360000</t>
  </si>
  <si>
    <t>Модернизация региональной системы общего образования из федерального бюджета</t>
  </si>
  <si>
    <t>Софинансирование модернизации региональной системы общего образования из местного  бюджета</t>
  </si>
  <si>
    <t>Модернизация региональной системы общего образования из республиканского бюджета</t>
  </si>
  <si>
    <t>4362101</t>
  </si>
  <si>
    <t>4362102</t>
  </si>
  <si>
    <t>Ежемесячное денежное вознаграждение за классное руководство в гос. и  мун-х общеобраз. школах</t>
  </si>
  <si>
    <t>5200900</t>
  </si>
  <si>
    <t>1020101</t>
  </si>
  <si>
    <t>243</t>
  </si>
  <si>
    <t>Закупка товаров, работ и услуг в целях капитального ремонта государственного имущества</t>
  </si>
  <si>
    <t>442</t>
  </si>
  <si>
    <t>Бюджетные инвестиции на приобретение объектов недвижимого имущства бюджетным учреждениям</t>
  </si>
  <si>
    <t>Резервный фонд Президента Российской Федерации</t>
  </si>
  <si>
    <t>0700200</t>
  </si>
  <si>
    <t>3400231</t>
  </si>
  <si>
    <t>Пополнение уставного капитала муп</t>
  </si>
  <si>
    <t>5227900</t>
  </si>
  <si>
    <t>РЦП "Развитие малого и среднего  предпринимательства в Республике Алтай на 2010-2014годы"</t>
  </si>
  <si>
    <t>Дорожное хозяйство ( дорожные фонды)</t>
  </si>
  <si>
    <t>5225800</t>
  </si>
  <si>
    <t>РЦП "Развитие транспортной инфраструктуры РА на 2011г-2015 годы" (Кап тремонт и ремонт автомоб.дорог общего пользования местного значения и искусств.сооружений на них)</t>
  </si>
  <si>
    <t xml:space="preserve">Культура </t>
  </si>
  <si>
    <t>Муниципальные автономные образовательные учреждения дополнительного образования детей</t>
  </si>
  <si>
    <t>0016600</t>
  </si>
  <si>
    <t>1001100</t>
  </si>
  <si>
    <t>РЦП "Отходы" (2011-2015годы) Приобретение и установку мобильных туалетов в общественных местах</t>
  </si>
  <si>
    <t>5229500</t>
  </si>
  <si>
    <t>5100300</t>
  </si>
  <si>
    <t>622</t>
  </si>
  <si>
    <t>1008820</t>
  </si>
  <si>
    <t>5229604</t>
  </si>
  <si>
    <t>360</t>
  </si>
  <si>
    <t>4400200</t>
  </si>
  <si>
    <t>подпр."Энергосбережениев сфере предоставления коммунальных услуг на терр.РА"</t>
  </si>
  <si>
    <t>5225101</t>
  </si>
  <si>
    <t>Организация общественных работ безработных граждан</t>
  </si>
  <si>
    <t>Иные выплаты населению</t>
  </si>
  <si>
    <t>Подпрограмма "обеспечение жильем молоых семей" РЦП "Жилище" на 2011-2015годы в 2012 году"</t>
  </si>
  <si>
    <t>Подпрограмма "Обеспечение жильем молоых семей" ФЦП "Жилище" на 2011-2015 годы в 2012 году"</t>
  </si>
  <si>
    <t>Субсидии автономным учреждениям на иные цели</t>
  </si>
  <si>
    <t>Комплектование  книжных фондов бибилиотек мун.образований</t>
  </si>
  <si>
    <t>5223900</t>
  </si>
  <si>
    <t>РЦП "Комплексные меры профилактики правонарушений и повышению безопасности дорожного движения в РА на 2012-2014 годы"</t>
  </si>
  <si>
    <t>3450100</t>
  </si>
  <si>
    <t xml:space="preserve">Субсидии  для софинансирования муниципальных программ развития малого и среднего предпринимательства </t>
  </si>
  <si>
    <t>0923400</t>
  </si>
  <si>
    <t>Софинансирование из федерального бюджета РЦП "Энергосбережение и повышение  энергетической эффективности  РА на 2010-2015 годы"</t>
  </si>
  <si>
    <t>1008900</t>
  </si>
  <si>
    <t>0700402</t>
  </si>
  <si>
    <t>411</t>
  </si>
  <si>
    <t>Бюджетные инвестиции в объекты муниципальной собственности казенным учреждениям вне рамок гос. оборонного заказа</t>
  </si>
  <si>
    <t>621</t>
  </si>
  <si>
    <t xml:space="preserve">Субсидии автономным учреждениям на финансовое обеспечение муниципального задагния </t>
  </si>
  <si>
    <t>ФЦП "Социальное развитие села до 2013 года": Обеспечение жильем молодых специалистов и молодых семей и улучшение жилищных условий граждан, проживающих в сельской местности</t>
  </si>
  <si>
    <t>Резервный фонд Правительства РА на проведение ремонта детского сада</t>
  </si>
  <si>
    <t xml:space="preserve"> Реализация мероприятий ФЦП развития образования  на 2011-2015годы в части модернизации регионально-муниципальных систем дошкольного  образования</t>
  </si>
  <si>
    <t>Рз</t>
  </si>
  <si>
    <t>Пр</t>
  </si>
  <si>
    <t>Процент исполнения плана (%)</t>
  </si>
  <si>
    <t>Кассовое исполнение 2012г</t>
  </si>
  <si>
    <t>Исполнение за 2012 год</t>
  </si>
  <si>
    <t xml:space="preserve"> по ведомственной структуре  расходов бюджета муниципального образования "Онгудайский район"                                     </t>
  </si>
  <si>
    <t>% исполнения</t>
  </si>
  <si>
    <t>ИСПОЛНЕНИЕ</t>
  </si>
  <si>
    <t>Приложение 3</t>
  </si>
  <si>
    <r>
      <t>Главный</t>
    </r>
    <r>
      <rPr>
        <b/>
        <sz val="9"/>
        <rFont val="Times New Roman"/>
        <family val="1"/>
      </rPr>
      <t xml:space="preserve"> распорядитель, распорядитель средств</t>
    </r>
  </si>
  <si>
    <t>Приложение2</t>
  </si>
  <si>
    <t>к  решению "Об исполнении  бюджета муниципального образования "Онгудайский район" за 2012 год от 13.06.2013г №41-1</t>
  </si>
  <si>
    <t>Закупка товаров, работ, услуг в сфере информационно-коммуникационных технологий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</si>
</sst>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0"/>
    <numFmt numFmtId="183" formatCode="_-* #,##0.0_р_._-;\-* #,##0.0_р_._-;_-* &quot;-&quot;??_р_._-;_-@_-"/>
    <numFmt numFmtId="184" formatCode="0.00000"/>
    <numFmt numFmtId="185" formatCode="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"/>
    <numFmt numFmtId="191" formatCode="0.0000000"/>
    <numFmt numFmtId="192" formatCode="0.000000"/>
  </numFmts>
  <fonts count="67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1"/>
      <color indexed="48"/>
      <name val="Times New Roman"/>
      <family val="1"/>
    </font>
    <font>
      <b/>
      <sz val="12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48"/>
      <name val="Times New Roman"/>
      <family val="1"/>
    </font>
    <font>
      <sz val="8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6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2"/>
      <name val="Times New Roman"/>
      <family val="1"/>
    </font>
    <font>
      <sz val="11"/>
      <color indexed="62"/>
      <name val="Times New Roman"/>
      <family val="1"/>
    </font>
    <font>
      <b/>
      <u val="single"/>
      <sz val="9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30"/>
      <name val="Times New Roman"/>
      <family val="1"/>
    </font>
    <font>
      <sz val="9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rgb="FF0070C0"/>
      <name val="Times New Roman"/>
      <family val="1"/>
    </font>
    <font>
      <sz val="11"/>
      <color rgb="FFFF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4" fillId="0" borderId="0" xfId="58" applyFont="1">
      <alignment/>
      <protection/>
    </xf>
    <xf numFmtId="0" fontId="4" fillId="0" borderId="0" xfId="58" applyFont="1" applyAlignment="1">
      <alignment/>
      <protection/>
    </xf>
    <xf numFmtId="0" fontId="4" fillId="0" borderId="0" xfId="58" applyFont="1" applyBorder="1">
      <alignment/>
      <protection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10" xfId="58" applyFont="1" applyBorder="1" applyAlignment="1">
      <alignment wrapText="1"/>
      <protection/>
    </xf>
    <xf numFmtId="49" fontId="5" fillId="0" borderId="10" xfId="58" applyNumberFormat="1" applyFont="1" applyBorder="1" applyAlignment="1">
      <alignment horizontal="center"/>
      <protection/>
    </xf>
    <xf numFmtId="2" fontId="5" fillId="0" borderId="10" xfId="58" applyNumberFormat="1" applyFont="1" applyBorder="1">
      <alignment/>
      <protection/>
    </xf>
    <xf numFmtId="0" fontId="4" fillId="0" borderId="10" xfId="58" applyFont="1" applyBorder="1" applyAlignment="1">
      <alignment wrapText="1"/>
      <protection/>
    </xf>
    <xf numFmtId="49" fontId="4" fillId="0" borderId="10" xfId="58" applyNumberFormat="1" applyFont="1" applyBorder="1" applyAlignment="1">
      <alignment horizontal="center"/>
      <protection/>
    </xf>
    <xf numFmtId="2" fontId="4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2" fontId="5" fillId="0" borderId="10" xfId="58" applyNumberFormat="1" applyFont="1" applyBorder="1" applyAlignment="1">
      <alignment horizontal="center"/>
      <protection/>
    </xf>
    <xf numFmtId="2" fontId="4" fillId="0" borderId="0" xfId="58" applyNumberFormat="1" applyFont="1">
      <alignment/>
      <protection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181" fontId="5" fillId="0" borderId="10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4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3" fillId="0" borderId="15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2" fontId="3" fillId="0" borderId="17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2" fontId="7" fillId="0" borderId="13" xfId="0" applyNumberFormat="1" applyFont="1" applyFill="1" applyBorder="1" applyAlignment="1">
      <alignment/>
    </xf>
    <xf numFmtId="2" fontId="9" fillId="0" borderId="15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9" fillId="0" borderId="18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2" fontId="3" fillId="0" borderId="19" xfId="0" applyNumberFormat="1" applyFont="1" applyFill="1" applyBorder="1" applyAlignment="1">
      <alignment/>
    </xf>
    <xf numFmtId="2" fontId="3" fillId="0" borderId="20" xfId="0" applyNumberFormat="1" applyFont="1" applyFill="1" applyBorder="1" applyAlignment="1">
      <alignment/>
    </xf>
    <xf numFmtId="2" fontId="9" fillId="0" borderId="21" xfId="0" applyNumberFormat="1" applyFont="1" applyFill="1" applyBorder="1" applyAlignment="1">
      <alignment/>
    </xf>
    <xf numFmtId="2" fontId="3" fillId="0" borderId="22" xfId="0" applyNumberFormat="1" applyFont="1" applyFill="1" applyBorder="1" applyAlignment="1">
      <alignment/>
    </xf>
    <xf numFmtId="2" fontId="9" fillId="0" borderId="23" xfId="0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2" fontId="10" fillId="0" borderId="25" xfId="0" applyNumberFormat="1" applyFont="1" applyFill="1" applyBorder="1" applyAlignment="1">
      <alignment/>
    </xf>
    <xf numFmtId="2" fontId="10" fillId="0" borderId="26" xfId="0" applyNumberFormat="1" applyFont="1" applyFill="1" applyBorder="1" applyAlignment="1">
      <alignment/>
    </xf>
    <xf numFmtId="2" fontId="7" fillId="0" borderId="14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11" fillId="0" borderId="13" xfId="0" applyNumberFormat="1" applyFont="1" applyFill="1" applyBorder="1" applyAlignment="1">
      <alignment/>
    </xf>
    <xf numFmtId="2" fontId="11" fillId="0" borderId="15" xfId="0" applyNumberFormat="1" applyFont="1" applyFill="1" applyBorder="1" applyAlignment="1">
      <alignment/>
    </xf>
    <xf numFmtId="2" fontId="11" fillId="0" borderId="27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3" fillId="0" borderId="27" xfId="0" applyNumberFormat="1" applyFont="1" applyFill="1" applyBorder="1" applyAlignment="1">
      <alignment/>
    </xf>
    <xf numFmtId="49" fontId="4" fillId="0" borderId="10" xfId="54" applyNumberFormat="1" applyFont="1" applyFill="1" applyBorder="1" applyAlignment="1">
      <alignment horizontal="center" wrapText="1"/>
      <protection/>
    </xf>
    <xf numFmtId="2" fontId="3" fillId="0" borderId="28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2" fontId="10" fillId="0" borderId="22" xfId="0" applyNumberFormat="1" applyFont="1" applyFill="1" applyBorder="1" applyAlignment="1">
      <alignment/>
    </xf>
    <xf numFmtId="2" fontId="10" fillId="0" borderId="29" xfId="0" applyNumberFormat="1" applyFont="1" applyFill="1" applyBorder="1" applyAlignment="1">
      <alignment/>
    </xf>
    <xf numFmtId="2" fontId="8" fillId="0" borderId="30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4" fillId="0" borderId="10" xfId="58" applyFont="1" applyFill="1" applyBorder="1" applyAlignment="1">
      <alignment horizontal="left" wrapText="1"/>
      <protection/>
    </xf>
    <xf numFmtId="49" fontId="5" fillId="0" borderId="10" xfId="54" applyNumberFormat="1" applyFont="1" applyFill="1" applyBorder="1" applyAlignment="1">
      <alignment horizontal="center" wrapText="1"/>
      <protection/>
    </xf>
    <xf numFmtId="2" fontId="3" fillId="0" borderId="12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2" fontId="3" fillId="0" borderId="32" xfId="0" applyNumberFormat="1" applyFont="1" applyFill="1" applyBorder="1" applyAlignment="1">
      <alignment/>
    </xf>
    <xf numFmtId="184" fontId="3" fillId="0" borderId="0" xfId="0" applyNumberFormat="1" applyFont="1" applyFill="1" applyAlignment="1">
      <alignment/>
    </xf>
    <xf numFmtId="2" fontId="7" fillId="0" borderId="15" xfId="0" applyNumberFormat="1" applyFont="1" applyFill="1" applyBorder="1" applyAlignment="1">
      <alignment/>
    </xf>
    <xf numFmtId="2" fontId="8" fillId="0" borderId="16" xfId="0" applyNumberFormat="1" applyFont="1" applyFill="1" applyBorder="1" applyAlignment="1">
      <alignment/>
    </xf>
    <xf numFmtId="2" fontId="3" fillId="0" borderId="13" xfId="55" applyNumberFormat="1" applyFont="1" applyFill="1" applyBorder="1">
      <alignment/>
      <protection/>
    </xf>
    <xf numFmtId="2" fontId="8" fillId="0" borderId="13" xfId="55" applyNumberFormat="1" applyFont="1" applyFill="1" applyBorder="1">
      <alignment/>
      <protection/>
    </xf>
    <xf numFmtId="2" fontId="7" fillId="0" borderId="13" xfId="55" applyNumberFormat="1" applyFont="1" applyFill="1" applyBorder="1">
      <alignment/>
      <protection/>
    </xf>
    <xf numFmtId="2" fontId="8" fillId="0" borderId="10" xfId="0" applyNumberFormat="1" applyFont="1" applyFill="1" applyBorder="1" applyAlignment="1">
      <alignment/>
    </xf>
    <xf numFmtId="2" fontId="7" fillId="0" borderId="15" xfId="55" applyNumberFormat="1" applyFont="1" applyFill="1" applyBorder="1">
      <alignment/>
      <protection/>
    </xf>
    <xf numFmtId="2" fontId="7" fillId="0" borderId="27" xfId="55" applyNumberFormat="1" applyFont="1" applyFill="1" applyBorder="1">
      <alignment/>
      <protection/>
    </xf>
    <xf numFmtId="2" fontId="12" fillId="0" borderId="13" xfId="0" applyNumberFormat="1" applyFont="1" applyFill="1" applyBorder="1" applyAlignment="1">
      <alignment/>
    </xf>
    <xf numFmtId="2" fontId="12" fillId="0" borderId="14" xfId="0" applyNumberFormat="1" applyFont="1" applyFill="1" applyBorder="1" applyAlignment="1">
      <alignment/>
    </xf>
    <xf numFmtId="2" fontId="3" fillId="0" borderId="29" xfId="0" applyNumberFormat="1" applyFont="1" applyFill="1" applyBorder="1" applyAlignment="1">
      <alignment/>
    </xf>
    <xf numFmtId="2" fontId="64" fillId="0" borderId="11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2" fontId="8" fillId="0" borderId="15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3" fillId="0" borderId="23" xfId="0" applyNumberFormat="1" applyFont="1" applyFill="1" applyBorder="1" applyAlignment="1">
      <alignment/>
    </xf>
    <xf numFmtId="2" fontId="10" fillId="0" borderId="33" xfId="0" applyNumberFormat="1" applyFont="1" applyFill="1" applyBorder="1" applyAlignment="1">
      <alignment/>
    </xf>
    <xf numFmtId="2" fontId="10" fillId="0" borderId="34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82" fontId="3" fillId="0" borderId="0" xfId="0" applyNumberFormat="1" applyFont="1" applyFill="1" applyAlignment="1">
      <alignment/>
    </xf>
    <xf numFmtId="2" fontId="8" fillId="0" borderId="26" xfId="0" applyNumberFormat="1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81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2" fontId="7" fillId="0" borderId="36" xfId="0" applyNumberFormat="1" applyFont="1" applyFill="1" applyBorder="1" applyAlignment="1">
      <alignment/>
    </xf>
    <xf numFmtId="0" fontId="7" fillId="0" borderId="36" xfId="0" applyFont="1" applyFill="1" applyBorder="1" applyAlignment="1">
      <alignment/>
    </xf>
    <xf numFmtId="2" fontId="14" fillId="0" borderId="26" xfId="0" applyNumberFormat="1" applyFont="1" applyFill="1" applyBorder="1" applyAlignment="1">
      <alignment/>
    </xf>
    <xf numFmtId="0" fontId="7" fillId="0" borderId="24" xfId="0" applyFont="1" applyFill="1" applyBorder="1" applyAlignment="1">
      <alignment/>
    </xf>
    <xf numFmtId="2" fontId="7" fillId="0" borderId="37" xfId="0" applyNumberFormat="1" applyFont="1" applyFill="1" applyBorder="1" applyAlignment="1">
      <alignment/>
    </xf>
    <xf numFmtId="0" fontId="7" fillId="0" borderId="37" xfId="0" applyFont="1" applyFill="1" applyBorder="1" applyAlignment="1">
      <alignment/>
    </xf>
    <xf numFmtId="2" fontId="7" fillId="0" borderId="35" xfId="0" applyNumberFormat="1" applyFont="1" applyFill="1" applyBorder="1" applyAlignment="1">
      <alignment/>
    </xf>
    <xf numFmtId="0" fontId="7" fillId="0" borderId="26" xfId="0" applyFont="1" applyFill="1" applyBorder="1" applyAlignment="1">
      <alignment/>
    </xf>
    <xf numFmtId="2" fontId="7" fillId="0" borderId="26" xfId="0" applyNumberFormat="1" applyFont="1" applyFill="1" applyBorder="1" applyAlignment="1">
      <alignment/>
    </xf>
    <xf numFmtId="181" fontId="7" fillId="0" borderId="37" xfId="0" applyNumberFormat="1" applyFont="1" applyFill="1" applyBorder="1" applyAlignment="1">
      <alignment/>
    </xf>
    <xf numFmtId="49" fontId="8" fillId="0" borderId="38" xfId="0" applyNumberFormat="1" applyFont="1" applyFill="1" applyBorder="1" applyAlignment="1">
      <alignment horizontal="center"/>
    </xf>
    <xf numFmtId="4" fontId="7" fillId="0" borderId="26" xfId="0" applyNumberFormat="1" applyFont="1" applyFill="1" applyBorder="1" applyAlignment="1">
      <alignment/>
    </xf>
    <xf numFmtId="4" fontId="7" fillId="0" borderId="35" xfId="0" applyNumberFormat="1" applyFont="1" applyFill="1" applyBorder="1" applyAlignment="1">
      <alignment/>
    </xf>
    <xf numFmtId="2" fontId="10" fillId="0" borderId="36" xfId="0" applyNumberFormat="1" applyFont="1" applyFill="1" applyBorder="1" applyAlignment="1">
      <alignment/>
    </xf>
    <xf numFmtId="181" fontId="7" fillId="0" borderId="26" xfId="0" applyNumberFormat="1" applyFont="1" applyFill="1" applyBorder="1" applyAlignment="1">
      <alignment/>
    </xf>
    <xf numFmtId="2" fontId="15" fillId="0" borderId="39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85" fontId="3" fillId="0" borderId="0" xfId="0" applyNumberFormat="1" applyFont="1" applyFill="1" applyAlignment="1">
      <alignment/>
    </xf>
    <xf numFmtId="185" fontId="4" fillId="0" borderId="10" xfId="0" applyNumberFormat="1" applyFont="1" applyFill="1" applyBorder="1" applyAlignment="1">
      <alignment/>
    </xf>
    <xf numFmtId="185" fontId="4" fillId="0" borderId="10" xfId="55" applyNumberFormat="1" applyFont="1" applyFill="1" applyBorder="1">
      <alignment/>
      <protection/>
    </xf>
    <xf numFmtId="185" fontId="7" fillId="0" borderId="35" xfId="0" applyNumberFormat="1" applyFont="1" applyFill="1" applyBorder="1" applyAlignment="1">
      <alignment/>
    </xf>
    <xf numFmtId="185" fontId="7" fillId="0" borderId="10" xfId="0" applyNumberFormat="1" applyFont="1" applyFill="1" applyBorder="1" applyAlignment="1">
      <alignment/>
    </xf>
    <xf numFmtId="185" fontId="7" fillId="0" borderId="36" xfId="0" applyNumberFormat="1" applyFont="1" applyFill="1" applyBorder="1" applyAlignment="1">
      <alignment/>
    </xf>
    <xf numFmtId="185" fontId="10" fillId="0" borderId="36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2" fontId="7" fillId="0" borderId="17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vertical="top" wrapText="1"/>
    </xf>
    <xf numFmtId="181" fontId="3" fillId="0" borderId="0" xfId="0" applyNumberFormat="1" applyFont="1" applyFill="1" applyAlignment="1">
      <alignment/>
    </xf>
    <xf numFmtId="184" fontId="7" fillId="0" borderId="0" xfId="0" applyNumberFormat="1" applyFont="1" applyFill="1" applyAlignment="1">
      <alignment/>
    </xf>
    <xf numFmtId="2" fontId="10" fillId="0" borderId="40" xfId="55" applyNumberFormat="1" applyFont="1" applyFill="1" applyBorder="1">
      <alignment/>
      <protection/>
    </xf>
    <xf numFmtId="18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3" fillId="0" borderId="0" xfId="0" applyNumberFormat="1" applyFont="1" applyFill="1" applyBorder="1" applyAlignment="1">
      <alignment/>
    </xf>
    <xf numFmtId="0" fontId="64" fillId="0" borderId="0" xfId="0" applyFont="1" applyFill="1" applyAlignment="1">
      <alignment/>
    </xf>
    <xf numFmtId="181" fontId="4" fillId="0" borderId="10" xfId="0" applyNumberFormat="1" applyFont="1" applyFill="1" applyBorder="1" applyAlignment="1">
      <alignment horizontal="left"/>
    </xf>
    <xf numFmtId="2" fontId="3" fillId="0" borderId="22" xfId="0" applyNumberFormat="1" applyFont="1" applyFill="1" applyBorder="1" applyAlignment="1">
      <alignment horizontal="left"/>
    </xf>
    <xf numFmtId="2" fontId="3" fillId="0" borderId="29" xfId="0" applyNumberFormat="1" applyFont="1" applyFill="1" applyBorder="1" applyAlignment="1">
      <alignment horizontal="left"/>
    </xf>
    <xf numFmtId="2" fontId="7" fillId="0" borderId="32" xfId="0" applyNumberFormat="1" applyFont="1" applyFill="1" applyBorder="1" applyAlignment="1">
      <alignment/>
    </xf>
    <xf numFmtId="182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84" fontId="10" fillId="0" borderId="0" xfId="0" applyNumberFormat="1" applyFont="1" applyFill="1" applyAlignment="1">
      <alignment/>
    </xf>
    <xf numFmtId="49" fontId="10" fillId="0" borderId="0" xfId="0" applyNumberFormat="1" applyFont="1" applyFill="1" applyBorder="1" applyAlignment="1">
      <alignment/>
    </xf>
    <xf numFmtId="182" fontId="10" fillId="0" borderId="0" xfId="0" applyNumberFormat="1" applyFont="1" applyFill="1" applyBorder="1" applyAlignment="1">
      <alignment/>
    </xf>
    <xf numFmtId="49" fontId="7" fillId="0" borderId="35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9" fontId="7" fillId="0" borderId="36" xfId="0" applyNumberFormat="1" applyFont="1" applyFill="1" applyBorder="1" applyAlignment="1">
      <alignment/>
    </xf>
    <xf numFmtId="49" fontId="14" fillId="0" borderId="38" xfId="0" applyNumberFormat="1" applyFont="1" applyFill="1" applyBorder="1" applyAlignment="1">
      <alignment/>
    </xf>
    <xf numFmtId="0" fontId="14" fillId="0" borderId="26" xfId="0" applyFont="1" applyFill="1" applyBorder="1" applyAlignment="1">
      <alignment/>
    </xf>
    <xf numFmtId="49" fontId="7" fillId="0" borderId="37" xfId="0" applyNumberFormat="1" applyFont="1" applyFill="1" applyBorder="1" applyAlignment="1">
      <alignment/>
    </xf>
    <xf numFmtId="49" fontId="7" fillId="0" borderId="24" xfId="0" applyNumberFormat="1" applyFont="1" applyFill="1" applyBorder="1" applyAlignment="1">
      <alignment/>
    </xf>
    <xf numFmtId="49" fontId="8" fillId="0" borderId="38" xfId="58" applyNumberFormat="1" applyFont="1" applyFill="1" applyBorder="1" applyAlignment="1">
      <alignment horizontal="center"/>
      <protection/>
    </xf>
    <xf numFmtId="181" fontId="7" fillId="0" borderId="35" xfId="0" applyNumberFormat="1" applyFont="1" applyFill="1" applyBorder="1" applyAlignment="1">
      <alignment/>
    </xf>
    <xf numFmtId="49" fontId="10" fillId="0" borderId="36" xfId="0" applyNumberFormat="1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8" fillId="0" borderId="38" xfId="0" applyFont="1" applyFill="1" applyBorder="1" applyAlignment="1">
      <alignment horizontal="left"/>
    </xf>
    <xf numFmtId="0" fontId="14" fillId="0" borderId="38" xfId="0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/>
    </xf>
    <xf numFmtId="181" fontId="7" fillId="0" borderId="39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185" fontId="13" fillId="0" borderId="0" xfId="0" applyNumberFormat="1" applyFont="1" applyFill="1" applyAlignment="1">
      <alignment/>
    </xf>
    <xf numFmtId="0" fontId="0" fillId="0" borderId="30" xfId="0" applyBorder="1" applyAlignment="1">
      <alignment/>
    </xf>
    <xf numFmtId="0" fontId="3" fillId="0" borderId="0" xfId="0" applyFont="1" applyFill="1" applyAlignment="1">
      <alignment/>
    </xf>
    <xf numFmtId="0" fontId="5" fillId="0" borderId="30" xfId="58" applyFont="1" applyBorder="1" applyAlignment="1">
      <alignment horizontal="center"/>
      <protection/>
    </xf>
    <xf numFmtId="49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2" fontId="8" fillId="0" borderId="16" xfId="0" applyNumberFormat="1" applyFont="1" applyFill="1" applyBorder="1" applyAlignment="1">
      <alignment/>
    </xf>
    <xf numFmtId="2" fontId="3" fillId="0" borderId="17" xfId="0" applyNumberFormat="1" applyFont="1" applyFill="1" applyBorder="1" applyAlignment="1">
      <alignment/>
    </xf>
    <xf numFmtId="184" fontId="5" fillId="0" borderId="10" xfId="0" applyNumberFormat="1" applyFont="1" applyFill="1" applyBorder="1" applyAlignment="1">
      <alignment/>
    </xf>
    <xf numFmtId="184" fontId="4" fillId="0" borderId="10" xfId="0" applyNumberFormat="1" applyFont="1" applyFill="1" applyBorder="1" applyAlignment="1">
      <alignment/>
    </xf>
    <xf numFmtId="184" fontId="4" fillId="0" borderId="10" xfId="55" applyNumberFormat="1" applyFont="1" applyFill="1" applyBorder="1">
      <alignment/>
      <protection/>
    </xf>
    <xf numFmtId="49" fontId="5" fillId="3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182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81" fontId="3" fillId="0" borderId="10" xfId="0" applyNumberFormat="1" applyFont="1" applyFill="1" applyBorder="1" applyAlignment="1">
      <alignment/>
    </xf>
    <xf numFmtId="185" fontId="4" fillId="0" borderId="13" xfId="55" applyNumberFormat="1" applyFont="1" applyFill="1" applyBorder="1">
      <alignment/>
      <protection/>
    </xf>
    <xf numFmtId="185" fontId="4" fillId="0" borderId="15" xfId="55" applyNumberFormat="1" applyFont="1" applyFill="1" applyBorder="1">
      <alignment/>
      <protection/>
    </xf>
    <xf numFmtId="2" fontId="7" fillId="0" borderId="24" xfId="0" applyNumberFormat="1" applyFont="1" applyFill="1" applyBorder="1" applyAlignment="1">
      <alignment/>
    </xf>
    <xf numFmtId="2" fontId="7" fillId="0" borderId="18" xfId="0" applyNumberFormat="1" applyFont="1" applyFill="1" applyBorder="1" applyAlignment="1">
      <alignment/>
    </xf>
    <xf numFmtId="184" fontId="4" fillId="0" borderId="10" xfId="0" applyNumberFormat="1" applyFont="1" applyFill="1" applyBorder="1" applyAlignment="1">
      <alignment/>
    </xf>
    <xf numFmtId="2" fontId="65" fillId="0" borderId="13" xfId="0" applyNumberFormat="1" applyFont="1" applyFill="1" applyBorder="1" applyAlignment="1">
      <alignment/>
    </xf>
    <xf numFmtId="2" fontId="65" fillId="0" borderId="14" xfId="0" applyNumberFormat="1" applyFont="1" applyFill="1" applyBorder="1" applyAlignment="1">
      <alignment/>
    </xf>
    <xf numFmtId="0" fontId="65" fillId="0" borderId="0" xfId="0" applyFont="1" applyFill="1" applyAlignment="1">
      <alignment/>
    </xf>
    <xf numFmtId="184" fontId="4" fillId="0" borderId="10" xfId="55" applyNumberFormat="1" applyFont="1" applyFill="1" applyBorder="1" applyAlignment="1">
      <alignment/>
      <protection/>
    </xf>
    <xf numFmtId="184" fontId="5" fillId="0" borderId="10" xfId="0" applyNumberFormat="1" applyFont="1" applyFill="1" applyBorder="1" applyAlignment="1">
      <alignment/>
    </xf>
    <xf numFmtId="184" fontId="4" fillId="0" borderId="13" xfId="0" applyNumberFormat="1" applyFont="1" applyFill="1" applyBorder="1" applyAlignment="1">
      <alignment/>
    </xf>
    <xf numFmtId="184" fontId="4" fillId="0" borderId="15" xfId="0" applyNumberFormat="1" applyFont="1" applyFill="1" applyBorder="1" applyAlignment="1">
      <alignment/>
    </xf>
    <xf numFmtId="2" fontId="3" fillId="0" borderId="15" xfId="55" applyNumberFormat="1" applyFont="1" applyFill="1" applyBorder="1">
      <alignment/>
      <protection/>
    </xf>
    <xf numFmtId="0" fontId="17" fillId="0" borderId="10" xfId="57" applyFont="1" applyFill="1" applyBorder="1" applyAlignment="1">
      <alignment wrapText="1"/>
      <protection/>
    </xf>
    <xf numFmtId="0" fontId="17" fillId="0" borderId="10" xfId="57" applyNumberFormat="1" applyFont="1" applyFill="1" applyBorder="1" applyAlignment="1">
      <alignment wrapText="1"/>
      <protection/>
    </xf>
    <xf numFmtId="0" fontId="17" fillId="0" borderId="10" xfId="57" applyFont="1" applyFill="1" applyBorder="1" applyAlignment="1">
      <alignment horizontal="left" wrapText="1"/>
      <protection/>
    </xf>
    <xf numFmtId="0" fontId="17" fillId="0" borderId="10" xfId="58" applyFont="1" applyFill="1" applyBorder="1" applyAlignment="1">
      <alignment horizontal="left" wrapText="1"/>
      <protection/>
    </xf>
    <xf numFmtId="0" fontId="17" fillId="0" borderId="10" xfId="54" applyFont="1" applyFill="1" applyBorder="1" applyAlignment="1">
      <alignment horizontal="justify" vertical="top" wrapText="1" shrinkToFit="1"/>
      <protection/>
    </xf>
    <xf numFmtId="0" fontId="18" fillId="0" borderId="10" xfId="58" applyFont="1" applyFill="1" applyBorder="1" applyAlignment="1">
      <alignment horizontal="center" wrapText="1"/>
      <protection/>
    </xf>
    <xf numFmtId="0" fontId="18" fillId="0" borderId="10" xfId="58" applyFont="1" applyFill="1" applyBorder="1" applyAlignment="1">
      <alignment horizontal="left" wrapText="1"/>
      <protection/>
    </xf>
    <xf numFmtId="0" fontId="18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wrapText="1"/>
    </xf>
    <xf numFmtId="179" fontId="17" fillId="0" borderId="10" xfId="72" applyNumberFormat="1" applyFont="1" applyFill="1" applyBorder="1" applyAlignment="1">
      <alignment horizontal="left" vertical="justify" wrapText="1"/>
    </xf>
    <xf numFmtId="4" fontId="17" fillId="0" borderId="10" xfId="0" applyNumberFormat="1" applyFont="1" applyFill="1" applyBorder="1" applyAlignment="1">
      <alignment horizontal="justify" vertical="top" wrapText="1"/>
    </xf>
    <xf numFmtId="0" fontId="17" fillId="0" borderId="10" xfId="54" applyFont="1" applyFill="1" applyBorder="1" applyAlignment="1">
      <alignment horizontal="justify" wrapText="1" shrinkToFit="1"/>
      <protection/>
    </xf>
    <xf numFmtId="49" fontId="17" fillId="0" borderId="10" xfId="58" applyNumberFormat="1" applyFont="1" applyFill="1" applyBorder="1" applyAlignment="1">
      <alignment horizontal="left" wrapText="1"/>
      <protection/>
    </xf>
    <xf numFmtId="0" fontId="17" fillId="0" borderId="10" xfId="0" applyFont="1" applyFill="1" applyBorder="1" applyAlignment="1">
      <alignment wrapText="1" shrinkToFit="1"/>
    </xf>
    <xf numFmtId="0" fontId="18" fillId="0" borderId="10" xfId="57" applyFont="1" applyFill="1" applyBorder="1" applyAlignment="1">
      <alignment wrapText="1"/>
      <protection/>
    </xf>
    <xf numFmtId="0" fontId="18" fillId="0" borderId="10" xfId="54" applyFont="1" applyFill="1" applyBorder="1" applyAlignment="1">
      <alignment horizontal="justify" vertical="top" wrapText="1" shrinkToFit="1"/>
      <protection/>
    </xf>
    <xf numFmtId="0" fontId="17" fillId="0" borderId="10" xfId="54" applyFont="1" applyFill="1" applyBorder="1" applyAlignment="1">
      <alignment horizontal="justify" vertical="center" wrapText="1" shrinkToFit="1"/>
      <protection/>
    </xf>
    <xf numFmtId="49" fontId="17" fillId="0" borderId="10" xfId="54" applyNumberFormat="1" applyFont="1" applyFill="1" applyBorder="1" applyAlignment="1">
      <alignment horizontal="left" wrapText="1" shrinkToFit="1"/>
      <protection/>
    </xf>
    <xf numFmtId="0" fontId="17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justify" vertical="top" wrapText="1"/>
    </xf>
    <xf numFmtId="179" fontId="18" fillId="0" borderId="10" xfId="72" applyNumberFormat="1" applyFont="1" applyFill="1" applyBorder="1" applyAlignment="1">
      <alignment wrapText="1"/>
    </xf>
    <xf numFmtId="179" fontId="17" fillId="0" borderId="10" xfId="72" applyNumberFormat="1" applyFont="1" applyFill="1" applyBorder="1" applyAlignment="1">
      <alignment wrapText="1"/>
    </xf>
    <xf numFmtId="179" fontId="17" fillId="0" borderId="10" xfId="68" applyNumberFormat="1" applyFont="1" applyFill="1" applyBorder="1" applyAlignment="1">
      <alignment horizontal="left" vertical="justify" wrapText="1"/>
    </xf>
    <xf numFmtId="0" fontId="18" fillId="0" borderId="10" xfId="57" applyFont="1" applyFill="1" applyBorder="1" applyAlignment="1">
      <alignment vertical="center" wrapText="1"/>
      <protection/>
    </xf>
    <xf numFmtId="0" fontId="18" fillId="33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wrapText="1"/>
    </xf>
    <xf numFmtId="0" fontId="17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center" wrapText="1"/>
    </xf>
    <xf numFmtId="182" fontId="17" fillId="0" borderId="10" xfId="0" applyNumberFormat="1" applyFont="1" applyFill="1" applyBorder="1" applyAlignment="1">
      <alignment wrapText="1"/>
    </xf>
    <xf numFmtId="182" fontId="17" fillId="0" borderId="0" xfId="0" applyNumberFormat="1" applyFont="1" applyFill="1" applyAlignment="1">
      <alignment wrapText="1"/>
    </xf>
    <xf numFmtId="184" fontId="4" fillId="0" borderId="13" xfId="55" applyNumberFormat="1" applyFont="1" applyFill="1" applyBorder="1" applyAlignment="1">
      <alignment/>
      <protection/>
    </xf>
    <xf numFmtId="0" fontId="4" fillId="0" borderId="0" xfId="58" applyFont="1" applyAlignment="1">
      <alignment horizontal="left" wrapText="1"/>
      <protection/>
    </xf>
    <xf numFmtId="0" fontId="16" fillId="0" borderId="0" xfId="0" applyFont="1" applyAlignment="1">
      <alignment wrapText="1"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vertical="center" wrapText="1"/>
      <protection/>
    </xf>
    <xf numFmtId="0" fontId="6" fillId="0" borderId="0" xfId="58" applyFont="1" applyBorder="1" applyAlignment="1">
      <alignment vertical="center" wrapText="1"/>
      <protection/>
    </xf>
    <xf numFmtId="184" fontId="4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/>
    </xf>
    <xf numFmtId="184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2" fontId="5" fillId="33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184" fontId="11" fillId="0" borderId="0" xfId="0" applyNumberFormat="1" applyFont="1" applyFill="1" applyBorder="1" applyAlignment="1">
      <alignment/>
    </xf>
    <xf numFmtId="184" fontId="12" fillId="0" borderId="26" xfId="0" applyNumberFormat="1" applyFont="1" applyFill="1" applyBorder="1" applyAlignment="1">
      <alignment/>
    </xf>
    <xf numFmtId="184" fontId="3" fillId="0" borderId="35" xfId="0" applyNumberFormat="1" applyFont="1" applyFill="1" applyBorder="1" applyAlignment="1">
      <alignment/>
    </xf>
    <xf numFmtId="184" fontId="11" fillId="0" borderId="10" xfId="0" applyNumberFormat="1" applyFont="1" applyFill="1" applyBorder="1" applyAlignment="1">
      <alignment/>
    </xf>
    <xf numFmtId="184" fontId="3" fillId="0" borderId="36" xfId="0" applyNumberFormat="1" applyFont="1" applyFill="1" applyBorder="1" applyAlignment="1">
      <alignment/>
    </xf>
    <xf numFmtId="184" fontId="21" fillId="0" borderId="34" xfId="0" applyNumberFormat="1" applyFont="1" applyFill="1" applyBorder="1" applyAlignment="1">
      <alignment/>
    </xf>
    <xf numFmtId="184" fontId="3" fillId="0" borderId="37" xfId="0" applyNumberFormat="1" applyFont="1" applyFill="1" applyBorder="1" applyAlignment="1">
      <alignment/>
    </xf>
    <xf numFmtId="184" fontId="21" fillId="0" borderId="26" xfId="0" applyNumberFormat="1" applyFont="1" applyFill="1" applyBorder="1" applyAlignment="1">
      <alignment/>
    </xf>
    <xf numFmtId="184" fontId="11" fillId="0" borderId="36" xfId="0" applyNumberFormat="1" applyFont="1" applyFill="1" applyBorder="1" applyAlignment="1">
      <alignment/>
    </xf>
    <xf numFmtId="184" fontId="22" fillId="0" borderId="39" xfId="0" applyNumberFormat="1" applyFont="1" applyFill="1" applyBorder="1" applyAlignment="1">
      <alignment/>
    </xf>
    <xf numFmtId="2" fontId="4" fillId="0" borderId="10" xfId="58" applyNumberFormat="1" applyFont="1" applyBorder="1">
      <alignment/>
      <protection/>
    </xf>
    <xf numFmtId="2" fontId="4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5" fillId="33" borderId="10" xfId="55" applyNumberFormat="1" applyFont="1" applyFill="1" applyBorder="1" applyAlignment="1">
      <alignment/>
      <protection/>
    </xf>
    <xf numFmtId="2" fontId="5" fillId="0" borderId="10" xfId="55" applyNumberFormat="1" applyFont="1" applyFill="1" applyBorder="1" applyAlignment="1">
      <alignment/>
      <protection/>
    </xf>
    <xf numFmtId="2" fontId="4" fillId="0" borderId="10" xfId="55" applyNumberFormat="1" applyFont="1" applyFill="1" applyBorder="1" applyAlignment="1">
      <alignment/>
      <protection/>
    </xf>
    <xf numFmtId="2" fontId="10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7" fillId="0" borderId="35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2" fontId="7" fillId="0" borderId="36" xfId="0" applyNumberFormat="1" applyFont="1" applyFill="1" applyBorder="1" applyAlignment="1">
      <alignment/>
    </xf>
    <xf numFmtId="2" fontId="14" fillId="0" borderId="26" xfId="0" applyNumberFormat="1" applyFont="1" applyFill="1" applyBorder="1" applyAlignment="1">
      <alignment/>
    </xf>
    <xf numFmtId="2" fontId="7" fillId="0" borderId="37" xfId="0" applyNumberFormat="1" applyFont="1" applyFill="1" applyBorder="1" applyAlignment="1">
      <alignment/>
    </xf>
    <xf numFmtId="2" fontId="10" fillId="0" borderId="36" xfId="0" applyNumberFormat="1" applyFont="1" applyFill="1" applyBorder="1" applyAlignment="1">
      <alignment/>
    </xf>
    <xf numFmtId="2" fontId="15" fillId="0" borderId="39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179" fontId="4" fillId="0" borderId="10" xfId="70" applyNumberFormat="1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justify" vertical="top" wrapText="1" shrinkToFit="1"/>
    </xf>
    <xf numFmtId="0" fontId="17" fillId="0" borderId="10" xfId="0" applyFont="1" applyFill="1" applyBorder="1" applyAlignment="1">
      <alignment horizontal="justify" vertical="center" wrapText="1" shrinkToFit="1"/>
    </xf>
    <xf numFmtId="0" fontId="66" fillId="0" borderId="10" xfId="0" applyFont="1" applyBorder="1" applyAlignment="1">
      <alignment wrapText="1"/>
    </xf>
    <xf numFmtId="0" fontId="19" fillId="0" borderId="10" xfId="0" applyFont="1" applyFill="1" applyBorder="1" applyAlignment="1">
      <alignment horizontal="center" wrapText="1"/>
    </xf>
    <xf numFmtId="182" fontId="10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/>
    </xf>
    <xf numFmtId="1" fontId="16" fillId="0" borderId="10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/>
    </xf>
    <xf numFmtId="0" fontId="16" fillId="0" borderId="42" xfId="0" applyFont="1" applyFill="1" applyBorder="1" applyAlignment="1">
      <alignment/>
    </xf>
    <xf numFmtId="0" fontId="16" fillId="0" borderId="43" xfId="0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17" fillId="0" borderId="10" xfId="54" applyFont="1" applyFill="1" applyBorder="1" applyAlignment="1">
      <alignment horizontal="left" wrapText="1" shrinkToFit="1"/>
      <protection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81" fontId="4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wrapText="1"/>
    </xf>
    <xf numFmtId="2" fontId="3" fillId="0" borderId="11" xfId="0" applyNumberFormat="1" applyFont="1" applyFill="1" applyBorder="1" applyAlignment="1">
      <alignment wrapText="1"/>
    </xf>
    <xf numFmtId="2" fontId="3" fillId="0" borderId="12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49" fontId="5" fillId="0" borderId="10" xfId="58" applyNumberFormat="1" applyFont="1" applyBorder="1" applyAlignment="1">
      <alignment horizontal="center"/>
      <protection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58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5" fillId="0" borderId="0" xfId="58" applyFont="1" applyBorder="1" applyAlignment="1">
      <alignment horizontal="center" vertical="center" wrapText="1"/>
      <protection/>
    </xf>
    <xf numFmtId="0" fontId="4" fillId="0" borderId="0" xfId="58" applyFont="1" applyAlignment="1">
      <alignment vertical="center" wrapText="1"/>
      <protection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58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/>
    </xf>
    <xf numFmtId="184" fontId="18" fillId="0" borderId="10" xfId="0" applyNumberFormat="1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184" fontId="16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2" xfId="54"/>
    <cellStyle name="Обычный 3" xfId="55"/>
    <cellStyle name="Обычный 7" xfId="56"/>
    <cellStyle name="Обычный_прил 7,9-2009-2010 нов классиф." xfId="57"/>
    <cellStyle name="Обычный_прилож 8,10 -2008г.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перечис.11" xfId="66"/>
    <cellStyle name="Тысячи_перечис.11" xfId="67"/>
    <cellStyle name="Comma" xfId="68"/>
    <cellStyle name="Comma [0]" xfId="69"/>
    <cellStyle name="Финансовый 13" xfId="70"/>
    <cellStyle name="Финансовый 2" xfId="71"/>
    <cellStyle name="Финансовый 3" xfId="72"/>
    <cellStyle name="Финансовый 9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RABOTA%202012\&#1041;&#1102;&#1076;&#1078;&#1077;&#1090;%202012&#1075;\&#1080;&#1079;&#1084;&#1077;&#1085;.&#1076;&#1077;&#1082;&#1072;&#1073;&#1088;&#1100;\&#1076;&#1083;&#1103;%20&#1072;&#1078;&#1091;&#1076;&#1072;%20&#1076;&#1077;&#1082;&#1072;&#1073;&#1088;&#1100;\&#1080;&#1079;&#1084;&#1077;&#1085;%20&#1086;&#1082;&#1090;&#1103;&#1073;&#1088;&#1100;\&#1089;&#1077;&#1089;&#1089;&#1080;&#1103;%20&#1086;&#1090;%2011.10.2012\&#1080;&#1089;&#1087;.&#1080;%20&#1080;&#1079;&#1084;&#1077;&#1085;.2011,%202012\&#1052;&#1072;&#1081;%202012%20&#1048;&#1079;&#1084;&#1077;&#1085;&#1077;&#1085;&#1080;&#1103;\2012&#1075;%20&#1055;&#1088;&#1080;&#1083;&#1086;&#1078;%20&#1088;&#1072;&#1079;&#1076;%20&#1087;&#1086;&#1076;&#1088;,&#1042;&#1077;&#1076;%20&#1089;&#1090;&#1088;&#1091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8,9"/>
      <sheetName val="прил11 (2012-2013рабоч 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view="pageBreakPreview" zoomScaleSheetLayoutView="100" zoomScalePageLayoutView="0" workbookViewId="0" topLeftCell="A1">
      <selection activeCell="D3" sqref="D3:F3"/>
    </sheetView>
  </sheetViews>
  <sheetFormatPr defaultColWidth="26.28125" defaultRowHeight="12.75"/>
  <cols>
    <col min="1" max="1" width="45.421875" style="1" customWidth="1"/>
    <col min="2" max="2" width="7.7109375" style="1" customWidth="1"/>
    <col min="3" max="3" width="7.28125" style="1" customWidth="1"/>
    <col min="4" max="4" width="13.8515625" style="1" customWidth="1"/>
    <col min="5" max="5" width="13.421875" style="1" customWidth="1"/>
    <col min="6" max="6" width="14.28125" style="1" customWidth="1"/>
    <col min="7" max="16384" width="26.28125" style="1" customWidth="1"/>
  </cols>
  <sheetData>
    <row r="1" spans="3:6" ht="12.75">
      <c r="C1" s="2"/>
      <c r="D1" s="2"/>
      <c r="E1" s="2"/>
      <c r="F1" s="2"/>
    </row>
    <row r="2" spans="1:6" ht="12.75" customHeight="1">
      <c r="A2" s="3"/>
      <c r="C2" s="245"/>
      <c r="D2" s="314" t="s">
        <v>552</v>
      </c>
      <c r="E2" s="315"/>
      <c r="F2" s="315"/>
    </row>
    <row r="3" spans="1:6" ht="27" customHeight="1">
      <c r="A3" s="3"/>
      <c r="C3" s="246"/>
      <c r="D3" s="312" t="s">
        <v>553</v>
      </c>
      <c r="E3" s="313"/>
      <c r="F3" s="313"/>
    </row>
    <row r="4" spans="1:6" ht="9" customHeight="1">
      <c r="A4" s="3"/>
      <c r="B4" s="4"/>
      <c r="C4" s="4"/>
      <c r="D4" s="4"/>
      <c r="E4" s="5"/>
      <c r="F4" s="5"/>
    </row>
    <row r="5" spans="1:6" ht="12.75">
      <c r="A5" s="316" t="s">
        <v>549</v>
      </c>
      <c r="B5" s="317"/>
      <c r="C5" s="317"/>
      <c r="D5" s="318"/>
      <c r="E5" s="319"/>
      <c r="F5" s="319"/>
    </row>
    <row r="6" spans="1:6" ht="27.75" customHeight="1">
      <c r="A6" s="320" t="s">
        <v>2</v>
      </c>
      <c r="B6" s="321"/>
      <c r="C6" s="321"/>
      <c r="D6" s="321"/>
      <c r="E6" s="321"/>
      <c r="F6" s="321"/>
    </row>
    <row r="7" spans="1:6" ht="12.75">
      <c r="A7" s="178"/>
      <c r="B7" s="176"/>
      <c r="C7" s="176"/>
      <c r="D7" s="176"/>
      <c r="E7" s="176"/>
      <c r="F7" s="176"/>
    </row>
    <row r="8" spans="1:8" ht="55.5" customHeight="1">
      <c r="A8" s="247" t="s">
        <v>3</v>
      </c>
      <c r="B8" s="247" t="s">
        <v>542</v>
      </c>
      <c r="C8" s="247" t="s">
        <v>543</v>
      </c>
      <c r="D8" s="247" t="s">
        <v>4</v>
      </c>
      <c r="E8" s="248" t="s">
        <v>545</v>
      </c>
      <c r="F8" s="249" t="s">
        <v>544</v>
      </c>
      <c r="G8" s="250"/>
      <c r="H8" s="250"/>
    </row>
    <row r="9" spans="1:6" ht="21" customHeight="1">
      <c r="A9" s="6" t="s">
        <v>5</v>
      </c>
      <c r="B9" s="311" t="s">
        <v>6</v>
      </c>
      <c r="C9" s="311"/>
      <c r="D9" s="8">
        <f>D10+D11+D12+D13+D14+D15+D16+D17</f>
        <v>26394.7736</v>
      </c>
      <c r="E9" s="13">
        <f>E10+E11+E12+E13+E14+E15+E16+E17</f>
        <v>26358.13454</v>
      </c>
      <c r="F9" s="8">
        <f>E9/D9*100</f>
        <v>99.86118820128846</v>
      </c>
    </row>
    <row r="10" spans="1:6" ht="27.75" customHeight="1">
      <c r="A10" s="9" t="s">
        <v>459</v>
      </c>
      <c r="B10" s="10" t="s">
        <v>7</v>
      </c>
      <c r="C10" s="10" t="s">
        <v>8</v>
      </c>
      <c r="D10" s="11">
        <v>1170.438</v>
      </c>
      <c r="E10" s="11">
        <v>1170.438</v>
      </c>
      <c r="F10" s="268">
        <f aca="true" t="shared" si="0" ref="F10:F63">E10/D10*100</f>
        <v>100</v>
      </c>
    </row>
    <row r="11" spans="1:6" ht="25.5" customHeight="1">
      <c r="A11" s="9" t="s">
        <v>460</v>
      </c>
      <c r="B11" s="10" t="s">
        <v>7</v>
      </c>
      <c r="C11" s="10" t="s">
        <v>9</v>
      </c>
      <c r="D11" s="11">
        <v>1546.247</v>
      </c>
      <c r="E11" s="11">
        <v>1536.439</v>
      </c>
      <c r="F11" s="268">
        <f t="shared" si="0"/>
        <v>99.36568995768465</v>
      </c>
    </row>
    <row r="12" spans="1:6" ht="15" customHeight="1">
      <c r="A12" s="9" t="s">
        <v>461</v>
      </c>
      <c r="B12" s="10" t="s">
        <v>7</v>
      </c>
      <c r="C12" s="10" t="s">
        <v>10</v>
      </c>
      <c r="D12" s="11">
        <v>17486.24343</v>
      </c>
      <c r="E12" s="11">
        <v>17470.02239</v>
      </c>
      <c r="F12" s="268">
        <f t="shared" si="0"/>
        <v>99.90723542157619</v>
      </c>
    </row>
    <row r="13" spans="1:6" ht="15" customHeight="1">
      <c r="A13" s="9" t="s">
        <v>11</v>
      </c>
      <c r="B13" s="10" t="s">
        <v>7</v>
      </c>
      <c r="C13" s="10" t="s">
        <v>12</v>
      </c>
      <c r="D13" s="11">
        <v>11.7</v>
      </c>
      <c r="E13" s="11">
        <v>8.893</v>
      </c>
      <c r="F13" s="268">
        <f t="shared" si="0"/>
        <v>76.00854700854703</v>
      </c>
    </row>
    <row r="14" spans="1:6" ht="28.5" customHeight="1">
      <c r="A14" s="9" t="s">
        <v>462</v>
      </c>
      <c r="B14" s="10" t="s">
        <v>7</v>
      </c>
      <c r="C14" s="10" t="s">
        <v>13</v>
      </c>
      <c r="D14" s="11">
        <v>4725.84517</v>
      </c>
      <c r="E14" s="11">
        <v>4722.05919</v>
      </c>
      <c r="F14" s="268">
        <f t="shared" si="0"/>
        <v>99.91988776898503</v>
      </c>
    </row>
    <row r="15" spans="1:6" ht="15" customHeight="1" hidden="1">
      <c r="A15" s="9" t="s">
        <v>14</v>
      </c>
      <c r="B15" s="10" t="s">
        <v>7</v>
      </c>
      <c r="C15" s="10" t="s">
        <v>15</v>
      </c>
      <c r="D15" s="11"/>
      <c r="E15" s="11"/>
      <c r="F15" s="268" t="e">
        <f t="shared" si="0"/>
        <v>#DIV/0!</v>
      </c>
    </row>
    <row r="16" spans="1:6" ht="15" customHeight="1" hidden="1">
      <c r="A16" s="9" t="s">
        <v>16</v>
      </c>
      <c r="B16" s="10" t="s">
        <v>7</v>
      </c>
      <c r="C16" s="10" t="s">
        <v>17</v>
      </c>
      <c r="D16" s="11"/>
      <c r="E16" s="11"/>
      <c r="F16" s="268" t="e">
        <f t="shared" si="0"/>
        <v>#DIV/0!</v>
      </c>
    </row>
    <row r="17" spans="1:6" ht="15" customHeight="1">
      <c r="A17" s="67" t="s">
        <v>20</v>
      </c>
      <c r="B17" s="10" t="s">
        <v>7</v>
      </c>
      <c r="C17" s="10" t="s">
        <v>19</v>
      </c>
      <c r="D17" s="11">
        <v>1454.3</v>
      </c>
      <c r="E17" s="11">
        <v>1450.28296</v>
      </c>
      <c r="F17" s="268">
        <f t="shared" si="0"/>
        <v>99.72378188819364</v>
      </c>
    </row>
    <row r="18" spans="1:6" ht="15" customHeight="1">
      <c r="A18" s="6" t="s">
        <v>22</v>
      </c>
      <c r="B18" s="311" t="s">
        <v>23</v>
      </c>
      <c r="C18" s="311"/>
      <c r="D18" s="12">
        <f>D19</f>
        <v>562.6</v>
      </c>
      <c r="E18" s="12">
        <f>E19</f>
        <v>562.6</v>
      </c>
      <c r="F18" s="8">
        <f t="shared" si="0"/>
        <v>100</v>
      </c>
    </row>
    <row r="19" spans="1:6" ht="15" customHeight="1">
      <c r="A19" s="9" t="s">
        <v>24</v>
      </c>
      <c r="B19" s="10" t="s">
        <v>8</v>
      </c>
      <c r="C19" s="10" t="s">
        <v>9</v>
      </c>
      <c r="D19" s="11">
        <v>562.6</v>
      </c>
      <c r="E19" s="11">
        <v>562.6</v>
      </c>
      <c r="F19" s="268">
        <f t="shared" si="0"/>
        <v>100</v>
      </c>
    </row>
    <row r="20" spans="1:6" ht="15" customHeight="1">
      <c r="A20" s="6" t="s">
        <v>25</v>
      </c>
      <c r="B20" s="311" t="s">
        <v>26</v>
      </c>
      <c r="C20" s="311"/>
      <c r="D20" s="13">
        <f>SUM(D21:D23)</f>
        <v>546.8</v>
      </c>
      <c r="E20" s="13">
        <f>SUM(E21:E23)</f>
        <v>546.8</v>
      </c>
      <c r="F20" s="8">
        <f t="shared" si="0"/>
        <v>100</v>
      </c>
    </row>
    <row r="21" spans="1:6" ht="15" customHeight="1" hidden="1">
      <c r="A21" s="9" t="s">
        <v>27</v>
      </c>
      <c r="B21" s="10" t="s">
        <v>9</v>
      </c>
      <c r="C21" s="10" t="s">
        <v>8</v>
      </c>
      <c r="D21" s="11"/>
      <c r="E21" s="11"/>
      <c r="F21" s="268" t="e">
        <f t="shared" si="0"/>
        <v>#DIV/0!</v>
      </c>
    </row>
    <row r="22" spans="1:6" ht="39" customHeight="1">
      <c r="A22" s="9" t="s">
        <v>28</v>
      </c>
      <c r="B22" s="10" t="s">
        <v>9</v>
      </c>
      <c r="C22" s="10" t="s">
        <v>29</v>
      </c>
      <c r="D22" s="11">
        <v>502.8</v>
      </c>
      <c r="E22" s="11">
        <v>502.8</v>
      </c>
      <c r="F22" s="268">
        <f t="shared" si="0"/>
        <v>100</v>
      </c>
    </row>
    <row r="23" spans="1:6" ht="30.75" customHeight="1">
      <c r="A23" s="9" t="s">
        <v>30</v>
      </c>
      <c r="B23" s="10" t="s">
        <v>9</v>
      </c>
      <c r="C23" s="10" t="s">
        <v>21</v>
      </c>
      <c r="D23" s="11">
        <v>44</v>
      </c>
      <c r="E23" s="11">
        <v>44</v>
      </c>
      <c r="F23" s="268">
        <f t="shared" si="0"/>
        <v>100</v>
      </c>
    </row>
    <row r="24" spans="1:6" ht="15" customHeight="1">
      <c r="A24" s="6" t="s">
        <v>31</v>
      </c>
      <c r="B24" s="311" t="s">
        <v>32</v>
      </c>
      <c r="C24" s="311"/>
      <c r="D24" s="13">
        <f>SUM(D25:D28)</f>
        <v>22050.716</v>
      </c>
      <c r="E24" s="13">
        <f>SUM(E25:E28)</f>
        <v>21974.62758</v>
      </c>
      <c r="F24" s="8">
        <f t="shared" si="0"/>
        <v>99.65493900515521</v>
      </c>
    </row>
    <row r="25" spans="1:6" ht="15" customHeight="1" hidden="1">
      <c r="A25" s="9" t="s">
        <v>33</v>
      </c>
      <c r="B25" s="10" t="s">
        <v>10</v>
      </c>
      <c r="C25" s="10" t="s">
        <v>7</v>
      </c>
      <c r="D25" s="11"/>
      <c r="E25" s="11"/>
      <c r="F25" s="268" t="e">
        <f t="shared" si="0"/>
        <v>#DIV/0!</v>
      </c>
    </row>
    <row r="26" spans="1:6" ht="15" customHeight="1">
      <c r="A26" s="9" t="s">
        <v>34</v>
      </c>
      <c r="B26" s="10" t="s">
        <v>10</v>
      </c>
      <c r="C26" s="10" t="s">
        <v>12</v>
      </c>
      <c r="D26" s="11">
        <v>445</v>
      </c>
      <c r="E26" s="11">
        <v>445</v>
      </c>
      <c r="F26" s="268">
        <f t="shared" si="0"/>
        <v>100</v>
      </c>
    </row>
    <row r="27" spans="1:6" ht="15" customHeight="1">
      <c r="A27" s="9" t="s">
        <v>504</v>
      </c>
      <c r="B27" s="10" t="s">
        <v>10</v>
      </c>
      <c r="C27" s="10" t="s">
        <v>29</v>
      </c>
      <c r="D27" s="11">
        <v>3949.65</v>
      </c>
      <c r="E27" s="11">
        <v>3949.65</v>
      </c>
      <c r="F27" s="268">
        <f t="shared" si="0"/>
        <v>100</v>
      </c>
    </row>
    <row r="28" spans="1:6" ht="15" customHeight="1">
      <c r="A28" s="9" t="s">
        <v>36</v>
      </c>
      <c r="B28" s="10" t="s">
        <v>10</v>
      </c>
      <c r="C28" s="10" t="s">
        <v>18</v>
      </c>
      <c r="D28" s="11">
        <v>17656.066</v>
      </c>
      <c r="E28" s="11">
        <v>17579.97758</v>
      </c>
      <c r="F28" s="268">
        <f t="shared" si="0"/>
        <v>99.56905224527365</v>
      </c>
    </row>
    <row r="29" spans="1:6" ht="15" customHeight="1">
      <c r="A29" s="6" t="s">
        <v>37</v>
      </c>
      <c r="B29" s="311" t="s">
        <v>38</v>
      </c>
      <c r="C29" s="311"/>
      <c r="D29" s="13">
        <f>SUM(D30:D32)</f>
        <v>36915.069299999996</v>
      </c>
      <c r="E29" s="13">
        <f>SUM(E30:E32)</f>
        <v>36553.724579999995</v>
      </c>
      <c r="F29" s="8">
        <f t="shared" si="0"/>
        <v>99.02114576282266</v>
      </c>
    </row>
    <row r="30" spans="1:6" ht="15" customHeight="1">
      <c r="A30" s="9" t="s">
        <v>39</v>
      </c>
      <c r="B30" s="10" t="s">
        <v>12</v>
      </c>
      <c r="C30" s="10" t="s">
        <v>7</v>
      </c>
      <c r="D30" s="11">
        <v>14347.462</v>
      </c>
      <c r="E30" s="11">
        <v>14337.462</v>
      </c>
      <c r="F30" s="268">
        <f t="shared" si="0"/>
        <v>99.93030126164474</v>
      </c>
    </row>
    <row r="31" spans="1:6" ht="15" customHeight="1">
      <c r="A31" s="9" t="s">
        <v>40</v>
      </c>
      <c r="B31" s="10" t="s">
        <v>12</v>
      </c>
      <c r="C31" s="10" t="s">
        <v>8</v>
      </c>
      <c r="D31" s="11">
        <v>21313.3173</v>
      </c>
      <c r="E31" s="11">
        <v>21079.26258</v>
      </c>
      <c r="F31" s="268">
        <f t="shared" si="0"/>
        <v>98.90183814792641</v>
      </c>
    </row>
    <row r="32" spans="1:6" ht="15" customHeight="1">
      <c r="A32" s="9" t="s">
        <v>41</v>
      </c>
      <c r="B32" s="10" t="s">
        <v>12</v>
      </c>
      <c r="C32" s="10" t="s">
        <v>9</v>
      </c>
      <c r="D32" s="11">
        <v>1254.29</v>
      </c>
      <c r="E32" s="11">
        <v>1137</v>
      </c>
      <c r="F32" s="268">
        <f t="shared" si="0"/>
        <v>90.64889299922666</v>
      </c>
    </row>
    <row r="33" spans="1:6" ht="15" customHeight="1">
      <c r="A33" s="6" t="s">
        <v>42</v>
      </c>
      <c r="B33" s="311" t="s">
        <v>43</v>
      </c>
      <c r="C33" s="311"/>
      <c r="D33" s="13">
        <f>SUM(D34:D38)</f>
        <v>305980.05854</v>
      </c>
      <c r="E33" s="13">
        <f>SUM(E34:E38)</f>
        <v>304947.64532</v>
      </c>
      <c r="F33" s="8">
        <f t="shared" si="0"/>
        <v>99.66258807030556</v>
      </c>
    </row>
    <row r="34" spans="1:6" ht="15" customHeight="1">
      <c r="A34" s="9" t="s">
        <v>44</v>
      </c>
      <c r="B34" s="10" t="s">
        <v>15</v>
      </c>
      <c r="C34" s="10" t="s">
        <v>7</v>
      </c>
      <c r="D34" s="11">
        <v>14910.8664</v>
      </c>
      <c r="E34" s="11">
        <v>14887.9</v>
      </c>
      <c r="F34" s="268">
        <f t="shared" si="0"/>
        <v>99.84597541562039</v>
      </c>
    </row>
    <row r="35" spans="1:6" ht="15" customHeight="1">
      <c r="A35" s="9" t="s">
        <v>45</v>
      </c>
      <c r="B35" s="10" t="s">
        <v>15</v>
      </c>
      <c r="C35" s="10" t="s">
        <v>8</v>
      </c>
      <c r="D35" s="11">
        <v>280301.65414</v>
      </c>
      <c r="E35" s="11">
        <v>279423.98599</v>
      </c>
      <c r="F35" s="268">
        <f t="shared" si="0"/>
        <v>99.68688442003926</v>
      </c>
    </row>
    <row r="36" spans="1:6" ht="27.75" customHeight="1">
      <c r="A36" s="9" t="s">
        <v>46</v>
      </c>
      <c r="B36" s="10" t="s">
        <v>15</v>
      </c>
      <c r="C36" s="10" t="s">
        <v>12</v>
      </c>
      <c r="D36" s="11">
        <v>400</v>
      </c>
      <c r="E36" s="11">
        <v>398.40984</v>
      </c>
      <c r="F36" s="268">
        <f t="shared" si="0"/>
        <v>99.60246</v>
      </c>
    </row>
    <row r="37" spans="1:6" ht="15" customHeight="1">
      <c r="A37" s="9" t="s">
        <v>47</v>
      </c>
      <c r="B37" s="10" t="s">
        <v>15</v>
      </c>
      <c r="C37" s="10" t="s">
        <v>15</v>
      </c>
      <c r="D37" s="11">
        <v>2286.88</v>
      </c>
      <c r="E37" s="11">
        <v>2286.88</v>
      </c>
      <c r="F37" s="268">
        <f t="shared" si="0"/>
        <v>100</v>
      </c>
    </row>
    <row r="38" spans="1:6" ht="15" customHeight="1">
      <c r="A38" s="9" t="s">
        <v>48</v>
      </c>
      <c r="B38" s="10" t="s">
        <v>15</v>
      </c>
      <c r="C38" s="10" t="s">
        <v>29</v>
      </c>
      <c r="D38" s="11">
        <v>8080.658</v>
      </c>
      <c r="E38" s="11">
        <v>7950.46949</v>
      </c>
      <c r="F38" s="268">
        <f t="shared" si="0"/>
        <v>98.38888726635876</v>
      </c>
    </row>
    <row r="39" spans="1:6" ht="15" customHeight="1">
      <c r="A39" s="6" t="s">
        <v>49</v>
      </c>
      <c r="B39" s="311" t="s">
        <v>50</v>
      </c>
      <c r="C39" s="311"/>
      <c r="D39" s="13">
        <f>SUM(D40:D42)</f>
        <v>11742.59075</v>
      </c>
      <c r="E39" s="13">
        <f>SUM(E40:E42)</f>
        <v>11716.46557</v>
      </c>
      <c r="F39" s="8">
        <f t="shared" si="0"/>
        <v>99.77751775092733</v>
      </c>
    </row>
    <row r="40" spans="1:6" ht="15" customHeight="1">
      <c r="A40" s="9" t="s">
        <v>51</v>
      </c>
      <c r="B40" s="10" t="s">
        <v>35</v>
      </c>
      <c r="C40" s="10" t="s">
        <v>7</v>
      </c>
      <c r="D40" s="11">
        <v>8523.16575</v>
      </c>
      <c r="E40" s="11">
        <v>8499.6924</v>
      </c>
      <c r="F40" s="268">
        <f t="shared" si="0"/>
        <v>99.72459352911211</v>
      </c>
    </row>
    <row r="41" spans="1:6" ht="15" customHeight="1">
      <c r="A41" s="9" t="s">
        <v>52</v>
      </c>
      <c r="B41" s="10" t="s">
        <v>35</v>
      </c>
      <c r="C41" s="10" t="s">
        <v>10</v>
      </c>
      <c r="D41" s="11">
        <v>3219.425</v>
      </c>
      <c r="E41" s="11">
        <v>3216.77317</v>
      </c>
      <c r="F41" s="268">
        <f t="shared" si="0"/>
        <v>99.91763032218486</v>
      </c>
    </row>
    <row r="42" spans="1:6" ht="15" customHeight="1" hidden="1">
      <c r="A42" s="9" t="s">
        <v>53</v>
      </c>
      <c r="B42" s="10" t="s">
        <v>35</v>
      </c>
      <c r="C42" s="10" t="s">
        <v>10</v>
      </c>
      <c r="D42" s="11"/>
      <c r="E42" s="11"/>
      <c r="F42" s="268" t="e">
        <f t="shared" si="0"/>
        <v>#DIV/0!</v>
      </c>
    </row>
    <row r="43" spans="1:6" ht="15" customHeight="1">
      <c r="A43" s="6" t="s">
        <v>54</v>
      </c>
      <c r="B43" s="311" t="s">
        <v>55</v>
      </c>
      <c r="C43" s="311"/>
      <c r="D43" s="13">
        <f>SUM(D44:D47)</f>
        <v>490</v>
      </c>
      <c r="E43" s="13">
        <f>SUM(E44:E47)</f>
        <v>490</v>
      </c>
      <c r="F43" s="8">
        <f t="shared" si="0"/>
        <v>100</v>
      </c>
    </row>
    <row r="44" spans="1:6" ht="15" customHeight="1" hidden="1">
      <c r="A44" s="9" t="s">
        <v>56</v>
      </c>
      <c r="B44" s="10" t="s">
        <v>29</v>
      </c>
      <c r="C44" s="10" t="s">
        <v>7</v>
      </c>
      <c r="D44" s="11"/>
      <c r="E44" s="11"/>
      <c r="F44" s="268" t="e">
        <f t="shared" si="0"/>
        <v>#DIV/0!</v>
      </c>
    </row>
    <row r="45" spans="1:6" ht="15" customHeight="1" hidden="1">
      <c r="A45" s="9" t="s">
        <v>57</v>
      </c>
      <c r="B45" s="10" t="s">
        <v>29</v>
      </c>
      <c r="C45" s="10" t="s">
        <v>8</v>
      </c>
      <c r="D45" s="11"/>
      <c r="E45" s="11"/>
      <c r="F45" s="268" t="e">
        <f t="shared" si="0"/>
        <v>#DIV/0!</v>
      </c>
    </row>
    <row r="46" spans="1:6" ht="15" customHeight="1" hidden="1">
      <c r="A46" s="9" t="s">
        <v>58</v>
      </c>
      <c r="B46" s="10" t="s">
        <v>29</v>
      </c>
      <c r="C46" s="10" t="s">
        <v>10</v>
      </c>
      <c r="D46" s="11"/>
      <c r="E46" s="11"/>
      <c r="F46" s="268" t="e">
        <f t="shared" si="0"/>
        <v>#DIV/0!</v>
      </c>
    </row>
    <row r="47" spans="1:6" ht="15" customHeight="1">
      <c r="A47" s="9" t="s">
        <v>60</v>
      </c>
      <c r="B47" s="10" t="s">
        <v>29</v>
      </c>
      <c r="C47" s="10" t="s">
        <v>29</v>
      </c>
      <c r="D47" s="11">
        <v>490</v>
      </c>
      <c r="E47" s="11">
        <v>490</v>
      </c>
      <c r="F47" s="268">
        <f t="shared" si="0"/>
        <v>100</v>
      </c>
    </row>
    <row r="48" spans="1:6" ht="15" customHeight="1">
      <c r="A48" s="6" t="s">
        <v>63</v>
      </c>
      <c r="B48" s="311" t="s">
        <v>64</v>
      </c>
      <c r="C48" s="311"/>
      <c r="D48" s="13">
        <f>SUM(D49:D53)</f>
        <v>36905.247</v>
      </c>
      <c r="E48" s="13">
        <f>SUM(E49:E53)</f>
        <v>35960.920459999994</v>
      </c>
      <c r="F48" s="8">
        <f t="shared" si="0"/>
        <v>97.44121333207711</v>
      </c>
    </row>
    <row r="49" spans="1:6" ht="15" customHeight="1">
      <c r="A49" s="9" t="s">
        <v>65</v>
      </c>
      <c r="B49" s="10" t="s">
        <v>62</v>
      </c>
      <c r="C49" s="10" t="s">
        <v>7</v>
      </c>
      <c r="D49" s="11">
        <v>117.8</v>
      </c>
      <c r="E49" s="11">
        <v>116.57028</v>
      </c>
      <c r="F49" s="268">
        <f t="shared" si="0"/>
        <v>98.95609507640067</v>
      </c>
    </row>
    <row r="50" spans="1:6" ht="15" customHeight="1">
      <c r="A50" s="9" t="s">
        <v>66</v>
      </c>
      <c r="B50" s="10" t="s">
        <v>62</v>
      </c>
      <c r="C50" s="10" t="s">
        <v>8</v>
      </c>
      <c r="D50" s="11">
        <v>306.54</v>
      </c>
      <c r="E50" s="11">
        <v>293.12506</v>
      </c>
      <c r="F50" s="268">
        <f t="shared" si="0"/>
        <v>95.62375546421347</v>
      </c>
    </row>
    <row r="51" spans="1:6" ht="15" customHeight="1">
      <c r="A51" s="9" t="s">
        <v>67</v>
      </c>
      <c r="B51" s="10" t="s">
        <v>62</v>
      </c>
      <c r="C51" s="10" t="s">
        <v>9</v>
      </c>
      <c r="D51" s="11">
        <v>17451.107</v>
      </c>
      <c r="E51" s="11">
        <v>17451.107</v>
      </c>
      <c r="F51" s="268">
        <f t="shared" si="0"/>
        <v>100</v>
      </c>
    </row>
    <row r="52" spans="1:6" ht="15" customHeight="1">
      <c r="A52" s="9" t="s">
        <v>68</v>
      </c>
      <c r="B52" s="10" t="s">
        <v>62</v>
      </c>
      <c r="C52" s="10" t="s">
        <v>10</v>
      </c>
      <c r="D52" s="11">
        <v>18688.8</v>
      </c>
      <c r="E52" s="11">
        <v>17759.11812</v>
      </c>
      <c r="F52" s="268">
        <f t="shared" si="0"/>
        <v>95.0254597405933</v>
      </c>
    </row>
    <row r="53" spans="1:6" ht="21.75" customHeight="1">
      <c r="A53" s="9" t="s">
        <v>69</v>
      </c>
      <c r="B53" s="10" t="s">
        <v>62</v>
      </c>
      <c r="C53" s="10" t="s">
        <v>13</v>
      </c>
      <c r="D53" s="11">
        <v>341</v>
      </c>
      <c r="E53" s="11">
        <v>341</v>
      </c>
      <c r="F53" s="268">
        <f t="shared" si="0"/>
        <v>100</v>
      </c>
    </row>
    <row r="54" spans="1:6" ht="15" customHeight="1">
      <c r="A54" s="6" t="s">
        <v>59</v>
      </c>
      <c r="B54" s="311" t="s">
        <v>70</v>
      </c>
      <c r="C54" s="311"/>
      <c r="D54" s="12">
        <f>D55</f>
        <v>1686.6</v>
      </c>
      <c r="E54" s="12">
        <f>E55</f>
        <v>1686.6</v>
      </c>
      <c r="F54" s="8">
        <f t="shared" si="0"/>
        <v>100</v>
      </c>
    </row>
    <row r="55" spans="1:6" ht="15" customHeight="1">
      <c r="A55" s="9" t="s">
        <v>71</v>
      </c>
      <c r="B55" s="10" t="s">
        <v>17</v>
      </c>
      <c r="C55" s="10" t="s">
        <v>7</v>
      </c>
      <c r="D55" s="11">
        <v>1686.6</v>
      </c>
      <c r="E55" s="11">
        <v>1686.6</v>
      </c>
      <c r="F55" s="268">
        <f t="shared" si="0"/>
        <v>100</v>
      </c>
    </row>
    <row r="56" spans="1:6" ht="15" customHeight="1">
      <c r="A56" s="6" t="s">
        <v>72</v>
      </c>
      <c r="B56" s="311" t="s">
        <v>73</v>
      </c>
      <c r="C56" s="311"/>
      <c r="D56" s="12">
        <f>D57</f>
        <v>969.6804</v>
      </c>
      <c r="E56" s="12">
        <f>E57</f>
        <v>969.6804</v>
      </c>
      <c r="F56" s="8">
        <f t="shared" si="0"/>
        <v>100</v>
      </c>
    </row>
    <row r="57" spans="1:6" ht="15" customHeight="1">
      <c r="A57" s="9" t="s">
        <v>52</v>
      </c>
      <c r="B57" s="10" t="s">
        <v>18</v>
      </c>
      <c r="C57" s="10" t="s">
        <v>8</v>
      </c>
      <c r="D57" s="11">
        <v>969.6804</v>
      </c>
      <c r="E57" s="11">
        <v>969.6804</v>
      </c>
      <c r="F57" s="268">
        <f t="shared" si="0"/>
        <v>100</v>
      </c>
    </row>
    <row r="58" spans="1:6" ht="26.25" customHeight="1">
      <c r="A58" s="6" t="s">
        <v>74</v>
      </c>
      <c r="B58" s="311" t="s">
        <v>75</v>
      </c>
      <c r="C58" s="311"/>
      <c r="D58" s="12">
        <f>D59</f>
        <v>254.24926</v>
      </c>
      <c r="E58" s="12">
        <f>E59</f>
        <v>254.24926</v>
      </c>
      <c r="F58" s="8">
        <f t="shared" si="0"/>
        <v>100</v>
      </c>
    </row>
    <row r="59" spans="1:6" ht="24.75" customHeight="1">
      <c r="A59" s="9" t="s">
        <v>76</v>
      </c>
      <c r="B59" s="10" t="s">
        <v>19</v>
      </c>
      <c r="C59" s="10" t="s">
        <v>7</v>
      </c>
      <c r="D59" s="11">
        <v>254.24926</v>
      </c>
      <c r="E59" s="11">
        <v>254.24926</v>
      </c>
      <c r="F59" s="268">
        <f t="shared" si="0"/>
        <v>100</v>
      </c>
    </row>
    <row r="60" spans="1:6" ht="23.25" customHeight="1">
      <c r="A60" s="6" t="s">
        <v>77</v>
      </c>
      <c r="B60" s="311" t="s">
        <v>78</v>
      </c>
      <c r="C60" s="311"/>
      <c r="D60" s="12">
        <f>D61+D62</f>
        <v>37409.9067</v>
      </c>
      <c r="E60" s="12">
        <f>E61+E62</f>
        <v>37409.9067</v>
      </c>
      <c r="F60" s="8">
        <f t="shared" si="0"/>
        <v>100</v>
      </c>
    </row>
    <row r="61" spans="1:6" ht="42.75" customHeight="1">
      <c r="A61" s="9" t="s">
        <v>79</v>
      </c>
      <c r="B61" s="10" t="s">
        <v>21</v>
      </c>
      <c r="C61" s="10" t="s">
        <v>7</v>
      </c>
      <c r="D61" s="11">
        <v>30877.1</v>
      </c>
      <c r="E61" s="11">
        <v>30877.1</v>
      </c>
      <c r="F61" s="268">
        <f t="shared" si="0"/>
        <v>100</v>
      </c>
    </row>
    <row r="62" spans="1:6" ht="42.75" customHeight="1">
      <c r="A62" s="9" t="s">
        <v>80</v>
      </c>
      <c r="B62" s="10" t="s">
        <v>21</v>
      </c>
      <c r="C62" s="10" t="s">
        <v>9</v>
      </c>
      <c r="D62" s="11">
        <v>6532.8067</v>
      </c>
      <c r="E62" s="11">
        <v>6532.8067</v>
      </c>
      <c r="F62" s="268">
        <f t="shared" si="0"/>
        <v>100</v>
      </c>
    </row>
    <row r="63" spans="1:6" ht="12.75">
      <c r="A63" s="6" t="s">
        <v>81</v>
      </c>
      <c r="B63" s="7"/>
      <c r="C63" s="7"/>
      <c r="D63" s="13">
        <f>D9+D18+D20+D24+D29+D33+D39+D43+D48+D54+D56+D58+D60</f>
        <v>481908.2915499999</v>
      </c>
      <c r="E63" s="13">
        <f>E9+E18+E20+E24+E29+E33+E39+E43+E48+E54+E56+E58+E60</f>
        <v>479431.35440999997</v>
      </c>
      <c r="F63" s="8">
        <f t="shared" si="0"/>
        <v>99.48601483240034</v>
      </c>
    </row>
    <row r="64" spans="4:5" ht="12.75">
      <c r="D64" s="14"/>
      <c r="E64" s="14"/>
    </row>
    <row r="65" spans="4:6" ht="12.75">
      <c r="D65" s="14"/>
      <c r="E65" s="14"/>
      <c r="F65" s="14"/>
    </row>
  </sheetData>
  <sheetProtection/>
  <mergeCells count="17">
    <mergeCell ref="D3:F3"/>
    <mergeCell ref="D2:F2"/>
    <mergeCell ref="B43:C43"/>
    <mergeCell ref="A5:F5"/>
    <mergeCell ref="A6:F6"/>
    <mergeCell ref="B9:C9"/>
    <mergeCell ref="B18:C18"/>
    <mergeCell ref="B39:C39"/>
    <mergeCell ref="B48:C48"/>
    <mergeCell ref="B54:C54"/>
    <mergeCell ref="B56:C56"/>
    <mergeCell ref="B58:C58"/>
    <mergeCell ref="B60:C60"/>
    <mergeCell ref="B20:C20"/>
    <mergeCell ref="B24:C24"/>
    <mergeCell ref="B29:C29"/>
    <mergeCell ref="B33:C33"/>
  </mergeCells>
  <printOptions/>
  <pageMargins left="1.1023622047244095" right="0" top="0.35433070866141736" bottom="0" header="0" footer="0.31496062992125984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84"/>
  <sheetViews>
    <sheetView view="pageBreakPreview" zoomScale="110" zoomScaleSheetLayoutView="110" zoomScalePageLayoutView="0" workbookViewId="0" topLeftCell="A1">
      <selection activeCell="A515" sqref="A515:IV515"/>
    </sheetView>
  </sheetViews>
  <sheetFormatPr defaultColWidth="9.140625" defaultRowHeight="12.75"/>
  <cols>
    <col min="1" max="1" width="42.57421875" style="240" customWidth="1"/>
    <col min="2" max="2" width="7.00390625" style="16" customWidth="1"/>
    <col min="3" max="3" width="6.7109375" style="16" customWidth="1"/>
    <col min="4" max="4" width="5.140625" style="16" customWidth="1"/>
    <col min="5" max="5" width="9.7109375" style="16" customWidth="1"/>
    <col min="6" max="6" width="7.28125" style="16" customWidth="1"/>
    <col min="7" max="7" width="0.13671875" style="16" customWidth="1"/>
    <col min="8" max="8" width="13.8515625" style="16" hidden="1" customWidth="1"/>
    <col min="9" max="9" width="12.57421875" style="16" hidden="1" customWidth="1"/>
    <col min="10" max="10" width="15.57421875" style="270" customWidth="1"/>
    <col min="11" max="11" width="15.00390625" style="270" customWidth="1"/>
    <col min="12" max="12" width="10.421875" style="252" customWidth="1"/>
    <col min="13" max="13" width="13.28125" style="16" hidden="1" customWidth="1"/>
    <col min="14" max="14" width="13.8515625" style="16" hidden="1" customWidth="1"/>
    <col min="15" max="15" width="13.140625" style="16" bestFit="1" customWidth="1"/>
    <col min="16" max="16" width="14.140625" style="16" hidden="1" customWidth="1"/>
    <col min="17" max="18" width="15.421875" style="16" bestFit="1" customWidth="1"/>
    <col min="19" max="16384" width="9.140625" style="16" customWidth="1"/>
  </cols>
  <sheetData>
    <row r="1" spans="2:13" ht="15">
      <c r="B1" s="15"/>
      <c r="C1" s="15"/>
      <c r="D1" s="15"/>
      <c r="E1" s="334"/>
      <c r="F1" s="334"/>
      <c r="G1" s="334"/>
      <c r="H1" s="334"/>
      <c r="I1" s="334"/>
      <c r="J1" s="269"/>
      <c r="K1" s="269"/>
      <c r="L1" s="251"/>
      <c r="M1" s="16" t="s">
        <v>1</v>
      </c>
    </row>
    <row r="2" spans="2:17" ht="15">
      <c r="B2" s="15"/>
      <c r="C2" s="15"/>
      <c r="D2" s="15"/>
      <c r="E2" s="335"/>
      <c r="F2" s="336"/>
      <c r="G2" s="336"/>
      <c r="H2" s="336"/>
      <c r="I2" s="336"/>
      <c r="J2" s="269" t="s">
        <v>550</v>
      </c>
      <c r="K2" s="269"/>
      <c r="L2" s="251"/>
      <c r="M2" s="335"/>
      <c r="N2" s="336"/>
      <c r="O2" s="336"/>
      <c r="P2" s="336"/>
      <c r="Q2" s="336"/>
    </row>
    <row r="3" spans="2:19" ht="30" customHeight="1">
      <c r="B3" s="15"/>
      <c r="C3" s="15"/>
      <c r="D3" s="15"/>
      <c r="E3" s="138"/>
      <c r="F3" s="138"/>
      <c r="G3" s="138"/>
      <c r="H3" s="138"/>
      <c r="I3" s="138"/>
      <c r="J3" s="337" t="s">
        <v>553</v>
      </c>
      <c r="K3" s="337"/>
      <c r="L3" s="337"/>
      <c r="P3" s="138"/>
      <c r="Q3" s="138"/>
      <c r="R3" s="254"/>
      <c r="S3" s="254"/>
    </row>
    <row r="4" spans="1:19" ht="15">
      <c r="A4" s="322" t="s">
        <v>546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P4" s="138"/>
      <c r="Q4" s="138"/>
      <c r="R4" s="254"/>
      <c r="S4" s="254"/>
    </row>
    <row r="5" spans="1:14" ht="15">
      <c r="A5" s="338" t="s">
        <v>547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254"/>
      <c r="N5" s="254"/>
    </row>
    <row r="6" ht="8.25" customHeight="1" thickBot="1"/>
    <row r="7" spans="1:14" s="293" customFormat="1" ht="13.5" customHeight="1">
      <c r="A7" s="333" t="s">
        <v>82</v>
      </c>
      <c r="B7" s="333" t="s">
        <v>83</v>
      </c>
      <c r="C7" s="333"/>
      <c r="D7" s="333"/>
      <c r="E7" s="333"/>
      <c r="F7" s="333"/>
      <c r="G7" s="340" t="s">
        <v>84</v>
      </c>
      <c r="H7" s="341" t="s">
        <v>85</v>
      </c>
      <c r="I7" s="333" t="s">
        <v>84</v>
      </c>
      <c r="J7" s="324" t="s">
        <v>86</v>
      </c>
      <c r="K7" s="324" t="s">
        <v>545</v>
      </c>
      <c r="L7" s="326" t="s">
        <v>548</v>
      </c>
      <c r="M7" s="327" t="s">
        <v>84</v>
      </c>
      <c r="N7" s="330" t="s">
        <v>87</v>
      </c>
    </row>
    <row r="8" spans="1:14" s="293" customFormat="1" ht="12">
      <c r="A8" s="333"/>
      <c r="B8" s="333" t="s">
        <v>88</v>
      </c>
      <c r="C8" s="333"/>
      <c r="D8" s="333"/>
      <c r="E8" s="333"/>
      <c r="F8" s="333"/>
      <c r="G8" s="340"/>
      <c r="H8" s="342"/>
      <c r="I8" s="343"/>
      <c r="J8" s="324"/>
      <c r="K8" s="325"/>
      <c r="L8" s="326"/>
      <c r="M8" s="328"/>
      <c r="N8" s="331"/>
    </row>
    <row r="9" spans="1:14" s="293" customFormat="1" ht="36" customHeight="1" thickBot="1">
      <c r="A9" s="333"/>
      <c r="B9" s="294" t="s">
        <v>551</v>
      </c>
      <c r="C9" s="292" t="s">
        <v>89</v>
      </c>
      <c r="D9" s="292" t="s">
        <v>90</v>
      </c>
      <c r="E9" s="292" t="s">
        <v>91</v>
      </c>
      <c r="F9" s="292" t="s">
        <v>92</v>
      </c>
      <c r="G9" s="340"/>
      <c r="H9" s="342"/>
      <c r="I9" s="343"/>
      <c r="J9" s="324"/>
      <c r="K9" s="325"/>
      <c r="L9" s="326"/>
      <c r="M9" s="329"/>
      <c r="N9" s="332"/>
    </row>
    <row r="10" spans="1:14" s="302" customFormat="1" ht="11.25" thickBot="1">
      <c r="A10" s="295" t="s">
        <v>93</v>
      </c>
      <c r="B10" s="295">
        <v>1</v>
      </c>
      <c r="C10" s="295">
        <v>2</v>
      </c>
      <c r="D10" s="295">
        <v>3</v>
      </c>
      <c r="E10" s="295">
        <v>4</v>
      </c>
      <c r="F10" s="295">
        <v>5</v>
      </c>
      <c r="G10" s="295"/>
      <c r="H10" s="296"/>
      <c r="I10" s="297"/>
      <c r="J10" s="298">
        <v>6</v>
      </c>
      <c r="K10" s="299">
        <v>7</v>
      </c>
      <c r="L10" s="298">
        <v>8</v>
      </c>
      <c r="M10" s="300">
        <v>7</v>
      </c>
      <c r="N10" s="301">
        <v>8</v>
      </c>
    </row>
    <row r="11" spans="1:18" ht="43.5" customHeight="1" hidden="1">
      <c r="A11" s="218" t="s">
        <v>61</v>
      </c>
      <c r="B11" s="23" t="s">
        <v>94</v>
      </c>
      <c r="C11" s="23" t="s">
        <v>29</v>
      </c>
      <c r="D11" s="23" t="s">
        <v>62</v>
      </c>
      <c r="E11" s="23"/>
      <c r="F11" s="23"/>
      <c r="G11" s="17">
        <f aca="true" t="shared" si="0" ref="G11:N13">G12</f>
        <v>0</v>
      </c>
      <c r="H11" s="17">
        <f t="shared" si="0"/>
        <v>1049.66</v>
      </c>
      <c r="I11" s="17">
        <f t="shared" si="0"/>
        <v>0</v>
      </c>
      <c r="J11" s="256">
        <v>0</v>
      </c>
      <c r="K11" s="256">
        <f>K12+K15+K17+K19+K21+K23</f>
        <v>0</v>
      </c>
      <c r="L11" s="202">
        <f>L12+L15+L17+L19+L21+L23</f>
        <v>0</v>
      </c>
      <c r="M11" s="38">
        <f>M12+M15</f>
        <v>33</v>
      </c>
      <c r="N11" s="39">
        <f>N12+N15</f>
        <v>33</v>
      </c>
      <c r="O11" s="40"/>
      <c r="P11" s="40"/>
      <c r="Q11" s="40"/>
      <c r="R11" s="41"/>
    </row>
    <row r="12" spans="1:18" ht="45" customHeight="1" hidden="1">
      <c r="A12" s="219" t="s">
        <v>111</v>
      </c>
      <c r="B12" s="18" t="s">
        <v>94</v>
      </c>
      <c r="C12" s="18" t="s">
        <v>29</v>
      </c>
      <c r="D12" s="18" t="s">
        <v>62</v>
      </c>
      <c r="E12" s="18" t="s">
        <v>112</v>
      </c>
      <c r="F12" s="18"/>
      <c r="G12" s="30">
        <f t="shared" si="0"/>
        <v>0</v>
      </c>
      <c r="H12" s="30">
        <f t="shared" si="0"/>
        <v>1049.66</v>
      </c>
      <c r="I12" s="30">
        <f t="shared" si="0"/>
        <v>0</v>
      </c>
      <c r="J12" s="257">
        <v>0</v>
      </c>
      <c r="K12" s="257">
        <f t="shared" si="0"/>
        <v>0</v>
      </c>
      <c r="L12" s="202">
        <f t="shared" si="0"/>
        <v>0</v>
      </c>
      <c r="M12" s="26">
        <f t="shared" si="0"/>
        <v>0</v>
      </c>
      <c r="N12" s="39">
        <f t="shared" si="0"/>
        <v>0</v>
      </c>
      <c r="O12" s="41"/>
      <c r="P12" s="41"/>
      <c r="Q12" s="41"/>
      <c r="R12" s="41"/>
    </row>
    <row r="13" spans="1:18" ht="30" customHeight="1" hidden="1">
      <c r="A13" s="219" t="s">
        <v>106</v>
      </c>
      <c r="B13" s="18" t="s">
        <v>94</v>
      </c>
      <c r="C13" s="18" t="s">
        <v>29</v>
      </c>
      <c r="D13" s="18" t="s">
        <v>62</v>
      </c>
      <c r="E13" s="18" t="s">
        <v>113</v>
      </c>
      <c r="F13" s="18"/>
      <c r="G13" s="30">
        <f t="shared" si="0"/>
        <v>0</v>
      </c>
      <c r="H13" s="30">
        <f t="shared" si="0"/>
        <v>1049.66</v>
      </c>
      <c r="I13" s="30">
        <f t="shared" si="0"/>
        <v>0</v>
      </c>
      <c r="J13" s="257">
        <v>0</v>
      </c>
      <c r="K13" s="257">
        <f t="shared" si="0"/>
        <v>0</v>
      </c>
      <c r="L13" s="202">
        <f t="shared" si="0"/>
        <v>0</v>
      </c>
      <c r="M13" s="26">
        <f t="shared" si="0"/>
        <v>0</v>
      </c>
      <c r="N13" s="39">
        <f t="shared" si="0"/>
        <v>0</v>
      </c>
      <c r="O13" s="41"/>
      <c r="P13" s="41"/>
      <c r="Q13" s="41"/>
      <c r="R13" s="41"/>
    </row>
    <row r="14" spans="1:18" ht="30.75" customHeight="1" hidden="1">
      <c r="A14" s="219" t="s">
        <v>108</v>
      </c>
      <c r="B14" s="18" t="s">
        <v>94</v>
      </c>
      <c r="C14" s="18" t="s">
        <v>29</v>
      </c>
      <c r="D14" s="18" t="s">
        <v>62</v>
      </c>
      <c r="E14" s="18" t="s">
        <v>113</v>
      </c>
      <c r="F14" s="18" t="s">
        <v>105</v>
      </c>
      <c r="G14" s="30"/>
      <c r="H14" s="24">
        <v>1049.66</v>
      </c>
      <c r="I14" s="30"/>
      <c r="J14" s="257">
        <v>0</v>
      </c>
      <c r="K14" s="257"/>
      <c r="L14" s="202">
        <f>J14+K14</f>
        <v>0</v>
      </c>
      <c r="M14" s="32"/>
      <c r="N14" s="42">
        <f>L14+M14</f>
        <v>0</v>
      </c>
      <c r="O14" s="41"/>
      <c r="P14" s="41"/>
      <c r="Q14" s="43"/>
      <c r="R14" s="41"/>
    </row>
    <row r="15" spans="1:18" ht="60.75" customHeight="1" hidden="1">
      <c r="A15" s="219" t="s">
        <v>114</v>
      </c>
      <c r="B15" s="35" t="s">
        <v>94</v>
      </c>
      <c r="C15" s="36" t="s">
        <v>29</v>
      </c>
      <c r="D15" s="36" t="s">
        <v>62</v>
      </c>
      <c r="E15" s="37">
        <v>7952014</v>
      </c>
      <c r="F15" s="36"/>
      <c r="G15" s="36"/>
      <c r="H15" s="24"/>
      <c r="I15" s="30"/>
      <c r="J15" s="257">
        <f>J16</f>
        <v>0</v>
      </c>
      <c r="K15" s="257">
        <f>K16</f>
        <v>0</v>
      </c>
      <c r="L15" s="202">
        <f>L16</f>
        <v>0</v>
      </c>
      <c r="M15" s="26">
        <f>M16</f>
        <v>33</v>
      </c>
      <c r="N15" s="44">
        <f>N16</f>
        <v>33</v>
      </c>
      <c r="O15" s="41"/>
      <c r="P15" s="41"/>
      <c r="Q15" s="43"/>
      <c r="R15" s="41"/>
    </row>
    <row r="16" spans="1:18" ht="30" customHeight="1" hidden="1" thickBot="1">
      <c r="A16" s="219" t="s">
        <v>102</v>
      </c>
      <c r="B16" s="36" t="s">
        <v>94</v>
      </c>
      <c r="C16" s="36" t="s">
        <v>29</v>
      </c>
      <c r="D16" s="36" t="s">
        <v>62</v>
      </c>
      <c r="E16" s="37">
        <v>7952014</v>
      </c>
      <c r="F16" s="36" t="s">
        <v>101</v>
      </c>
      <c r="G16" s="30"/>
      <c r="H16" s="24"/>
      <c r="I16" s="30"/>
      <c r="J16" s="257"/>
      <c r="K16" s="257"/>
      <c r="L16" s="202">
        <f>J16+K16</f>
        <v>0</v>
      </c>
      <c r="M16" s="45">
        <v>33</v>
      </c>
      <c r="N16" s="46">
        <f>L16+M16</f>
        <v>33</v>
      </c>
      <c r="O16" s="41"/>
      <c r="P16" s="41"/>
      <c r="Q16" s="43"/>
      <c r="R16" s="41"/>
    </row>
    <row r="17" spans="1:18" ht="57.75" customHeight="1" hidden="1" thickBot="1">
      <c r="A17" s="219" t="s">
        <v>115</v>
      </c>
      <c r="B17" s="35" t="s">
        <v>94</v>
      </c>
      <c r="C17" s="36" t="s">
        <v>29</v>
      </c>
      <c r="D17" s="36" t="s">
        <v>62</v>
      </c>
      <c r="E17" s="37">
        <v>7952013</v>
      </c>
      <c r="F17" s="36"/>
      <c r="G17" s="30"/>
      <c r="H17" s="24"/>
      <c r="I17" s="30"/>
      <c r="J17" s="257">
        <f>J18</f>
        <v>0</v>
      </c>
      <c r="K17" s="257">
        <f>K18</f>
        <v>0</v>
      </c>
      <c r="L17" s="202">
        <f>L18</f>
        <v>0</v>
      </c>
      <c r="M17" s="47"/>
      <c r="N17" s="48"/>
      <c r="O17" s="41"/>
      <c r="P17" s="41"/>
      <c r="Q17" s="43"/>
      <c r="R17" s="41"/>
    </row>
    <row r="18" spans="1:18" ht="30" customHeight="1" hidden="1" thickBot="1">
      <c r="A18" s="219" t="s">
        <v>102</v>
      </c>
      <c r="B18" s="36" t="s">
        <v>94</v>
      </c>
      <c r="C18" s="36" t="s">
        <v>29</v>
      </c>
      <c r="D18" s="36" t="s">
        <v>62</v>
      </c>
      <c r="E18" s="37">
        <v>7952013</v>
      </c>
      <c r="F18" s="36" t="s">
        <v>101</v>
      </c>
      <c r="G18" s="30"/>
      <c r="H18" s="24"/>
      <c r="I18" s="30"/>
      <c r="J18" s="257"/>
      <c r="K18" s="257"/>
      <c r="L18" s="202">
        <f>J18+K18</f>
        <v>0</v>
      </c>
      <c r="M18" s="47"/>
      <c r="N18" s="48"/>
      <c r="O18" s="41"/>
      <c r="P18" s="41"/>
      <c r="Q18" s="43"/>
      <c r="R18" s="41"/>
    </row>
    <row r="19" spans="1:18" ht="57" customHeight="1" hidden="1" thickBot="1">
      <c r="A19" s="219" t="s">
        <v>116</v>
      </c>
      <c r="B19" s="35" t="s">
        <v>94</v>
      </c>
      <c r="C19" s="36" t="s">
        <v>29</v>
      </c>
      <c r="D19" s="36" t="s">
        <v>62</v>
      </c>
      <c r="E19" s="37">
        <v>7952015</v>
      </c>
      <c r="F19" s="36"/>
      <c r="G19" s="30"/>
      <c r="H19" s="24"/>
      <c r="I19" s="30"/>
      <c r="J19" s="257">
        <f>J20</f>
        <v>0</v>
      </c>
      <c r="K19" s="257">
        <f>K20</f>
        <v>0</v>
      </c>
      <c r="L19" s="202">
        <f>L20</f>
        <v>0</v>
      </c>
      <c r="M19" s="47"/>
      <c r="N19" s="48"/>
      <c r="O19" s="41"/>
      <c r="P19" s="41"/>
      <c r="Q19" s="43"/>
      <c r="R19" s="41"/>
    </row>
    <row r="20" spans="1:18" ht="30" customHeight="1" hidden="1" thickBot="1">
      <c r="A20" s="219" t="s">
        <v>102</v>
      </c>
      <c r="B20" s="36" t="s">
        <v>94</v>
      </c>
      <c r="C20" s="36" t="s">
        <v>29</v>
      </c>
      <c r="D20" s="36" t="s">
        <v>62</v>
      </c>
      <c r="E20" s="37">
        <v>7952015</v>
      </c>
      <c r="F20" s="36" t="s">
        <v>101</v>
      </c>
      <c r="G20" s="30"/>
      <c r="H20" s="24"/>
      <c r="I20" s="30"/>
      <c r="J20" s="257"/>
      <c r="K20" s="257"/>
      <c r="L20" s="202">
        <f>J20+K20</f>
        <v>0</v>
      </c>
      <c r="M20" s="47"/>
      <c r="N20" s="48"/>
      <c r="O20" s="41"/>
      <c r="P20" s="41"/>
      <c r="Q20" s="43"/>
      <c r="R20" s="41"/>
    </row>
    <row r="21" spans="1:18" ht="90" customHeight="1" hidden="1" thickBot="1">
      <c r="A21" s="219" t="s">
        <v>117</v>
      </c>
      <c r="B21" s="35" t="s">
        <v>94</v>
      </c>
      <c r="C21" s="36" t="s">
        <v>29</v>
      </c>
      <c r="D21" s="36" t="s">
        <v>62</v>
      </c>
      <c r="E21" s="37">
        <v>7952016</v>
      </c>
      <c r="F21" s="36"/>
      <c r="G21" s="30"/>
      <c r="H21" s="24"/>
      <c r="I21" s="30"/>
      <c r="J21" s="257">
        <f>J22</f>
        <v>0</v>
      </c>
      <c r="K21" s="257">
        <f>K22</f>
        <v>0</v>
      </c>
      <c r="L21" s="202">
        <f>L22</f>
        <v>0</v>
      </c>
      <c r="M21" s="47"/>
      <c r="N21" s="48"/>
      <c r="O21" s="41"/>
      <c r="P21" s="41"/>
      <c r="Q21" s="43"/>
      <c r="R21" s="41"/>
    </row>
    <row r="22" spans="1:18" ht="30" customHeight="1" hidden="1" thickBot="1">
      <c r="A22" s="219" t="s">
        <v>102</v>
      </c>
      <c r="B22" s="36" t="s">
        <v>94</v>
      </c>
      <c r="C22" s="36" t="s">
        <v>29</v>
      </c>
      <c r="D22" s="36" t="s">
        <v>62</v>
      </c>
      <c r="E22" s="37">
        <v>7952016</v>
      </c>
      <c r="F22" s="36" t="s">
        <v>101</v>
      </c>
      <c r="G22" s="30"/>
      <c r="H22" s="24"/>
      <c r="I22" s="30"/>
      <c r="J22" s="257"/>
      <c r="K22" s="257"/>
      <c r="L22" s="202">
        <f>J22+K22</f>
        <v>0</v>
      </c>
      <c r="M22" s="47"/>
      <c r="N22" s="48"/>
      <c r="O22" s="41"/>
      <c r="P22" s="41"/>
      <c r="Q22" s="43"/>
      <c r="R22" s="41"/>
    </row>
    <row r="23" spans="1:18" ht="45" customHeight="1" hidden="1" thickBot="1">
      <c r="A23" s="219" t="s">
        <v>118</v>
      </c>
      <c r="B23" s="35" t="s">
        <v>94</v>
      </c>
      <c r="C23" s="36" t="s">
        <v>29</v>
      </c>
      <c r="D23" s="36" t="s">
        <v>62</v>
      </c>
      <c r="E23" s="37">
        <v>7952017</v>
      </c>
      <c r="F23" s="36"/>
      <c r="G23" s="30"/>
      <c r="H23" s="24"/>
      <c r="I23" s="30"/>
      <c r="J23" s="257">
        <f>J24</f>
        <v>0</v>
      </c>
      <c r="K23" s="257">
        <f>K24</f>
        <v>0</v>
      </c>
      <c r="L23" s="202">
        <f>L24</f>
        <v>0</v>
      </c>
      <c r="M23" s="47"/>
      <c r="N23" s="48"/>
      <c r="O23" s="41"/>
      <c r="P23" s="41"/>
      <c r="Q23" s="43"/>
      <c r="R23" s="41"/>
    </row>
    <row r="24" spans="1:18" ht="33" customHeight="1" hidden="1" thickBot="1">
      <c r="A24" s="219" t="s">
        <v>102</v>
      </c>
      <c r="B24" s="36" t="s">
        <v>94</v>
      </c>
      <c r="C24" s="36" t="s">
        <v>29</v>
      </c>
      <c r="D24" s="36" t="s">
        <v>62</v>
      </c>
      <c r="E24" s="37">
        <v>7952017</v>
      </c>
      <c r="F24" s="36" t="s">
        <v>101</v>
      </c>
      <c r="G24" s="30"/>
      <c r="H24" s="24"/>
      <c r="I24" s="30"/>
      <c r="J24" s="257"/>
      <c r="K24" s="257">
        <f>30-30</f>
        <v>0</v>
      </c>
      <c r="L24" s="202">
        <f>J24+K24</f>
        <v>0</v>
      </c>
      <c r="M24" s="49"/>
      <c r="N24" s="50"/>
      <c r="O24" s="41"/>
      <c r="P24" s="41"/>
      <c r="Q24" s="43"/>
      <c r="R24" s="41"/>
    </row>
    <row r="25" spans="1:17" ht="15.75" thickBot="1">
      <c r="A25" s="220" t="s">
        <v>119</v>
      </c>
      <c r="B25" s="187" t="s">
        <v>120</v>
      </c>
      <c r="C25" s="187"/>
      <c r="D25" s="187"/>
      <c r="E25" s="187"/>
      <c r="F25" s="187"/>
      <c r="G25" s="188" t="e">
        <f>#REF!+G26+G130</f>
        <v>#REF!</v>
      </c>
      <c r="H25" s="188" t="e">
        <f>#REF!+H26+H130</f>
        <v>#REF!</v>
      </c>
      <c r="I25" s="188" t="e">
        <f>#REF!+I26+I130</f>
        <v>#REF!</v>
      </c>
      <c r="J25" s="255">
        <f>J26+J130</f>
        <v>249571.02557</v>
      </c>
      <c r="K25" s="255">
        <f>K26+K130</f>
        <v>247650.61847000002</v>
      </c>
      <c r="L25" s="255">
        <f>K25/J25*100</f>
        <v>99.23051680554106</v>
      </c>
      <c r="M25" s="51" t="e">
        <f>#REF!+M26+M130</f>
        <v>#REF!</v>
      </c>
      <c r="N25" s="52" t="e">
        <f>#REF!+N26+N130</f>
        <v>#REF!</v>
      </c>
      <c r="O25" s="98" t="e">
        <f>L46+L51+L52+L55+L57+L59+L64+L73+L85+L87+L92+L99+L107+L108+L112+L115+L116+L117+L122+L123+L124+L125+L126+L127+L129+L137+L141+L145+L149+L150</f>
        <v>#DIV/0!</v>
      </c>
      <c r="Q25" s="98"/>
    </row>
    <row r="26" spans="1:14" ht="15">
      <c r="A26" s="218" t="s">
        <v>95</v>
      </c>
      <c r="B26" s="23" t="s">
        <v>120</v>
      </c>
      <c r="C26" s="23" t="s">
        <v>15</v>
      </c>
      <c r="D26" s="23"/>
      <c r="E26" s="23"/>
      <c r="F26" s="23"/>
      <c r="G26" s="17" t="e">
        <f>G27+G41+G95+G100+G109</f>
        <v>#REF!</v>
      </c>
      <c r="H26" s="19" t="e">
        <f>H27+H41+H95+H100+H109</f>
        <v>#REF!</v>
      </c>
      <c r="I26" s="19" t="e">
        <f>I27+I41+I95+I100+I109</f>
        <v>#REF!</v>
      </c>
      <c r="J26" s="256">
        <f>J41+J95+J100+J109+J27</f>
        <v>230882.22557</v>
      </c>
      <c r="K26" s="256">
        <f>K41+K95+K100+K109+K27</f>
        <v>229891.50035000002</v>
      </c>
      <c r="L26" s="256">
        <f>K26/J26*100</f>
        <v>99.57089584633286</v>
      </c>
      <c r="M26" s="28" t="e">
        <f>M27+M41+M95+M100+M109</f>
        <v>#REF!</v>
      </c>
      <c r="N26" s="29" t="e">
        <f>N27+N41+N95+N100+N109</f>
        <v>#DIV/0!</v>
      </c>
    </row>
    <row r="27" spans="1:14" ht="15" customHeight="1">
      <c r="A27" s="218" t="s">
        <v>44</v>
      </c>
      <c r="B27" s="23" t="s">
        <v>120</v>
      </c>
      <c r="C27" s="23" t="s">
        <v>15</v>
      </c>
      <c r="D27" s="23" t="s">
        <v>7</v>
      </c>
      <c r="E27" s="23"/>
      <c r="F27" s="23"/>
      <c r="G27" s="17">
        <f>G32</f>
        <v>-926.36</v>
      </c>
      <c r="H27" s="17">
        <f>H32</f>
        <v>3734</v>
      </c>
      <c r="I27" s="17">
        <f>I32</f>
        <v>0</v>
      </c>
      <c r="J27" s="256">
        <f>J32+J35+J38+J30+J28</f>
        <v>14709.119999999999</v>
      </c>
      <c r="K27" s="256">
        <f>K32+K35+K38+K30+K28</f>
        <v>14709.119999999999</v>
      </c>
      <c r="L27" s="256">
        <f aca="true" t="shared" si="1" ref="L27:L90">K27/J27*100</f>
        <v>100</v>
      </c>
      <c r="M27" s="207">
        <f>M32+M35+M38+M30</f>
        <v>870.6</v>
      </c>
      <c r="N27" s="207">
        <f>N32+N35+N38+N30</f>
        <v>970.6</v>
      </c>
    </row>
    <row r="28" spans="1:14" ht="29.25" customHeight="1">
      <c r="A28" s="286" t="s">
        <v>540</v>
      </c>
      <c r="B28" s="18" t="s">
        <v>120</v>
      </c>
      <c r="C28" s="18" t="s">
        <v>15</v>
      </c>
      <c r="D28" s="18" t="s">
        <v>7</v>
      </c>
      <c r="E28" s="18" t="s">
        <v>534</v>
      </c>
      <c r="F28" s="18"/>
      <c r="G28" s="30"/>
      <c r="H28" s="30"/>
      <c r="I28" s="30"/>
      <c r="J28" s="257">
        <f>J29</f>
        <v>300</v>
      </c>
      <c r="K28" s="257">
        <f>K29</f>
        <v>300</v>
      </c>
      <c r="L28" s="257">
        <f t="shared" si="1"/>
        <v>100</v>
      </c>
      <c r="M28" s="208"/>
      <c r="N28" s="209"/>
    </row>
    <row r="29" spans="1:14" ht="15" customHeight="1">
      <c r="A29" s="287" t="s">
        <v>176</v>
      </c>
      <c r="B29" s="18" t="s">
        <v>120</v>
      </c>
      <c r="C29" s="18" t="s">
        <v>15</v>
      </c>
      <c r="D29" s="18" t="s">
        <v>7</v>
      </c>
      <c r="E29" s="18" t="s">
        <v>534</v>
      </c>
      <c r="F29" s="18" t="s">
        <v>143</v>
      </c>
      <c r="G29" s="30"/>
      <c r="H29" s="30"/>
      <c r="I29" s="30"/>
      <c r="J29" s="257">
        <v>300</v>
      </c>
      <c r="K29" s="257">
        <v>300</v>
      </c>
      <c r="L29" s="257">
        <f t="shared" si="1"/>
        <v>100</v>
      </c>
      <c r="M29" s="208"/>
      <c r="N29" s="209"/>
    </row>
    <row r="30" spans="1:14" ht="40.5" customHeight="1">
      <c r="A30" s="219" t="s">
        <v>541</v>
      </c>
      <c r="B30" s="18" t="s">
        <v>120</v>
      </c>
      <c r="C30" s="18" t="s">
        <v>15</v>
      </c>
      <c r="D30" s="18" t="s">
        <v>7</v>
      </c>
      <c r="E30" s="18" t="s">
        <v>533</v>
      </c>
      <c r="F30" s="18"/>
      <c r="G30" s="30"/>
      <c r="H30" s="30"/>
      <c r="I30" s="30"/>
      <c r="J30" s="257">
        <f>J31</f>
        <v>2527.7</v>
      </c>
      <c r="K30" s="257">
        <f>K31</f>
        <v>2527.7</v>
      </c>
      <c r="L30" s="257">
        <f t="shared" si="1"/>
        <v>100</v>
      </c>
      <c r="M30" s="26"/>
      <c r="N30" s="27"/>
    </row>
    <row r="31" spans="1:14" ht="15" customHeight="1">
      <c r="A31" s="287" t="s">
        <v>176</v>
      </c>
      <c r="B31" s="18" t="s">
        <v>120</v>
      </c>
      <c r="C31" s="18" t="s">
        <v>15</v>
      </c>
      <c r="D31" s="18" t="s">
        <v>7</v>
      </c>
      <c r="E31" s="18" t="s">
        <v>533</v>
      </c>
      <c r="F31" s="18" t="s">
        <v>143</v>
      </c>
      <c r="G31" s="30"/>
      <c r="H31" s="30"/>
      <c r="I31" s="30"/>
      <c r="J31" s="257">
        <v>2527.7</v>
      </c>
      <c r="K31" s="257">
        <v>2527.7</v>
      </c>
      <c r="L31" s="257">
        <f t="shared" si="1"/>
        <v>100</v>
      </c>
      <c r="M31" s="26"/>
      <c r="N31" s="27"/>
    </row>
    <row r="32" spans="1:14" ht="15" customHeight="1">
      <c r="A32" s="219" t="s">
        <v>127</v>
      </c>
      <c r="B32" s="18" t="s">
        <v>120</v>
      </c>
      <c r="C32" s="18" t="s">
        <v>15</v>
      </c>
      <c r="D32" s="18" t="s">
        <v>7</v>
      </c>
      <c r="E32" s="18" t="s">
        <v>128</v>
      </c>
      <c r="F32" s="18"/>
      <c r="G32" s="30">
        <f>G33</f>
        <v>-926.36</v>
      </c>
      <c r="H32" s="30">
        <f>H33</f>
        <v>3734</v>
      </c>
      <c r="I32" s="30">
        <f>I33</f>
        <v>0</v>
      </c>
      <c r="J32" s="257">
        <f>J33</f>
        <v>3339</v>
      </c>
      <c r="K32" s="257">
        <f>K33</f>
        <v>3339</v>
      </c>
      <c r="L32" s="257">
        <f t="shared" si="1"/>
        <v>100</v>
      </c>
      <c r="M32" s="26">
        <f>M33</f>
        <v>870.6</v>
      </c>
      <c r="N32" s="27">
        <f>N33</f>
        <v>970.6</v>
      </c>
    </row>
    <row r="33" spans="1:14" ht="30" customHeight="1">
      <c r="A33" s="219" t="s">
        <v>106</v>
      </c>
      <c r="B33" s="18" t="s">
        <v>120</v>
      </c>
      <c r="C33" s="18" t="s">
        <v>15</v>
      </c>
      <c r="D33" s="18" t="s">
        <v>7</v>
      </c>
      <c r="E33" s="18" t="s">
        <v>129</v>
      </c>
      <c r="F33" s="18"/>
      <c r="G33" s="30">
        <f>G34+G37</f>
        <v>-926.36</v>
      </c>
      <c r="H33" s="30">
        <f>H34+H37</f>
        <v>3734</v>
      </c>
      <c r="I33" s="30">
        <f>I34+I37</f>
        <v>0</v>
      </c>
      <c r="J33" s="257">
        <f>J34</f>
        <v>3339</v>
      </c>
      <c r="K33" s="257">
        <f>K34</f>
        <v>3339</v>
      </c>
      <c r="L33" s="257">
        <f t="shared" si="1"/>
        <v>100</v>
      </c>
      <c r="M33" s="185">
        <f>M34</f>
        <v>870.6</v>
      </c>
      <c r="N33" s="185">
        <f>N34</f>
        <v>970.6</v>
      </c>
    </row>
    <row r="34" spans="1:15" ht="30" customHeight="1">
      <c r="A34" s="287" t="s">
        <v>176</v>
      </c>
      <c r="B34" s="18" t="s">
        <v>120</v>
      </c>
      <c r="C34" s="18" t="s">
        <v>15</v>
      </c>
      <c r="D34" s="18" t="s">
        <v>7</v>
      </c>
      <c r="E34" s="18" t="s">
        <v>129</v>
      </c>
      <c r="F34" s="18" t="s">
        <v>143</v>
      </c>
      <c r="G34" s="30">
        <f>-36.76+103.4</f>
        <v>66.64000000000001</v>
      </c>
      <c r="H34" s="24">
        <v>2606</v>
      </c>
      <c r="I34" s="30"/>
      <c r="J34" s="257">
        <v>3339</v>
      </c>
      <c r="K34" s="257">
        <v>3339</v>
      </c>
      <c r="L34" s="257">
        <f t="shared" si="1"/>
        <v>100</v>
      </c>
      <c r="M34" s="26">
        <f>-44.4+915</f>
        <v>870.6</v>
      </c>
      <c r="N34" s="27">
        <f>L34+M34</f>
        <v>970.6</v>
      </c>
      <c r="O34" s="139"/>
    </row>
    <row r="35" spans="1:15" ht="30" customHeight="1">
      <c r="A35" s="215" t="s">
        <v>446</v>
      </c>
      <c r="B35" s="18" t="s">
        <v>120</v>
      </c>
      <c r="C35" s="18" t="s">
        <v>15</v>
      </c>
      <c r="D35" s="18" t="s">
        <v>7</v>
      </c>
      <c r="E35" s="18" t="s">
        <v>349</v>
      </c>
      <c r="F35" s="18"/>
      <c r="G35" s="30"/>
      <c r="H35" s="24"/>
      <c r="I35" s="30"/>
      <c r="J35" s="257">
        <f>J36</f>
        <v>8388</v>
      </c>
      <c r="K35" s="257">
        <f>K36</f>
        <v>8388</v>
      </c>
      <c r="L35" s="257">
        <f t="shared" si="1"/>
        <v>100</v>
      </c>
      <c r="M35" s="26"/>
      <c r="N35" s="27"/>
      <c r="O35" s="139"/>
    </row>
    <row r="36" spans="1:15" ht="24">
      <c r="A36" s="215" t="s">
        <v>465</v>
      </c>
      <c r="B36" s="18" t="s">
        <v>120</v>
      </c>
      <c r="C36" s="18" t="s">
        <v>15</v>
      </c>
      <c r="D36" s="18" t="s">
        <v>7</v>
      </c>
      <c r="E36" s="18" t="s">
        <v>466</v>
      </c>
      <c r="F36" s="18"/>
      <c r="G36" s="30"/>
      <c r="H36" s="24"/>
      <c r="I36" s="30"/>
      <c r="J36" s="257">
        <f>J37</f>
        <v>8388</v>
      </c>
      <c r="K36" s="257">
        <f>K37</f>
        <v>8388</v>
      </c>
      <c r="L36" s="257">
        <f t="shared" si="1"/>
        <v>100</v>
      </c>
      <c r="M36" s="26"/>
      <c r="N36" s="27"/>
      <c r="O36" s="139"/>
    </row>
    <row r="37" spans="1:14" ht="15">
      <c r="A37" s="287" t="s">
        <v>176</v>
      </c>
      <c r="B37" s="18" t="s">
        <v>120</v>
      </c>
      <c r="C37" s="18" t="s">
        <v>15</v>
      </c>
      <c r="D37" s="18" t="s">
        <v>7</v>
      </c>
      <c r="E37" s="18" t="s">
        <v>466</v>
      </c>
      <c r="F37" s="18" t="s">
        <v>143</v>
      </c>
      <c r="G37" s="30">
        <f>-112.8-880.2</f>
        <v>-993</v>
      </c>
      <c r="H37" s="24">
        <v>1128</v>
      </c>
      <c r="I37" s="30"/>
      <c r="J37" s="257">
        <v>8388</v>
      </c>
      <c r="K37" s="257">
        <v>8388</v>
      </c>
      <c r="L37" s="257">
        <f t="shared" si="1"/>
        <v>100</v>
      </c>
      <c r="M37" s="26">
        <v>-65</v>
      </c>
      <c r="N37" s="27">
        <f>L37+M37</f>
        <v>35</v>
      </c>
    </row>
    <row r="38" spans="1:14" ht="15">
      <c r="A38" s="215" t="s">
        <v>340</v>
      </c>
      <c r="B38" s="18" t="s">
        <v>120</v>
      </c>
      <c r="C38" s="18" t="s">
        <v>15</v>
      </c>
      <c r="D38" s="18" t="s">
        <v>7</v>
      </c>
      <c r="E38" s="18" t="s">
        <v>269</v>
      </c>
      <c r="F38" s="18"/>
      <c r="G38" s="30"/>
      <c r="H38" s="24"/>
      <c r="I38" s="30"/>
      <c r="J38" s="257">
        <f>J39</f>
        <v>154.42</v>
      </c>
      <c r="K38" s="257">
        <f>K39</f>
        <v>154.42</v>
      </c>
      <c r="L38" s="257">
        <f t="shared" si="1"/>
        <v>100</v>
      </c>
      <c r="M38" s="26"/>
      <c r="N38" s="27"/>
    </row>
    <row r="39" spans="1:14" ht="24">
      <c r="A39" s="221" t="s">
        <v>301</v>
      </c>
      <c r="B39" s="18" t="s">
        <v>120</v>
      </c>
      <c r="C39" s="18" t="s">
        <v>15</v>
      </c>
      <c r="D39" s="18" t="s">
        <v>7</v>
      </c>
      <c r="E39" s="18" t="s">
        <v>302</v>
      </c>
      <c r="F39" s="18"/>
      <c r="G39" s="30"/>
      <c r="H39" s="24"/>
      <c r="I39" s="30"/>
      <c r="J39" s="257">
        <f>J40</f>
        <v>154.42</v>
      </c>
      <c r="K39" s="257">
        <f>K40</f>
        <v>154.42</v>
      </c>
      <c r="L39" s="257">
        <f t="shared" si="1"/>
        <v>100</v>
      </c>
      <c r="M39" s="26"/>
      <c r="N39" s="27"/>
    </row>
    <row r="40" spans="1:14" ht="15">
      <c r="A40" s="287" t="s">
        <v>176</v>
      </c>
      <c r="B40" s="18" t="s">
        <v>120</v>
      </c>
      <c r="C40" s="18" t="s">
        <v>15</v>
      </c>
      <c r="D40" s="18" t="s">
        <v>7</v>
      </c>
      <c r="E40" s="18" t="s">
        <v>302</v>
      </c>
      <c r="F40" s="18" t="s">
        <v>143</v>
      </c>
      <c r="G40" s="30"/>
      <c r="H40" s="24"/>
      <c r="I40" s="30"/>
      <c r="J40" s="257">
        <v>154.42</v>
      </c>
      <c r="K40" s="257">
        <v>154.42</v>
      </c>
      <c r="L40" s="257">
        <f t="shared" si="1"/>
        <v>100</v>
      </c>
      <c r="M40" s="26"/>
      <c r="N40" s="27"/>
    </row>
    <row r="41" spans="1:14" ht="15">
      <c r="A41" s="218" t="s">
        <v>45</v>
      </c>
      <c r="B41" s="23" t="s">
        <v>120</v>
      </c>
      <c r="C41" s="23" t="s">
        <v>15</v>
      </c>
      <c r="D41" s="23" t="s">
        <v>8</v>
      </c>
      <c r="E41" s="23"/>
      <c r="F41" s="23"/>
      <c r="G41" s="19" t="e">
        <f>G44+G65+#REF!+#REF!+#REF!+#REF!</f>
        <v>#REF!</v>
      </c>
      <c r="H41" s="19" t="e">
        <f>H44+H65+#REF!+#REF!+#REF!+#REF!</f>
        <v>#REF!</v>
      </c>
      <c r="I41" s="19" t="e">
        <f>I44+I65+#REF!+#REF!+#REF!+#REF!</f>
        <v>#REF!</v>
      </c>
      <c r="J41" s="256">
        <f>J44+J65+J83+J90+J74+J81+J42</f>
        <v>205681.28457000002</v>
      </c>
      <c r="K41" s="256">
        <f>K44+K65+K83+K90+K74+K81+K42</f>
        <v>204822.33802000002</v>
      </c>
      <c r="L41" s="256">
        <f t="shared" si="1"/>
        <v>99.5823895441942</v>
      </c>
      <c r="M41" s="38" t="e">
        <f>M44+M65+#REF!+#REF!+#REF!+#REF!</f>
        <v>#REF!</v>
      </c>
      <c r="N41" s="53" t="e">
        <f>N44+N65+#REF!+#REF!+#REF!+#REF!</f>
        <v>#DIV/0!</v>
      </c>
    </row>
    <row r="42" spans="1:14" ht="36">
      <c r="A42" s="215" t="s">
        <v>532</v>
      </c>
      <c r="B42" s="18" t="s">
        <v>120</v>
      </c>
      <c r="C42" s="18" t="s">
        <v>15</v>
      </c>
      <c r="D42" s="18" t="s">
        <v>8</v>
      </c>
      <c r="E42" s="18" t="s">
        <v>531</v>
      </c>
      <c r="F42" s="18"/>
      <c r="G42" s="25"/>
      <c r="H42" s="25"/>
      <c r="I42" s="25"/>
      <c r="J42" s="257">
        <f>J43</f>
        <v>1973</v>
      </c>
      <c r="K42" s="257">
        <f>K43</f>
        <v>1973</v>
      </c>
      <c r="L42" s="257">
        <f t="shared" si="1"/>
        <v>100</v>
      </c>
      <c r="M42" s="26"/>
      <c r="N42" s="31"/>
    </row>
    <row r="43" spans="1:14" ht="15">
      <c r="A43" s="287" t="s">
        <v>176</v>
      </c>
      <c r="B43" s="18" t="s">
        <v>120</v>
      </c>
      <c r="C43" s="18" t="s">
        <v>15</v>
      </c>
      <c r="D43" s="18" t="s">
        <v>8</v>
      </c>
      <c r="E43" s="18" t="s">
        <v>531</v>
      </c>
      <c r="F43" s="18" t="s">
        <v>143</v>
      </c>
      <c r="G43" s="25"/>
      <c r="H43" s="25"/>
      <c r="I43" s="25"/>
      <c r="J43" s="257">
        <v>1973</v>
      </c>
      <c r="K43" s="257">
        <v>1973</v>
      </c>
      <c r="L43" s="257">
        <f t="shared" si="1"/>
        <v>100</v>
      </c>
      <c r="M43" s="26"/>
      <c r="N43" s="31"/>
    </row>
    <row r="44" spans="1:14" ht="24.75">
      <c r="A44" s="219" t="s">
        <v>131</v>
      </c>
      <c r="B44" s="18" t="s">
        <v>120</v>
      </c>
      <c r="C44" s="18" t="s">
        <v>15</v>
      </c>
      <c r="D44" s="18" t="s">
        <v>8</v>
      </c>
      <c r="E44" s="18" t="s">
        <v>132</v>
      </c>
      <c r="F44" s="18"/>
      <c r="G44" s="25">
        <f>G47</f>
        <v>867.76</v>
      </c>
      <c r="H44" s="25">
        <f>H47</f>
        <v>122607.1</v>
      </c>
      <c r="I44" s="25">
        <f>I47</f>
        <v>0</v>
      </c>
      <c r="J44" s="257">
        <f>J45+J47+J53+J56+J58+J60+J61+J62</f>
        <v>177106.18323999998</v>
      </c>
      <c r="K44" s="257">
        <f>K45+K47+K53+K56+K58+K60+K61+K62</f>
        <v>176247.23669</v>
      </c>
      <c r="L44" s="257">
        <f t="shared" si="1"/>
        <v>99.51501041110686</v>
      </c>
      <c r="M44" s="26" t="e">
        <f>M47+M54+M55+M60+#REF!+M61+#REF!+#REF!+#REF!+M63+M64</f>
        <v>#REF!</v>
      </c>
      <c r="N44" s="54" t="e">
        <f>N47+N54+N55+N60+#REF!+N61+#REF!+#REF!+#REF!+N63+N64</f>
        <v>#DIV/0!</v>
      </c>
    </row>
    <row r="45" spans="1:14" ht="72">
      <c r="A45" s="288" t="s">
        <v>436</v>
      </c>
      <c r="B45" s="35" t="s">
        <v>120</v>
      </c>
      <c r="C45" s="35" t="s">
        <v>15</v>
      </c>
      <c r="D45" s="35" t="s">
        <v>8</v>
      </c>
      <c r="E45" s="35" t="s">
        <v>437</v>
      </c>
      <c r="F45" s="18"/>
      <c r="G45" s="25"/>
      <c r="H45" s="25"/>
      <c r="I45" s="25"/>
      <c r="J45" s="257">
        <f>J46</f>
        <v>132439.8</v>
      </c>
      <c r="K45" s="257">
        <f>K46</f>
        <v>132439.8</v>
      </c>
      <c r="L45" s="257">
        <f t="shared" si="1"/>
        <v>100</v>
      </c>
      <c r="M45" s="26"/>
      <c r="N45" s="54"/>
    </row>
    <row r="46" spans="1:14" ht="36">
      <c r="A46" s="215" t="s">
        <v>134</v>
      </c>
      <c r="B46" s="18" t="s">
        <v>120</v>
      </c>
      <c r="C46" s="18" t="s">
        <v>15</v>
      </c>
      <c r="D46" s="18" t="s">
        <v>8</v>
      </c>
      <c r="E46" s="18" t="s">
        <v>139</v>
      </c>
      <c r="F46" s="18" t="s">
        <v>135</v>
      </c>
      <c r="G46" s="30"/>
      <c r="H46" s="24"/>
      <c r="I46" s="30"/>
      <c r="J46" s="257">
        <v>132439.8</v>
      </c>
      <c r="K46" s="257">
        <v>132439.8</v>
      </c>
      <c r="L46" s="257">
        <f t="shared" si="1"/>
        <v>100</v>
      </c>
      <c r="M46" s="26"/>
      <c r="N46" s="27"/>
    </row>
    <row r="47" spans="1:14" ht="24.75">
      <c r="A47" s="219" t="s">
        <v>106</v>
      </c>
      <c r="B47" s="18" t="s">
        <v>120</v>
      </c>
      <c r="C47" s="18" t="s">
        <v>15</v>
      </c>
      <c r="D47" s="18" t="s">
        <v>8</v>
      </c>
      <c r="E47" s="18" t="s">
        <v>133</v>
      </c>
      <c r="F47" s="18"/>
      <c r="G47" s="30">
        <f>G48+G54</f>
        <v>867.76</v>
      </c>
      <c r="H47" s="30">
        <f>H48+H54</f>
        <v>122607.1</v>
      </c>
      <c r="I47" s="30">
        <f>I48+I54</f>
        <v>0</v>
      </c>
      <c r="J47" s="257">
        <f>J48+J51+J52+J49+J50</f>
        <v>43718.383239999996</v>
      </c>
      <c r="K47" s="257">
        <f>K48+K51+K52+K49+K50</f>
        <v>42859.44169</v>
      </c>
      <c r="L47" s="257">
        <f t="shared" si="1"/>
        <v>98.0352851904777</v>
      </c>
      <c r="M47" s="26">
        <f>M48+M51</f>
        <v>2311.3940000000002</v>
      </c>
      <c r="N47" s="54">
        <f>N48+N51</f>
        <v>2395.8384444444446</v>
      </c>
    </row>
    <row r="48" spans="1:15" ht="36">
      <c r="A48" s="215" t="s">
        <v>165</v>
      </c>
      <c r="B48" s="18" t="s">
        <v>120</v>
      </c>
      <c r="C48" s="18" t="s">
        <v>15</v>
      </c>
      <c r="D48" s="18" t="s">
        <v>8</v>
      </c>
      <c r="E48" s="18" t="s">
        <v>133</v>
      </c>
      <c r="F48" s="18" t="s">
        <v>166</v>
      </c>
      <c r="G48" s="30">
        <f>36.76+38-200</f>
        <v>-125.24000000000001</v>
      </c>
      <c r="H48" s="24">
        <v>121495.1</v>
      </c>
      <c r="I48" s="30"/>
      <c r="J48" s="257">
        <v>4.5</v>
      </c>
      <c r="K48" s="257">
        <v>3.8</v>
      </c>
      <c r="L48" s="257">
        <f t="shared" si="1"/>
        <v>84.44444444444444</v>
      </c>
      <c r="M48" s="55">
        <f>102.98+1108+1100.414</f>
        <v>2311.3940000000002</v>
      </c>
      <c r="N48" s="27">
        <f>L48+M48</f>
        <v>2395.8384444444446</v>
      </c>
      <c r="O48" s="98" t="e">
        <f>L48-#REF!</f>
        <v>#REF!</v>
      </c>
    </row>
    <row r="49" spans="1:15" ht="36" hidden="1">
      <c r="A49" s="215" t="s">
        <v>169</v>
      </c>
      <c r="B49" s="18" t="s">
        <v>120</v>
      </c>
      <c r="C49" s="18" t="s">
        <v>15</v>
      </c>
      <c r="D49" s="18" t="s">
        <v>8</v>
      </c>
      <c r="E49" s="18" t="s">
        <v>133</v>
      </c>
      <c r="F49" s="18" t="s">
        <v>170</v>
      </c>
      <c r="G49" s="30"/>
      <c r="H49" s="24"/>
      <c r="I49" s="30"/>
      <c r="J49" s="257"/>
      <c r="K49" s="257"/>
      <c r="L49" s="257" t="e">
        <f t="shared" si="1"/>
        <v>#DIV/0!</v>
      </c>
      <c r="M49" s="55"/>
      <c r="N49" s="27"/>
      <c r="O49" s="98"/>
    </row>
    <row r="50" spans="1:15" ht="36">
      <c r="A50" s="215" t="s">
        <v>156</v>
      </c>
      <c r="B50" s="18" t="s">
        <v>120</v>
      </c>
      <c r="C50" s="18" t="s">
        <v>15</v>
      </c>
      <c r="D50" s="18" t="s">
        <v>8</v>
      </c>
      <c r="E50" s="18" t="s">
        <v>133</v>
      </c>
      <c r="F50" s="18" t="s">
        <v>158</v>
      </c>
      <c r="G50" s="30"/>
      <c r="H50" s="24"/>
      <c r="I50" s="30"/>
      <c r="J50" s="257">
        <v>7530.295</v>
      </c>
      <c r="K50" s="257">
        <v>7503.55463</v>
      </c>
      <c r="L50" s="257">
        <f t="shared" si="1"/>
        <v>99.64489611628761</v>
      </c>
      <c r="M50" s="55"/>
      <c r="N50" s="27"/>
      <c r="O50" s="98"/>
    </row>
    <row r="51" spans="1:15" ht="36">
      <c r="A51" s="215" t="s">
        <v>134</v>
      </c>
      <c r="B51" s="18" t="s">
        <v>120</v>
      </c>
      <c r="C51" s="18" t="s">
        <v>15</v>
      </c>
      <c r="D51" s="18" t="s">
        <v>8</v>
      </c>
      <c r="E51" s="18" t="s">
        <v>133</v>
      </c>
      <c r="F51" s="18" t="s">
        <v>135</v>
      </c>
      <c r="G51" s="30"/>
      <c r="H51" s="24"/>
      <c r="I51" s="30"/>
      <c r="J51" s="257">
        <v>24889.83524</v>
      </c>
      <c r="K51" s="257">
        <v>24595.62142</v>
      </c>
      <c r="L51" s="257">
        <f t="shared" si="1"/>
        <v>98.8179358474532</v>
      </c>
      <c r="M51" s="55"/>
      <c r="N51" s="27"/>
      <c r="O51" s="98"/>
    </row>
    <row r="52" spans="1:15" ht="15">
      <c r="A52" s="215" t="s">
        <v>445</v>
      </c>
      <c r="B52" s="18" t="s">
        <v>120</v>
      </c>
      <c r="C52" s="18" t="s">
        <v>15</v>
      </c>
      <c r="D52" s="18" t="s">
        <v>8</v>
      </c>
      <c r="E52" s="18" t="s">
        <v>133</v>
      </c>
      <c r="F52" s="18" t="s">
        <v>143</v>
      </c>
      <c r="G52" s="30"/>
      <c r="H52" s="24"/>
      <c r="I52" s="30"/>
      <c r="J52" s="257">
        <v>11293.753</v>
      </c>
      <c r="K52" s="257">
        <v>10756.46564</v>
      </c>
      <c r="L52" s="257">
        <f t="shared" si="1"/>
        <v>95.24261456754013</v>
      </c>
      <c r="M52" s="55"/>
      <c r="N52" s="27"/>
      <c r="O52" s="98"/>
    </row>
    <row r="53" spans="1:15" ht="36.75">
      <c r="A53" s="219" t="s">
        <v>107</v>
      </c>
      <c r="B53" s="18" t="s">
        <v>120</v>
      </c>
      <c r="C53" s="18" t="s">
        <v>15</v>
      </c>
      <c r="D53" s="18" t="s">
        <v>8</v>
      </c>
      <c r="E53" s="18" t="s">
        <v>136</v>
      </c>
      <c r="F53" s="18"/>
      <c r="G53" s="30"/>
      <c r="H53" s="24"/>
      <c r="I53" s="30"/>
      <c r="J53" s="257">
        <f>J54+J55</f>
        <v>948</v>
      </c>
      <c r="K53" s="257">
        <f>K54+K55</f>
        <v>947.995</v>
      </c>
      <c r="L53" s="257">
        <f t="shared" si="1"/>
        <v>99.99947257383967</v>
      </c>
      <c r="M53" s="55"/>
      <c r="N53" s="27"/>
      <c r="O53" s="98"/>
    </row>
    <row r="54" spans="1:15" ht="15" hidden="1">
      <c r="A54" s="219" t="s">
        <v>108</v>
      </c>
      <c r="B54" s="18" t="s">
        <v>120</v>
      </c>
      <c r="C54" s="18" t="s">
        <v>15</v>
      </c>
      <c r="D54" s="18" t="s">
        <v>8</v>
      </c>
      <c r="E54" s="18" t="s">
        <v>136</v>
      </c>
      <c r="F54" s="18" t="s">
        <v>105</v>
      </c>
      <c r="G54" s="30">
        <f>112.8+880.2</f>
        <v>993</v>
      </c>
      <c r="H54" s="24">
        <v>1112</v>
      </c>
      <c r="I54" s="30"/>
      <c r="J54" s="257"/>
      <c r="K54" s="257"/>
      <c r="L54" s="257" t="e">
        <f t="shared" si="1"/>
        <v>#DIV/0!</v>
      </c>
      <c r="M54" s="26">
        <f>-605</f>
        <v>-605</v>
      </c>
      <c r="N54" s="27" t="e">
        <f>L54+M54</f>
        <v>#DIV/0!</v>
      </c>
      <c r="O54" s="74" t="e">
        <f>L54-#REF!</f>
        <v>#DIV/0!</v>
      </c>
    </row>
    <row r="55" spans="1:15" ht="36">
      <c r="A55" s="215" t="s">
        <v>134</v>
      </c>
      <c r="B55" s="18" t="s">
        <v>120</v>
      </c>
      <c r="C55" s="18" t="s">
        <v>15</v>
      </c>
      <c r="D55" s="18" t="s">
        <v>8</v>
      </c>
      <c r="E55" s="18" t="s">
        <v>136</v>
      </c>
      <c r="F55" s="18" t="s">
        <v>135</v>
      </c>
      <c r="G55" s="30"/>
      <c r="H55" s="24"/>
      <c r="I55" s="30"/>
      <c r="J55" s="257">
        <v>948</v>
      </c>
      <c r="K55" s="257">
        <v>947.995</v>
      </c>
      <c r="L55" s="257">
        <f t="shared" si="1"/>
        <v>99.99947257383967</v>
      </c>
      <c r="M55" s="26"/>
      <c r="N55" s="27"/>
      <c r="O55" s="185">
        <f>-(J55-1045.71926+136.63729+190.2)</f>
        <v>-229.11802999999992</v>
      </c>
    </row>
    <row r="56" spans="1:15" ht="24" hidden="1">
      <c r="A56" s="215" t="s">
        <v>440</v>
      </c>
      <c r="B56" s="18" t="s">
        <v>120</v>
      </c>
      <c r="C56" s="18" t="s">
        <v>15</v>
      </c>
      <c r="D56" s="18" t="s">
        <v>8</v>
      </c>
      <c r="E56" s="18" t="s">
        <v>142</v>
      </c>
      <c r="F56" s="18"/>
      <c r="G56" s="30"/>
      <c r="H56" s="24"/>
      <c r="I56" s="30"/>
      <c r="J56" s="257">
        <f>J57</f>
        <v>0</v>
      </c>
      <c r="K56" s="257">
        <f>K57</f>
        <v>0</v>
      </c>
      <c r="L56" s="257" t="e">
        <f t="shared" si="1"/>
        <v>#DIV/0!</v>
      </c>
      <c r="M56" s="26"/>
      <c r="N56" s="27"/>
      <c r="O56" s="74"/>
    </row>
    <row r="57" spans="1:14" ht="15" hidden="1">
      <c r="A57" s="287" t="s">
        <v>176</v>
      </c>
      <c r="B57" s="18" t="s">
        <v>120</v>
      </c>
      <c r="C57" s="18" t="s">
        <v>15</v>
      </c>
      <c r="D57" s="18" t="s">
        <v>8</v>
      </c>
      <c r="E57" s="18" t="s">
        <v>142</v>
      </c>
      <c r="F57" s="18" t="s">
        <v>143</v>
      </c>
      <c r="G57" s="30"/>
      <c r="H57" s="24"/>
      <c r="I57" s="30"/>
      <c r="J57" s="257">
        <v>0</v>
      </c>
      <c r="K57" s="257"/>
      <c r="L57" s="257" t="e">
        <f t="shared" si="1"/>
        <v>#DIV/0!</v>
      </c>
      <c r="M57" s="26"/>
      <c r="N57" s="27"/>
    </row>
    <row r="58" spans="1:15" ht="24.75" hidden="1">
      <c r="A58" s="219" t="s">
        <v>439</v>
      </c>
      <c r="B58" s="18" t="s">
        <v>120</v>
      </c>
      <c r="C58" s="18" t="s">
        <v>15</v>
      </c>
      <c r="D58" s="18" t="s">
        <v>8</v>
      </c>
      <c r="E58" s="18" t="s">
        <v>144</v>
      </c>
      <c r="F58" s="18"/>
      <c r="G58" s="30"/>
      <c r="H58" s="24"/>
      <c r="I58" s="30"/>
      <c r="J58" s="257">
        <f>J59</f>
        <v>0</v>
      </c>
      <c r="K58" s="257">
        <f>K59</f>
        <v>0</v>
      </c>
      <c r="L58" s="257" t="e">
        <f t="shared" si="1"/>
        <v>#DIV/0!</v>
      </c>
      <c r="M58" s="26"/>
      <c r="N58" s="27"/>
      <c r="O58" s="74"/>
    </row>
    <row r="59" spans="1:14" ht="15" hidden="1">
      <c r="A59" s="287" t="s">
        <v>176</v>
      </c>
      <c r="B59" s="18" t="s">
        <v>120</v>
      </c>
      <c r="C59" s="18" t="s">
        <v>15</v>
      </c>
      <c r="D59" s="18" t="s">
        <v>8</v>
      </c>
      <c r="E59" s="18" t="s">
        <v>144</v>
      </c>
      <c r="F59" s="18" t="s">
        <v>143</v>
      </c>
      <c r="G59" s="30"/>
      <c r="H59" s="24"/>
      <c r="I59" s="30"/>
      <c r="J59" s="257">
        <v>0</v>
      </c>
      <c r="K59" s="257"/>
      <c r="L59" s="257" t="e">
        <f t="shared" si="1"/>
        <v>#DIV/0!</v>
      </c>
      <c r="M59" s="26"/>
      <c r="N59" s="27"/>
    </row>
    <row r="60" spans="1:15" ht="48" hidden="1">
      <c r="A60" s="222" t="s">
        <v>137</v>
      </c>
      <c r="B60" s="18" t="s">
        <v>120</v>
      </c>
      <c r="C60" s="18" t="s">
        <v>15</v>
      </c>
      <c r="D60" s="18" t="s">
        <v>8</v>
      </c>
      <c r="E60" s="18" t="s">
        <v>138</v>
      </c>
      <c r="F60" s="18" t="s">
        <v>105</v>
      </c>
      <c r="G60" s="30"/>
      <c r="H60" s="24"/>
      <c r="I60" s="30"/>
      <c r="J60" s="257"/>
      <c r="K60" s="257"/>
      <c r="L60" s="257" t="e">
        <f t="shared" si="1"/>
        <v>#DIV/0!</v>
      </c>
      <c r="M60" s="26"/>
      <c r="N60" s="27"/>
      <c r="O60" s="16">
        <v>91019</v>
      </c>
    </row>
    <row r="61" spans="1:15" ht="36.75" hidden="1">
      <c r="A61" s="219" t="s">
        <v>140</v>
      </c>
      <c r="B61" s="18" t="s">
        <v>120</v>
      </c>
      <c r="C61" s="18" t="s">
        <v>15</v>
      </c>
      <c r="D61" s="18" t="s">
        <v>8</v>
      </c>
      <c r="E61" s="18" t="s">
        <v>141</v>
      </c>
      <c r="F61" s="18" t="s">
        <v>105</v>
      </c>
      <c r="G61" s="30"/>
      <c r="H61" s="24"/>
      <c r="I61" s="30"/>
      <c r="J61" s="257"/>
      <c r="K61" s="257"/>
      <c r="L61" s="257" t="e">
        <f t="shared" si="1"/>
        <v>#DIV/0!</v>
      </c>
      <c r="M61" s="26"/>
      <c r="N61" s="27"/>
      <c r="O61" s="136"/>
    </row>
    <row r="62" spans="1:14" ht="24.75" hidden="1">
      <c r="A62" s="219" t="s">
        <v>145</v>
      </c>
      <c r="B62" s="18" t="s">
        <v>120</v>
      </c>
      <c r="C62" s="18" t="s">
        <v>15</v>
      </c>
      <c r="D62" s="18" t="s">
        <v>8</v>
      </c>
      <c r="E62" s="18" t="s">
        <v>146</v>
      </c>
      <c r="F62" s="18"/>
      <c r="G62" s="30"/>
      <c r="H62" s="24"/>
      <c r="I62" s="30"/>
      <c r="J62" s="257">
        <f>J63+J64</f>
        <v>0</v>
      </c>
      <c r="K62" s="257">
        <f>K63+K64</f>
        <v>0</v>
      </c>
      <c r="L62" s="257" t="e">
        <f t="shared" si="1"/>
        <v>#DIV/0!</v>
      </c>
      <c r="M62" s="26"/>
      <c r="N62" s="27"/>
    </row>
    <row r="63" spans="1:17" ht="24.75" hidden="1">
      <c r="A63" s="219" t="s">
        <v>145</v>
      </c>
      <c r="B63" s="18" t="s">
        <v>120</v>
      </c>
      <c r="C63" s="18" t="s">
        <v>15</v>
      </c>
      <c r="D63" s="18" t="s">
        <v>8</v>
      </c>
      <c r="E63" s="18" t="s">
        <v>146</v>
      </c>
      <c r="F63" s="18" t="s">
        <v>105</v>
      </c>
      <c r="G63" s="30"/>
      <c r="H63" s="24"/>
      <c r="I63" s="30"/>
      <c r="J63" s="257"/>
      <c r="K63" s="257"/>
      <c r="L63" s="257" t="e">
        <f t="shared" si="1"/>
        <v>#DIV/0!</v>
      </c>
      <c r="M63" s="26"/>
      <c r="N63" s="27"/>
      <c r="O63" s="136">
        <v>1770.5</v>
      </c>
      <c r="Q63" s="74" t="e">
        <f>L63-O63</f>
        <v>#DIV/0!</v>
      </c>
    </row>
    <row r="64" spans="1:17" ht="36" hidden="1">
      <c r="A64" s="215" t="s">
        <v>134</v>
      </c>
      <c r="B64" s="18" t="s">
        <v>120</v>
      </c>
      <c r="C64" s="18" t="s">
        <v>15</v>
      </c>
      <c r="D64" s="18" t="s">
        <v>8</v>
      </c>
      <c r="E64" s="18" t="s">
        <v>146</v>
      </c>
      <c r="F64" s="18" t="s">
        <v>135</v>
      </c>
      <c r="G64" s="30"/>
      <c r="H64" s="24"/>
      <c r="I64" s="30"/>
      <c r="J64" s="257"/>
      <c r="K64" s="257"/>
      <c r="L64" s="257" t="e">
        <f t="shared" si="1"/>
        <v>#DIV/0!</v>
      </c>
      <c r="M64" s="26"/>
      <c r="N64" s="27"/>
      <c r="O64" s="136"/>
      <c r="Q64" s="74"/>
    </row>
    <row r="65" spans="1:14" ht="15">
      <c r="A65" s="219" t="s">
        <v>147</v>
      </c>
      <c r="B65" s="18" t="s">
        <v>120</v>
      </c>
      <c r="C65" s="18" t="s">
        <v>15</v>
      </c>
      <c r="D65" s="18" t="s">
        <v>8</v>
      </c>
      <c r="E65" s="18" t="s">
        <v>148</v>
      </c>
      <c r="F65" s="18"/>
      <c r="G65" s="30" t="e">
        <f aca="true" t="shared" si="2" ref="G65:N65">G66</f>
        <v>#REF!</v>
      </c>
      <c r="H65" s="30" t="e">
        <f t="shared" si="2"/>
        <v>#REF!</v>
      </c>
      <c r="I65" s="30" t="e">
        <f t="shared" si="2"/>
        <v>#REF!</v>
      </c>
      <c r="J65" s="257">
        <f t="shared" si="2"/>
        <v>7043.101329999999</v>
      </c>
      <c r="K65" s="257">
        <f t="shared" si="2"/>
        <v>7043.101329999999</v>
      </c>
      <c r="L65" s="257">
        <f t="shared" si="1"/>
        <v>100</v>
      </c>
      <c r="M65" s="26" t="e">
        <f t="shared" si="2"/>
        <v>#REF!</v>
      </c>
      <c r="N65" s="27" t="e">
        <f t="shared" si="2"/>
        <v>#REF!</v>
      </c>
    </row>
    <row r="66" spans="1:14" ht="24.75">
      <c r="A66" s="219" t="s">
        <v>106</v>
      </c>
      <c r="B66" s="18" t="s">
        <v>120</v>
      </c>
      <c r="C66" s="18" t="s">
        <v>15</v>
      </c>
      <c r="D66" s="18" t="s">
        <v>8</v>
      </c>
      <c r="E66" s="18" t="s">
        <v>149</v>
      </c>
      <c r="F66" s="18"/>
      <c r="G66" s="30" t="e">
        <f>G67+#REF!</f>
        <v>#REF!</v>
      </c>
      <c r="H66" s="30" t="e">
        <f>H67+#REF!</f>
        <v>#REF!</v>
      </c>
      <c r="I66" s="30" t="e">
        <f>I67+#REF!</f>
        <v>#REF!</v>
      </c>
      <c r="J66" s="257">
        <f>J67+J73+J68+J69+J70+J71+J72</f>
        <v>7043.101329999999</v>
      </c>
      <c r="K66" s="257">
        <f>K67+K73+K68+K69+K70+K71+K72</f>
        <v>7043.101329999999</v>
      </c>
      <c r="L66" s="257">
        <f t="shared" si="1"/>
        <v>100</v>
      </c>
      <c r="M66" s="26" t="e">
        <f>M67+#REF!</f>
        <v>#REF!</v>
      </c>
      <c r="N66" s="27" t="e">
        <f>N67+#REF!</f>
        <v>#REF!</v>
      </c>
    </row>
    <row r="67" spans="1:15" ht="24.75">
      <c r="A67" s="223" t="s">
        <v>162</v>
      </c>
      <c r="B67" s="18" t="s">
        <v>120</v>
      </c>
      <c r="C67" s="18" t="s">
        <v>15</v>
      </c>
      <c r="D67" s="18" t="s">
        <v>8</v>
      </c>
      <c r="E67" s="18" t="s">
        <v>149</v>
      </c>
      <c r="F67" s="18" t="s">
        <v>163</v>
      </c>
      <c r="G67" s="30">
        <v>165.6</v>
      </c>
      <c r="H67" s="24">
        <v>10077.24</v>
      </c>
      <c r="I67" s="30"/>
      <c r="J67" s="257">
        <v>3075.88883</v>
      </c>
      <c r="K67" s="257">
        <v>3075.88883</v>
      </c>
      <c r="L67" s="257">
        <f t="shared" si="1"/>
        <v>100</v>
      </c>
      <c r="M67" s="26">
        <f>15</f>
        <v>15</v>
      </c>
      <c r="N67" s="27">
        <f>L67+M67</f>
        <v>115</v>
      </c>
      <c r="O67" s="136" t="e">
        <f>L67-#REF!</f>
        <v>#REF!</v>
      </c>
    </row>
    <row r="68" spans="1:15" ht="36">
      <c r="A68" s="215" t="s">
        <v>165</v>
      </c>
      <c r="B68" s="18" t="s">
        <v>120</v>
      </c>
      <c r="C68" s="18" t="s">
        <v>15</v>
      </c>
      <c r="D68" s="18" t="s">
        <v>8</v>
      </c>
      <c r="E68" s="18" t="s">
        <v>149</v>
      </c>
      <c r="F68" s="18" t="s">
        <v>166</v>
      </c>
      <c r="G68" s="30"/>
      <c r="H68" s="24"/>
      <c r="I68" s="30"/>
      <c r="J68" s="257">
        <v>94.45</v>
      </c>
      <c r="K68" s="257">
        <v>94.45</v>
      </c>
      <c r="L68" s="257">
        <f t="shared" si="1"/>
        <v>100</v>
      </c>
      <c r="M68" s="26"/>
      <c r="N68" s="27"/>
      <c r="O68" s="136"/>
    </row>
    <row r="69" spans="1:15" ht="36">
      <c r="A69" s="215" t="s">
        <v>169</v>
      </c>
      <c r="B69" s="18" t="s">
        <v>120</v>
      </c>
      <c r="C69" s="18" t="s">
        <v>15</v>
      </c>
      <c r="D69" s="18" t="s">
        <v>8</v>
      </c>
      <c r="E69" s="18" t="s">
        <v>149</v>
      </c>
      <c r="F69" s="18" t="s">
        <v>170</v>
      </c>
      <c r="G69" s="30"/>
      <c r="H69" s="24"/>
      <c r="I69" s="30"/>
      <c r="J69" s="257">
        <v>40.2</v>
      </c>
      <c r="K69" s="257">
        <v>40.2</v>
      </c>
      <c r="L69" s="257">
        <f t="shared" si="1"/>
        <v>100</v>
      </c>
      <c r="M69" s="26"/>
      <c r="N69" s="27"/>
      <c r="O69" s="136"/>
    </row>
    <row r="70" spans="1:15" ht="36">
      <c r="A70" s="215" t="s">
        <v>156</v>
      </c>
      <c r="B70" s="18" t="s">
        <v>120</v>
      </c>
      <c r="C70" s="18" t="s">
        <v>15</v>
      </c>
      <c r="D70" s="18" t="s">
        <v>8</v>
      </c>
      <c r="E70" s="18" t="s">
        <v>149</v>
      </c>
      <c r="F70" s="18" t="s">
        <v>158</v>
      </c>
      <c r="G70" s="30"/>
      <c r="H70" s="24"/>
      <c r="I70" s="30"/>
      <c r="J70" s="257">
        <v>1457.5708</v>
      </c>
      <c r="K70" s="257">
        <v>1457.5708</v>
      </c>
      <c r="L70" s="257">
        <f t="shared" si="1"/>
        <v>100</v>
      </c>
      <c r="M70" s="26"/>
      <c r="N70" s="27"/>
      <c r="O70" s="136"/>
    </row>
    <row r="71" spans="1:15" ht="36">
      <c r="A71" s="215" t="s">
        <v>171</v>
      </c>
      <c r="B71" s="18" t="s">
        <v>120</v>
      </c>
      <c r="C71" s="18" t="s">
        <v>15</v>
      </c>
      <c r="D71" s="18" t="s">
        <v>8</v>
      </c>
      <c r="E71" s="18" t="s">
        <v>149</v>
      </c>
      <c r="F71" s="18" t="s">
        <v>172</v>
      </c>
      <c r="G71" s="30"/>
      <c r="H71" s="24"/>
      <c r="I71" s="30"/>
      <c r="J71" s="257">
        <v>206.442</v>
      </c>
      <c r="K71" s="257">
        <v>206.442</v>
      </c>
      <c r="L71" s="257">
        <f t="shared" si="1"/>
        <v>100</v>
      </c>
      <c r="M71" s="26"/>
      <c r="N71" s="27"/>
      <c r="O71" s="136"/>
    </row>
    <row r="72" spans="1:15" ht="15">
      <c r="A72" s="215" t="s">
        <v>173</v>
      </c>
      <c r="B72" s="18" t="s">
        <v>120</v>
      </c>
      <c r="C72" s="18" t="s">
        <v>15</v>
      </c>
      <c r="D72" s="18" t="s">
        <v>8</v>
      </c>
      <c r="E72" s="18" t="s">
        <v>149</v>
      </c>
      <c r="F72" s="18" t="s">
        <v>174</v>
      </c>
      <c r="G72" s="30"/>
      <c r="H72" s="24"/>
      <c r="I72" s="30"/>
      <c r="J72" s="257">
        <v>5</v>
      </c>
      <c r="K72" s="257">
        <v>5</v>
      </c>
      <c r="L72" s="257">
        <f t="shared" si="1"/>
        <v>100</v>
      </c>
      <c r="M72" s="26"/>
      <c r="N72" s="27"/>
      <c r="O72" s="136"/>
    </row>
    <row r="73" spans="1:14" ht="27.75" customHeight="1">
      <c r="A73" s="215" t="s">
        <v>134</v>
      </c>
      <c r="B73" s="18" t="s">
        <v>120</v>
      </c>
      <c r="C73" s="18" t="s">
        <v>15</v>
      </c>
      <c r="D73" s="18" t="s">
        <v>8</v>
      </c>
      <c r="E73" s="18" t="s">
        <v>149</v>
      </c>
      <c r="F73" s="18" t="s">
        <v>135</v>
      </c>
      <c r="G73" s="30"/>
      <c r="H73" s="24"/>
      <c r="I73" s="30"/>
      <c r="J73" s="257">
        <v>2163.5497</v>
      </c>
      <c r="K73" s="257">
        <v>2163.5497</v>
      </c>
      <c r="L73" s="257">
        <f t="shared" si="1"/>
        <v>100</v>
      </c>
      <c r="M73" s="26"/>
      <c r="N73" s="27"/>
    </row>
    <row r="74" spans="1:14" ht="27.75" customHeight="1">
      <c r="A74" s="215" t="s">
        <v>483</v>
      </c>
      <c r="B74" s="18" t="s">
        <v>120</v>
      </c>
      <c r="C74" s="18" t="s">
        <v>15</v>
      </c>
      <c r="D74" s="18" t="s">
        <v>8</v>
      </c>
      <c r="E74" s="18" t="s">
        <v>485</v>
      </c>
      <c r="F74" s="18"/>
      <c r="G74" s="30"/>
      <c r="H74" s="24"/>
      <c r="I74" s="30"/>
      <c r="J74" s="257">
        <f>J75+J77+J79</f>
        <v>11116.289999999999</v>
      </c>
      <c r="K74" s="257">
        <f>K75+K77+K79</f>
        <v>11116.289999999999</v>
      </c>
      <c r="L74" s="257">
        <f t="shared" si="1"/>
        <v>100</v>
      </c>
      <c r="M74" s="31"/>
      <c r="N74" s="31"/>
    </row>
    <row r="75" spans="1:15" ht="27.75" customHeight="1">
      <c r="A75" s="215" t="s">
        <v>486</v>
      </c>
      <c r="B75" s="18" t="s">
        <v>120</v>
      </c>
      <c r="C75" s="18" t="s">
        <v>15</v>
      </c>
      <c r="D75" s="18" t="s">
        <v>8</v>
      </c>
      <c r="E75" s="18" t="s">
        <v>484</v>
      </c>
      <c r="F75" s="18"/>
      <c r="G75" s="30"/>
      <c r="H75" s="24"/>
      <c r="I75" s="30"/>
      <c r="J75" s="257">
        <f aca="true" t="shared" si="3" ref="J75:O75">J76</f>
        <v>11005.13</v>
      </c>
      <c r="K75" s="257">
        <f t="shared" si="3"/>
        <v>11005.13</v>
      </c>
      <c r="L75" s="257">
        <f t="shared" si="1"/>
        <v>100</v>
      </c>
      <c r="M75" s="192">
        <f t="shared" si="3"/>
        <v>0</v>
      </c>
      <c r="N75" s="192">
        <f t="shared" si="3"/>
        <v>0</v>
      </c>
      <c r="O75" s="192">
        <f t="shared" si="3"/>
        <v>0</v>
      </c>
    </row>
    <row r="76" spans="1:15" ht="27.75" customHeight="1">
      <c r="A76" s="287" t="s">
        <v>176</v>
      </c>
      <c r="B76" s="18" t="s">
        <v>120</v>
      </c>
      <c r="C76" s="18" t="s">
        <v>15</v>
      </c>
      <c r="D76" s="18" t="s">
        <v>8</v>
      </c>
      <c r="E76" s="18" t="s">
        <v>484</v>
      </c>
      <c r="F76" s="18" t="s">
        <v>143</v>
      </c>
      <c r="G76" s="30"/>
      <c r="H76" s="24"/>
      <c r="I76" s="30"/>
      <c r="J76" s="257">
        <v>11005.13</v>
      </c>
      <c r="K76" s="257">
        <v>11005.13</v>
      </c>
      <c r="L76" s="257">
        <f t="shared" si="1"/>
        <v>100</v>
      </c>
      <c r="M76" s="193"/>
      <c r="N76" s="194"/>
      <c r="O76" s="195"/>
    </row>
    <row r="77" spans="1:15" ht="27.75" customHeight="1" hidden="1">
      <c r="A77" s="215" t="s">
        <v>488</v>
      </c>
      <c r="B77" s="18" t="s">
        <v>120</v>
      </c>
      <c r="C77" s="18" t="s">
        <v>15</v>
      </c>
      <c r="D77" s="18" t="s">
        <v>8</v>
      </c>
      <c r="E77" s="18" t="s">
        <v>489</v>
      </c>
      <c r="F77" s="18"/>
      <c r="G77" s="30"/>
      <c r="H77" s="24"/>
      <c r="I77" s="30"/>
      <c r="J77" s="257">
        <f>J78</f>
        <v>0</v>
      </c>
      <c r="K77" s="257">
        <f>K78</f>
        <v>0</v>
      </c>
      <c r="L77" s="257" t="e">
        <f t="shared" si="1"/>
        <v>#DIV/0!</v>
      </c>
      <c r="M77" s="194"/>
      <c r="N77" s="194"/>
      <c r="O77" s="196"/>
    </row>
    <row r="78" spans="1:14" ht="27.75" customHeight="1" hidden="1">
      <c r="A78" s="287" t="s">
        <v>176</v>
      </c>
      <c r="B78" s="18" t="s">
        <v>120</v>
      </c>
      <c r="C78" s="18" t="s">
        <v>15</v>
      </c>
      <c r="D78" s="18" t="s">
        <v>8</v>
      </c>
      <c r="E78" s="18" t="s">
        <v>489</v>
      </c>
      <c r="F78" s="18" t="s">
        <v>143</v>
      </c>
      <c r="G78" s="30"/>
      <c r="H78" s="24"/>
      <c r="I78" s="30"/>
      <c r="J78" s="257"/>
      <c r="K78" s="257"/>
      <c r="L78" s="257" t="e">
        <f t="shared" si="1"/>
        <v>#DIV/0!</v>
      </c>
      <c r="M78" s="31"/>
      <c r="N78" s="31"/>
    </row>
    <row r="79" spans="1:14" ht="46.5" customHeight="1">
      <c r="A79" s="215" t="s">
        <v>487</v>
      </c>
      <c r="B79" s="18" t="s">
        <v>120</v>
      </c>
      <c r="C79" s="18" t="s">
        <v>15</v>
      </c>
      <c r="D79" s="18" t="s">
        <v>8</v>
      </c>
      <c r="E79" s="18" t="s">
        <v>490</v>
      </c>
      <c r="F79" s="18"/>
      <c r="G79" s="30"/>
      <c r="H79" s="24"/>
      <c r="I79" s="30"/>
      <c r="J79" s="257">
        <f>J80</f>
        <v>111.16</v>
      </c>
      <c r="K79" s="257">
        <f>K80</f>
        <v>111.16</v>
      </c>
      <c r="L79" s="257">
        <f t="shared" si="1"/>
        <v>100</v>
      </c>
      <c r="M79" s="31"/>
      <c r="N79" s="31"/>
    </row>
    <row r="80" spans="1:14" ht="27.75" customHeight="1">
      <c r="A80" s="287" t="s">
        <v>176</v>
      </c>
      <c r="B80" s="18" t="s">
        <v>120</v>
      </c>
      <c r="C80" s="18" t="s">
        <v>15</v>
      </c>
      <c r="D80" s="18" t="s">
        <v>8</v>
      </c>
      <c r="E80" s="18" t="s">
        <v>490</v>
      </c>
      <c r="F80" s="18" t="s">
        <v>143</v>
      </c>
      <c r="G80" s="30"/>
      <c r="H80" s="24"/>
      <c r="I80" s="30"/>
      <c r="J80" s="257">
        <v>111.16</v>
      </c>
      <c r="K80" s="257">
        <v>111.16</v>
      </c>
      <c r="L80" s="257">
        <f t="shared" si="1"/>
        <v>100</v>
      </c>
      <c r="M80" s="31"/>
      <c r="N80" s="31"/>
    </row>
    <row r="81" spans="1:16" ht="24">
      <c r="A81" s="215" t="s">
        <v>491</v>
      </c>
      <c r="B81" s="18" t="s">
        <v>120</v>
      </c>
      <c r="C81" s="18" t="s">
        <v>15</v>
      </c>
      <c r="D81" s="18" t="s">
        <v>8</v>
      </c>
      <c r="E81" s="18" t="s">
        <v>492</v>
      </c>
      <c r="F81" s="18"/>
      <c r="G81" s="30"/>
      <c r="H81" s="24"/>
      <c r="I81" s="30"/>
      <c r="J81" s="257">
        <f aca="true" t="shared" si="4" ref="J81:O81">J82</f>
        <v>2690.5</v>
      </c>
      <c r="K81" s="257">
        <f t="shared" si="4"/>
        <v>2690.5</v>
      </c>
      <c r="L81" s="257">
        <f t="shared" si="1"/>
        <v>100</v>
      </c>
      <c r="M81" s="195">
        <f t="shared" si="4"/>
        <v>0</v>
      </c>
      <c r="N81" s="195">
        <f t="shared" si="4"/>
        <v>0</v>
      </c>
      <c r="O81" s="195">
        <f t="shared" si="4"/>
        <v>0</v>
      </c>
      <c r="P81" s="197">
        <f>O81/L81*100</f>
        <v>0</v>
      </c>
    </row>
    <row r="82" spans="1:16" ht="15">
      <c r="A82" s="287" t="s">
        <v>176</v>
      </c>
      <c r="B82" s="18" t="s">
        <v>120</v>
      </c>
      <c r="C82" s="18" t="s">
        <v>15</v>
      </c>
      <c r="D82" s="18" t="s">
        <v>8</v>
      </c>
      <c r="E82" s="18" t="s">
        <v>492</v>
      </c>
      <c r="F82" s="18" t="s">
        <v>143</v>
      </c>
      <c r="G82" s="30"/>
      <c r="H82" s="24"/>
      <c r="I82" s="30"/>
      <c r="J82" s="257">
        <v>2690.5</v>
      </c>
      <c r="K82" s="257">
        <v>2690.5</v>
      </c>
      <c r="L82" s="257">
        <f t="shared" si="1"/>
        <v>100</v>
      </c>
      <c r="M82" s="193"/>
      <c r="N82" s="194"/>
      <c r="O82" s="195"/>
      <c r="P82" s="197">
        <f>O82/L82*100</f>
        <v>0</v>
      </c>
    </row>
    <row r="83" spans="1:14" ht="27.75" customHeight="1">
      <c r="A83" s="215" t="s">
        <v>446</v>
      </c>
      <c r="B83" s="18" t="s">
        <v>120</v>
      </c>
      <c r="C83" s="18" t="s">
        <v>15</v>
      </c>
      <c r="D83" s="18" t="s">
        <v>8</v>
      </c>
      <c r="E83" s="18" t="s">
        <v>349</v>
      </c>
      <c r="F83" s="18"/>
      <c r="G83" s="30"/>
      <c r="H83" s="24"/>
      <c r="I83" s="30"/>
      <c r="J83" s="257">
        <f>J84+J86+J88</f>
        <v>4429.200000000001</v>
      </c>
      <c r="K83" s="257">
        <f>K84+K86+K88</f>
        <v>4429.200000000001</v>
      </c>
      <c r="L83" s="257">
        <f t="shared" si="1"/>
        <v>100</v>
      </c>
      <c r="M83" s="31"/>
      <c r="N83" s="31"/>
    </row>
    <row r="84" spans="1:14" ht="27.75" customHeight="1">
      <c r="A84" s="215" t="s">
        <v>447</v>
      </c>
      <c r="B84" s="18" t="s">
        <v>120</v>
      </c>
      <c r="C84" s="18" t="s">
        <v>15</v>
      </c>
      <c r="D84" s="18" t="s">
        <v>8</v>
      </c>
      <c r="E84" s="18" t="s">
        <v>448</v>
      </c>
      <c r="F84" s="18"/>
      <c r="G84" s="30"/>
      <c r="H84" s="24"/>
      <c r="I84" s="30"/>
      <c r="J84" s="257">
        <f>J85</f>
        <v>1667.4</v>
      </c>
      <c r="K84" s="257">
        <f>K85</f>
        <v>1667.4</v>
      </c>
      <c r="L84" s="257">
        <f t="shared" si="1"/>
        <v>100</v>
      </c>
      <c r="M84" s="31"/>
      <c r="N84" s="31"/>
    </row>
    <row r="85" spans="1:14" ht="27.75" customHeight="1">
      <c r="A85" s="215" t="s">
        <v>134</v>
      </c>
      <c r="B85" s="18" t="s">
        <v>120</v>
      </c>
      <c r="C85" s="18" t="s">
        <v>15</v>
      </c>
      <c r="D85" s="18" t="s">
        <v>8</v>
      </c>
      <c r="E85" s="18" t="s">
        <v>448</v>
      </c>
      <c r="F85" s="18" t="s">
        <v>135</v>
      </c>
      <c r="G85" s="30"/>
      <c r="H85" s="24"/>
      <c r="I85" s="30"/>
      <c r="J85" s="257">
        <v>1667.4</v>
      </c>
      <c r="K85" s="257">
        <v>1667.4</v>
      </c>
      <c r="L85" s="257">
        <f t="shared" si="1"/>
        <v>100</v>
      </c>
      <c r="M85" s="31"/>
      <c r="N85" s="31"/>
    </row>
    <row r="86" spans="1:14" ht="28.5" customHeight="1">
      <c r="A86" s="215" t="s">
        <v>150</v>
      </c>
      <c r="B86" s="18" t="s">
        <v>120</v>
      </c>
      <c r="C86" s="18" t="s">
        <v>15</v>
      </c>
      <c r="D86" s="18" t="s">
        <v>8</v>
      </c>
      <c r="E86" s="18" t="s">
        <v>151</v>
      </c>
      <c r="F86" s="18"/>
      <c r="G86" s="30"/>
      <c r="H86" s="24"/>
      <c r="I86" s="30"/>
      <c r="J86" s="257">
        <f>J87</f>
        <v>384.8</v>
      </c>
      <c r="K86" s="257">
        <f>K87</f>
        <v>384.8</v>
      </c>
      <c r="L86" s="257">
        <f t="shared" si="1"/>
        <v>100</v>
      </c>
      <c r="M86" s="56">
        <f>M87</f>
        <v>0</v>
      </c>
      <c r="N86" s="57">
        <f>N87</f>
        <v>0</v>
      </c>
    </row>
    <row r="87" spans="1:14" ht="57.75" customHeight="1">
      <c r="A87" s="215" t="s">
        <v>134</v>
      </c>
      <c r="B87" s="18" t="s">
        <v>120</v>
      </c>
      <c r="C87" s="18" t="s">
        <v>15</v>
      </c>
      <c r="D87" s="18" t="s">
        <v>8</v>
      </c>
      <c r="E87" s="18" t="s">
        <v>151</v>
      </c>
      <c r="F87" s="18" t="s">
        <v>135</v>
      </c>
      <c r="G87" s="30"/>
      <c r="H87" s="24"/>
      <c r="I87" s="30"/>
      <c r="J87" s="257">
        <v>384.8</v>
      </c>
      <c r="K87" s="257">
        <v>384.8</v>
      </c>
      <c r="L87" s="257">
        <f t="shared" si="1"/>
        <v>100</v>
      </c>
      <c r="M87" s="26"/>
      <c r="N87" s="27"/>
    </row>
    <row r="88" spans="1:14" ht="24">
      <c r="A88" s="215" t="s">
        <v>465</v>
      </c>
      <c r="B88" s="18" t="s">
        <v>120</v>
      </c>
      <c r="C88" s="18" t="s">
        <v>15</v>
      </c>
      <c r="D88" s="18" t="s">
        <v>8</v>
      </c>
      <c r="E88" s="18" t="s">
        <v>466</v>
      </c>
      <c r="F88" s="18"/>
      <c r="G88" s="30"/>
      <c r="H88" s="24"/>
      <c r="I88" s="30"/>
      <c r="J88" s="257">
        <f>J89</f>
        <v>2377</v>
      </c>
      <c r="K88" s="257">
        <f>K89</f>
        <v>2377</v>
      </c>
      <c r="L88" s="257">
        <f t="shared" si="1"/>
        <v>100</v>
      </c>
      <c r="M88" s="26"/>
      <c r="N88" s="27"/>
    </row>
    <row r="89" spans="1:14" ht="15">
      <c r="A89" s="287" t="s">
        <v>176</v>
      </c>
      <c r="B89" s="18" t="s">
        <v>120</v>
      </c>
      <c r="C89" s="18" t="s">
        <v>15</v>
      </c>
      <c r="D89" s="18" t="s">
        <v>8</v>
      </c>
      <c r="E89" s="18" t="s">
        <v>466</v>
      </c>
      <c r="F89" s="18" t="s">
        <v>143</v>
      </c>
      <c r="G89" s="30"/>
      <c r="H89" s="24"/>
      <c r="I89" s="30"/>
      <c r="J89" s="257">
        <v>2377</v>
      </c>
      <c r="K89" s="257">
        <v>2377</v>
      </c>
      <c r="L89" s="257">
        <f t="shared" si="1"/>
        <v>100</v>
      </c>
      <c r="M89" s="26"/>
      <c r="N89" s="27"/>
    </row>
    <row r="90" spans="1:14" ht="15">
      <c r="A90" s="215" t="s">
        <v>340</v>
      </c>
      <c r="B90" s="18" t="s">
        <v>120</v>
      </c>
      <c r="C90" s="18" t="s">
        <v>15</v>
      </c>
      <c r="D90" s="18" t="s">
        <v>8</v>
      </c>
      <c r="E90" s="18" t="s">
        <v>269</v>
      </c>
      <c r="F90" s="18"/>
      <c r="G90" s="30"/>
      <c r="H90" s="24"/>
      <c r="I90" s="30"/>
      <c r="J90" s="257">
        <f>J91+J93</f>
        <v>1323.01</v>
      </c>
      <c r="K90" s="257">
        <f>K91+K93</f>
        <v>1323.01</v>
      </c>
      <c r="L90" s="257">
        <f t="shared" si="1"/>
        <v>100</v>
      </c>
      <c r="M90" s="26"/>
      <c r="N90" s="27"/>
    </row>
    <row r="91" spans="1:14" ht="24">
      <c r="A91" s="221" t="s">
        <v>301</v>
      </c>
      <c r="B91" s="18" t="s">
        <v>120</v>
      </c>
      <c r="C91" s="18" t="s">
        <v>15</v>
      </c>
      <c r="D91" s="18" t="s">
        <v>8</v>
      </c>
      <c r="E91" s="18" t="s">
        <v>302</v>
      </c>
      <c r="F91" s="18"/>
      <c r="G91" s="30"/>
      <c r="H91" s="24"/>
      <c r="I91" s="30"/>
      <c r="J91" s="257">
        <f>J92</f>
        <v>1224.01</v>
      </c>
      <c r="K91" s="257">
        <f>K92</f>
        <v>1224.01</v>
      </c>
      <c r="L91" s="257">
        <f aca="true" t="shared" si="5" ref="L91:L154">K91/J91*100</f>
        <v>100</v>
      </c>
      <c r="M91" s="26"/>
      <c r="N91" s="27"/>
    </row>
    <row r="92" spans="1:14" ht="15">
      <c r="A92" s="287" t="s">
        <v>176</v>
      </c>
      <c r="B92" s="18" t="s">
        <v>120</v>
      </c>
      <c r="C92" s="18" t="s">
        <v>15</v>
      </c>
      <c r="D92" s="18" t="s">
        <v>8</v>
      </c>
      <c r="E92" s="18" t="s">
        <v>302</v>
      </c>
      <c r="F92" s="18" t="s">
        <v>143</v>
      </c>
      <c r="G92" s="30"/>
      <c r="H92" s="24"/>
      <c r="I92" s="30"/>
      <c r="J92" s="257">
        <v>1224.01</v>
      </c>
      <c r="K92" s="257">
        <v>1224.01</v>
      </c>
      <c r="L92" s="257">
        <f t="shared" si="5"/>
        <v>100</v>
      </c>
      <c r="M92" s="26"/>
      <c r="N92" s="27"/>
    </row>
    <row r="93" spans="1:14" ht="24.75">
      <c r="A93" s="224" t="s">
        <v>341</v>
      </c>
      <c r="B93" s="18" t="s">
        <v>120</v>
      </c>
      <c r="C93" s="18" t="s">
        <v>15</v>
      </c>
      <c r="D93" s="18" t="s">
        <v>8</v>
      </c>
      <c r="E93" s="18" t="s">
        <v>342</v>
      </c>
      <c r="F93" s="18"/>
      <c r="G93" s="30"/>
      <c r="H93" s="24"/>
      <c r="I93" s="30"/>
      <c r="J93" s="257">
        <f>J94</f>
        <v>99</v>
      </c>
      <c r="K93" s="257">
        <f>K94</f>
        <v>99</v>
      </c>
      <c r="L93" s="257">
        <f t="shared" si="5"/>
        <v>100</v>
      </c>
      <c r="M93" s="26"/>
      <c r="N93" s="27"/>
    </row>
    <row r="94" spans="1:14" ht="15">
      <c r="A94" s="287" t="s">
        <v>176</v>
      </c>
      <c r="B94" s="18" t="s">
        <v>120</v>
      </c>
      <c r="C94" s="18" t="s">
        <v>15</v>
      </c>
      <c r="D94" s="18" t="s">
        <v>8</v>
      </c>
      <c r="E94" s="18" t="s">
        <v>342</v>
      </c>
      <c r="F94" s="18" t="s">
        <v>143</v>
      </c>
      <c r="G94" s="30"/>
      <c r="H94" s="24"/>
      <c r="I94" s="30"/>
      <c r="J94" s="257">
        <v>99</v>
      </c>
      <c r="K94" s="257">
        <v>99</v>
      </c>
      <c r="L94" s="257">
        <f t="shared" si="5"/>
        <v>100</v>
      </c>
      <c r="M94" s="26"/>
      <c r="N94" s="27"/>
    </row>
    <row r="95" spans="1:14" ht="15">
      <c r="A95" s="218" t="s">
        <v>152</v>
      </c>
      <c r="B95" s="23" t="s">
        <v>120</v>
      </c>
      <c r="C95" s="23" t="s">
        <v>15</v>
      </c>
      <c r="D95" s="23" t="s">
        <v>12</v>
      </c>
      <c r="E95" s="23"/>
      <c r="F95" s="23"/>
      <c r="G95" s="17" t="e">
        <f>G96+#REF!</f>
        <v>#REF!</v>
      </c>
      <c r="H95" s="17" t="e">
        <f>H96+#REF!</f>
        <v>#REF!</v>
      </c>
      <c r="I95" s="17" t="e">
        <f>I96+#REF!</f>
        <v>#REF!</v>
      </c>
      <c r="J95" s="256">
        <f>J96</f>
        <v>400</v>
      </c>
      <c r="K95" s="256">
        <f>K96</f>
        <v>398.40984</v>
      </c>
      <c r="L95" s="256">
        <f t="shared" si="5"/>
        <v>99.60246</v>
      </c>
      <c r="M95" s="38" t="e">
        <f>M96+#REF!</f>
        <v>#REF!</v>
      </c>
      <c r="N95" s="53" t="e">
        <f>N96+#REF!</f>
        <v>#DIV/0!</v>
      </c>
    </row>
    <row r="96" spans="1:14" ht="15">
      <c r="A96" s="219" t="s">
        <v>96</v>
      </c>
      <c r="B96" s="18" t="s">
        <v>120</v>
      </c>
      <c r="C96" s="18" t="s">
        <v>15</v>
      </c>
      <c r="D96" s="18" t="s">
        <v>12</v>
      </c>
      <c r="E96" s="18" t="s">
        <v>97</v>
      </c>
      <c r="F96" s="18"/>
      <c r="G96" s="30">
        <f aca="true" t="shared" si="6" ref="G96:N97">G97</f>
        <v>-224</v>
      </c>
      <c r="H96" s="30">
        <f t="shared" si="6"/>
        <v>234.8</v>
      </c>
      <c r="I96" s="30">
        <f t="shared" si="6"/>
        <v>0</v>
      </c>
      <c r="J96" s="257">
        <f>J97</f>
        <v>400</v>
      </c>
      <c r="K96" s="257">
        <f>K97</f>
        <v>398.40984</v>
      </c>
      <c r="L96" s="257">
        <f t="shared" si="5"/>
        <v>99.60246</v>
      </c>
      <c r="M96" s="26">
        <f t="shared" si="6"/>
        <v>0</v>
      </c>
      <c r="N96" s="27" t="e">
        <f t="shared" si="6"/>
        <v>#DIV/0!</v>
      </c>
    </row>
    <row r="97" spans="1:14" ht="15">
      <c r="A97" s="219" t="s">
        <v>98</v>
      </c>
      <c r="B97" s="18" t="s">
        <v>120</v>
      </c>
      <c r="C97" s="18" t="s">
        <v>15</v>
      </c>
      <c r="D97" s="18" t="s">
        <v>12</v>
      </c>
      <c r="E97" s="18" t="s">
        <v>99</v>
      </c>
      <c r="F97" s="18"/>
      <c r="G97" s="30">
        <f t="shared" si="6"/>
        <v>-224</v>
      </c>
      <c r="H97" s="30">
        <f t="shared" si="6"/>
        <v>234.8</v>
      </c>
      <c r="I97" s="30">
        <f t="shared" si="6"/>
        <v>0</v>
      </c>
      <c r="J97" s="257">
        <f>J98+J99</f>
        <v>400</v>
      </c>
      <c r="K97" s="257">
        <f>K98+K99</f>
        <v>398.40984</v>
      </c>
      <c r="L97" s="257">
        <f t="shared" si="5"/>
        <v>99.60246</v>
      </c>
      <c r="M97" s="26">
        <f t="shared" si="6"/>
        <v>0</v>
      </c>
      <c r="N97" s="27" t="e">
        <f t="shared" si="6"/>
        <v>#DIV/0!</v>
      </c>
    </row>
    <row r="98" spans="1:14" ht="31.5" customHeight="1" hidden="1">
      <c r="A98" s="219" t="s">
        <v>108</v>
      </c>
      <c r="B98" s="18" t="s">
        <v>120</v>
      </c>
      <c r="C98" s="18" t="s">
        <v>15</v>
      </c>
      <c r="D98" s="18" t="s">
        <v>12</v>
      </c>
      <c r="E98" s="18" t="s">
        <v>99</v>
      </c>
      <c r="F98" s="18" t="s">
        <v>101</v>
      </c>
      <c r="G98" s="30">
        <v>-224</v>
      </c>
      <c r="H98" s="24">
        <v>234.8</v>
      </c>
      <c r="I98" s="30"/>
      <c r="J98" s="257"/>
      <c r="K98" s="257"/>
      <c r="L98" s="257" t="e">
        <f t="shared" si="5"/>
        <v>#DIV/0!</v>
      </c>
      <c r="M98" s="26"/>
      <c r="N98" s="27" t="e">
        <f>L98+M98</f>
        <v>#DIV/0!</v>
      </c>
    </row>
    <row r="99" spans="1:14" ht="18.75" customHeight="1">
      <c r="A99" s="215" t="s">
        <v>134</v>
      </c>
      <c r="B99" s="18" t="s">
        <v>120</v>
      </c>
      <c r="C99" s="18" t="s">
        <v>15</v>
      </c>
      <c r="D99" s="18" t="s">
        <v>12</v>
      </c>
      <c r="E99" s="18" t="s">
        <v>99</v>
      </c>
      <c r="F99" s="18" t="s">
        <v>135</v>
      </c>
      <c r="G99" s="24"/>
      <c r="H99" s="24"/>
      <c r="I99" s="24"/>
      <c r="J99" s="257">
        <v>400</v>
      </c>
      <c r="K99" s="257">
        <v>398.40984</v>
      </c>
      <c r="L99" s="257">
        <f t="shared" si="5"/>
        <v>99.60246</v>
      </c>
      <c r="M99" s="26"/>
      <c r="N99" s="27"/>
    </row>
    <row r="100" spans="1:14" ht="15">
      <c r="A100" s="218" t="s">
        <v>47</v>
      </c>
      <c r="B100" s="23" t="s">
        <v>120</v>
      </c>
      <c r="C100" s="23" t="s">
        <v>15</v>
      </c>
      <c r="D100" s="23" t="s">
        <v>15</v>
      </c>
      <c r="E100" s="23"/>
      <c r="F100" s="23"/>
      <c r="G100" s="17" t="e">
        <f aca="true" t="shared" si="7" ref="G100:N100">G101</f>
        <v>#REF!</v>
      </c>
      <c r="H100" s="17" t="e">
        <f t="shared" si="7"/>
        <v>#REF!</v>
      </c>
      <c r="I100" s="17" t="e">
        <f t="shared" si="7"/>
        <v>#REF!</v>
      </c>
      <c r="J100" s="256">
        <f>J101</f>
        <v>2011.163</v>
      </c>
      <c r="K100" s="256">
        <f>K101</f>
        <v>2011.163</v>
      </c>
      <c r="L100" s="256">
        <f t="shared" si="5"/>
        <v>100</v>
      </c>
      <c r="M100" s="38" t="e">
        <f t="shared" si="7"/>
        <v>#REF!</v>
      </c>
      <c r="N100" s="53" t="e">
        <f t="shared" si="7"/>
        <v>#DIV/0!</v>
      </c>
    </row>
    <row r="101" spans="1:14" ht="24.75">
      <c r="A101" s="219" t="s">
        <v>153</v>
      </c>
      <c r="B101" s="18" t="s">
        <v>120</v>
      </c>
      <c r="C101" s="18" t="s">
        <v>15</v>
      </c>
      <c r="D101" s="18" t="s">
        <v>15</v>
      </c>
      <c r="E101" s="18" t="s">
        <v>154</v>
      </c>
      <c r="F101" s="18"/>
      <c r="G101" s="30" t="e">
        <f>G102</f>
        <v>#REF!</v>
      </c>
      <c r="H101" s="30" t="e">
        <f>H102</f>
        <v>#REF!</v>
      </c>
      <c r="I101" s="30" t="e">
        <f>I102</f>
        <v>#REF!</v>
      </c>
      <c r="J101" s="257">
        <f>J102+J104+J106+J108</f>
        <v>2011.163</v>
      </c>
      <c r="K101" s="257">
        <f>K102+K104+K106+K108</f>
        <v>2011.163</v>
      </c>
      <c r="L101" s="257">
        <f t="shared" si="5"/>
        <v>100</v>
      </c>
      <c r="M101" s="26" t="e">
        <f>M102</f>
        <v>#REF!</v>
      </c>
      <c r="N101" s="27" t="e">
        <f>N102</f>
        <v>#DIV/0!</v>
      </c>
    </row>
    <row r="102" spans="1:14" ht="15" hidden="1">
      <c r="A102" s="219" t="s">
        <v>443</v>
      </c>
      <c r="B102" s="18" t="s">
        <v>120</v>
      </c>
      <c r="C102" s="18" t="s">
        <v>15</v>
      </c>
      <c r="D102" s="18" t="s">
        <v>15</v>
      </c>
      <c r="E102" s="18" t="s">
        <v>155</v>
      </c>
      <c r="F102" s="18"/>
      <c r="G102" s="30" t="e">
        <f>G103+#REF!</f>
        <v>#REF!</v>
      </c>
      <c r="H102" s="30" t="e">
        <f>H103+#REF!</f>
        <v>#REF!</v>
      </c>
      <c r="I102" s="30" t="e">
        <f>I103+#REF!</f>
        <v>#REF!</v>
      </c>
      <c r="J102" s="257">
        <f>J103</f>
        <v>0</v>
      </c>
      <c r="K102" s="257">
        <f>K103</f>
        <v>0</v>
      </c>
      <c r="L102" s="257" t="e">
        <f t="shared" si="5"/>
        <v>#DIV/0!</v>
      </c>
      <c r="M102" s="26" t="e">
        <f>M103+#REF!</f>
        <v>#REF!</v>
      </c>
      <c r="N102" s="27" t="e">
        <f>N103+#REF!</f>
        <v>#DIV/0!</v>
      </c>
    </row>
    <row r="103" spans="1:14" ht="15" hidden="1">
      <c r="A103" s="219" t="s">
        <v>108</v>
      </c>
      <c r="B103" s="18" t="s">
        <v>120</v>
      </c>
      <c r="C103" s="18" t="s">
        <v>15</v>
      </c>
      <c r="D103" s="18" t="s">
        <v>15</v>
      </c>
      <c r="E103" s="18" t="s">
        <v>155</v>
      </c>
      <c r="F103" s="18" t="s">
        <v>143</v>
      </c>
      <c r="G103" s="30">
        <v>321</v>
      </c>
      <c r="H103" s="24">
        <v>650</v>
      </c>
      <c r="I103" s="30"/>
      <c r="J103" s="257"/>
      <c r="K103" s="257"/>
      <c r="L103" s="257" t="e">
        <f t="shared" si="5"/>
        <v>#DIV/0!</v>
      </c>
      <c r="M103" s="26"/>
      <c r="N103" s="27" t="e">
        <f>L103+M103</f>
        <v>#DIV/0!</v>
      </c>
    </row>
    <row r="104" spans="1:14" ht="24.75">
      <c r="A104" s="219" t="s">
        <v>441</v>
      </c>
      <c r="B104" s="18" t="s">
        <v>120</v>
      </c>
      <c r="C104" s="18" t="s">
        <v>15</v>
      </c>
      <c r="D104" s="18" t="s">
        <v>15</v>
      </c>
      <c r="E104" s="18" t="s">
        <v>159</v>
      </c>
      <c r="F104" s="18"/>
      <c r="G104" s="30"/>
      <c r="H104" s="24"/>
      <c r="I104" s="30"/>
      <c r="J104" s="257">
        <f>J105</f>
        <v>1761.163</v>
      </c>
      <c r="K104" s="257">
        <f>K105</f>
        <v>1761.163</v>
      </c>
      <c r="L104" s="257">
        <f t="shared" si="5"/>
        <v>100</v>
      </c>
      <c r="M104" s="26"/>
      <c r="N104" s="27"/>
    </row>
    <row r="105" spans="1:14" ht="15">
      <c r="A105" s="219" t="s">
        <v>108</v>
      </c>
      <c r="B105" s="18" t="s">
        <v>120</v>
      </c>
      <c r="C105" s="18" t="s">
        <v>15</v>
      </c>
      <c r="D105" s="18" t="s">
        <v>15</v>
      </c>
      <c r="E105" s="18" t="s">
        <v>159</v>
      </c>
      <c r="F105" s="18" t="s">
        <v>143</v>
      </c>
      <c r="G105" s="30">
        <v>500</v>
      </c>
      <c r="H105" s="24"/>
      <c r="I105" s="30"/>
      <c r="J105" s="257">
        <v>1761.163</v>
      </c>
      <c r="K105" s="257">
        <v>1761.163</v>
      </c>
      <c r="L105" s="257">
        <f t="shared" si="5"/>
        <v>100</v>
      </c>
      <c r="M105" s="26">
        <v>670</v>
      </c>
      <c r="N105" s="27">
        <f>L105+M105</f>
        <v>770</v>
      </c>
    </row>
    <row r="106" spans="1:14" ht="15">
      <c r="A106" s="219" t="s">
        <v>442</v>
      </c>
      <c r="B106" s="18" t="s">
        <v>120</v>
      </c>
      <c r="C106" s="18" t="s">
        <v>15</v>
      </c>
      <c r="D106" s="18" t="s">
        <v>15</v>
      </c>
      <c r="E106" s="18" t="s">
        <v>157</v>
      </c>
      <c r="F106" s="18" t="s">
        <v>143</v>
      </c>
      <c r="G106" s="30"/>
      <c r="H106" s="24"/>
      <c r="I106" s="30"/>
      <c r="J106" s="257">
        <v>250</v>
      </c>
      <c r="K106" s="257">
        <v>250</v>
      </c>
      <c r="L106" s="257">
        <f t="shared" si="5"/>
        <v>100</v>
      </c>
      <c r="M106" s="26"/>
      <c r="N106" s="27"/>
    </row>
    <row r="107" spans="1:14" ht="36" hidden="1">
      <c r="A107" s="215" t="s">
        <v>156</v>
      </c>
      <c r="B107" s="18" t="s">
        <v>120</v>
      </c>
      <c r="C107" s="18" t="s">
        <v>15</v>
      </c>
      <c r="D107" s="18" t="s">
        <v>15</v>
      </c>
      <c r="E107" s="18" t="s">
        <v>157</v>
      </c>
      <c r="F107" s="18" t="s">
        <v>158</v>
      </c>
      <c r="G107" s="30"/>
      <c r="H107" s="24"/>
      <c r="I107" s="30"/>
      <c r="J107" s="257"/>
      <c r="K107" s="257"/>
      <c r="L107" s="257" t="e">
        <f t="shared" si="5"/>
        <v>#DIV/0!</v>
      </c>
      <c r="M107" s="26"/>
      <c r="N107" s="27"/>
    </row>
    <row r="108" spans="1:14" ht="31.5" customHeight="1" hidden="1">
      <c r="A108" s="215" t="s">
        <v>134</v>
      </c>
      <c r="B108" s="18" t="s">
        <v>120</v>
      </c>
      <c r="C108" s="18" t="s">
        <v>15</v>
      </c>
      <c r="D108" s="18" t="s">
        <v>15</v>
      </c>
      <c r="E108" s="18" t="s">
        <v>160</v>
      </c>
      <c r="F108" s="18" t="s">
        <v>135</v>
      </c>
      <c r="G108" s="30"/>
      <c r="H108" s="24"/>
      <c r="I108" s="30"/>
      <c r="J108" s="257">
        <v>0</v>
      </c>
      <c r="K108" s="257"/>
      <c r="L108" s="257" t="e">
        <f t="shared" si="5"/>
        <v>#DIV/0!</v>
      </c>
      <c r="M108" s="31"/>
      <c r="N108" s="31"/>
    </row>
    <row r="109" spans="1:14" ht="22.5" customHeight="1">
      <c r="A109" s="218" t="s">
        <v>48</v>
      </c>
      <c r="B109" s="23" t="s">
        <v>120</v>
      </c>
      <c r="C109" s="23" t="s">
        <v>15</v>
      </c>
      <c r="D109" s="23" t="s">
        <v>29</v>
      </c>
      <c r="E109" s="23"/>
      <c r="F109" s="23"/>
      <c r="G109" s="19" t="e">
        <f>G110+G119+#REF!+#REF!+G114+G128</f>
        <v>#REF!</v>
      </c>
      <c r="H109" s="19" t="e">
        <f>H110+H119+#REF!+#REF!+H114+H128</f>
        <v>#REF!</v>
      </c>
      <c r="I109" s="19" t="e">
        <f>I110+I119+#REF!+#REF!+I114+I128</f>
        <v>#REF!</v>
      </c>
      <c r="J109" s="256">
        <f>J110+J114+J119+J128</f>
        <v>8080.657999999999</v>
      </c>
      <c r="K109" s="256">
        <f>K110+K114+K119+K128</f>
        <v>7950.4694899999995</v>
      </c>
      <c r="L109" s="256">
        <f t="shared" si="5"/>
        <v>98.38888726635876</v>
      </c>
      <c r="M109" s="38" t="e">
        <f>M110+M119+#REF!+#REF!+M114+M128</f>
        <v>#REF!</v>
      </c>
      <c r="N109" s="58" t="e">
        <f>N110+N119+#REF!+#REF!+N114+N128</f>
        <v>#REF!</v>
      </c>
    </row>
    <row r="110" spans="1:14" ht="36.75">
      <c r="A110" s="219" t="s">
        <v>123</v>
      </c>
      <c r="B110" s="18" t="s">
        <v>120</v>
      </c>
      <c r="C110" s="18" t="s">
        <v>15</v>
      </c>
      <c r="D110" s="18" t="s">
        <v>29</v>
      </c>
      <c r="E110" s="18" t="s">
        <v>124</v>
      </c>
      <c r="F110" s="18"/>
      <c r="G110" s="30" t="e">
        <f aca="true" t="shared" si="8" ref="G110:N110">G111</f>
        <v>#REF!</v>
      </c>
      <c r="H110" s="30" t="e">
        <f t="shared" si="8"/>
        <v>#REF!</v>
      </c>
      <c r="I110" s="30" t="e">
        <f t="shared" si="8"/>
        <v>#REF!</v>
      </c>
      <c r="J110" s="257">
        <f t="shared" si="8"/>
        <v>1324.79117</v>
      </c>
      <c r="K110" s="257">
        <f t="shared" si="8"/>
        <v>1307.13006</v>
      </c>
      <c r="L110" s="257">
        <f t="shared" si="5"/>
        <v>98.66687592732069</v>
      </c>
      <c r="M110" s="26" t="e">
        <f t="shared" si="8"/>
        <v>#REF!</v>
      </c>
      <c r="N110" s="27" t="e">
        <f t="shared" si="8"/>
        <v>#REF!</v>
      </c>
    </row>
    <row r="111" spans="1:14" ht="15">
      <c r="A111" s="219" t="s">
        <v>125</v>
      </c>
      <c r="B111" s="18" t="s">
        <v>120</v>
      </c>
      <c r="C111" s="18" t="s">
        <v>15</v>
      </c>
      <c r="D111" s="18" t="s">
        <v>29</v>
      </c>
      <c r="E111" s="18" t="s">
        <v>126</v>
      </c>
      <c r="F111" s="18"/>
      <c r="G111" s="30" t="e">
        <f>#REF!+#REF!</f>
        <v>#REF!</v>
      </c>
      <c r="H111" s="25" t="e">
        <f>#REF!+#REF!</f>
        <v>#REF!</v>
      </c>
      <c r="I111" s="25" t="e">
        <f>#REF!+#REF!</f>
        <v>#REF!</v>
      </c>
      <c r="J111" s="257">
        <f>J112+J113</f>
        <v>1324.79117</v>
      </c>
      <c r="K111" s="257">
        <f>K112+K113</f>
        <v>1307.13006</v>
      </c>
      <c r="L111" s="257">
        <f t="shared" si="5"/>
        <v>98.66687592732069</v>
      </c>
      <c r="M111" s="26" t="e">
        <f>#REF!+#REF!</f>
        <v>#REF!</v>
      </c>
      <c r="N111" s="27" t="e">
        <f>#REF!+#REF!</f>
        <v>#REF!</v>
      </c>
    </row>
    <row r="112" spans="1:15" ht="24">
      <c r="A112" s="215" t="s">
        <v>162</v>
      </c>
      <c r="B112" s="18" t="s">
        <v>120</v>
      </c>
      <c r="C112" s="18" t="s">
        <v>15</v>
      </c>
      <c r="D112" s="18" t="s">
        <v>29</v>
      </c>
      <c r="E112" s="18" t="s">
        <v>126</v>
      </c>
      <c r="F112" s="18" t="s">
        <v>163</v>
      </c>
      <c r="G112" s="30"/>
      <c r="H112" s="24"/>
      <c r="I112" s="30"/>
      <c r="J112" s="257">
        <v>1324.79117</v>
      </c>
      <c r="K112" s="257">
        <v>1307.13006</v>
      </c>
      <c r="L112" s="257">
        <f t="shared" si="5"/>
        <v>98.66687592732069</v>
      </c>
      <c r="M112" s="26"/>
      <c r="N112" s="27"/>
      <c r="O112" s="74"/>
    </row>
    <row r="113" spans="1:15" ht="24.75" hidden="1">
      <c r="A113" s="219" t="s">
        <v>102</v>
      </c>
      <c r="B113" s="18" t="s">
        <v>120</v>
      </c>
      <c r="C113" s="18" t="s">
        <v>15</v>
      </c>
      <c r="D113" s="18" t="s">
        <v>29</v>
      </c>
      <c r="E113" s="18" t="s">
        <v>126</v>
      </c>
      <c r="F113" s="18" t="s">
        <v>101</v>
      </c>
      <c r="G113" s="30">
        <f>519.1+79</f>
        <v>598.1</v>
      </c>
      <c r="H113" s="24"/>
      <c r="I113" s="30"/>
      <c r="J113" s="257"/>
      <c r="K113" s="257"/>
      <c r="L113" s="257" t="e">
        <f t="shared" si="5"/>
        <v>#DIV/0!</v>
      </c>
      <c r="M113" s="26"/>
      <c r="N113" s="27" t="e">
        <f>L113+M113</f>
        <v>#DIV/0!</v>
      </c>
      <c r="O113" s="74" t="e">
        <f>L113-#REF!</f>
        <v>#DIV/0!</v>
      </c>
    </row>
    <row r="114" spans="1:14" ht="60">
      <c r="A114" s="288" t="s">
        <v>438</v>
      </c>
      <c r="B114" s="18" t="s">
        <v>120</v>
      </c>
      <c r="C114" s="18" t="s">
        <v>15</v>
      </c>
      <c r="D114" s="18" t="s">
        <v>29</v>
      </c>
      <c r="E114" s="18" t="s">
        <v>164</v>
      </c>
      <c r="F114" s="18"/>
      <c r="G114" s="30"/>
      <c r="H114" s="24"/>
      <c r="I114" s="30"/>
      <c r="J114" s="257">
        <f>J115+J116+J117+J118</f>
        <v>665.8000000000001</v>
      </c>
      <c r="K114" s="257">
        <f>K115+K116+K117+K118</f>
        <v>665.04359</v>
      </c>
      <c r="L114" s="257">
        <f t="shared" si="5"/>
        <v>99.88639080805045</v>
      </c>
      <c r="M114" s="26"/>
      <c r="N114" s="27"/>
    </row>
    <row r="115" spans="1:17" ht="24">
      <c r="A115" s="215" t="s">
        <v>162</v>
      </c>
      <c r="B115" s="18" t="s">
        <v>120</v>
      </c>
      <c r="C115" s="18" t="s">
        <v>15</v>
      </c>
      <c r="D115" s="18" t="s">
        <v>29</v>
      </c>
      <c r="E115" s="18" t="s">
        <v>164</v>
      </c>
      <c r="F115" s="18" t="s">
        <v>163</v>
      </c>
      <c r="G115" s="30"/>
      <c r="H115" s="24"/>
      <c r="I115" s="30"/>
      <c r="J115" s="257">
        <f>255+87.21+145.4</f>
        <v>487.61</v>
      </c>
      <c r="K115" s="257">
        <v>487.60923</v>
      </c>
      <c r="L115" s="257">
        <f t="shared" si="5"/>
        <v>99.99984208691373</v>
      </c>
      <c r="M115" s="26"/>
      <c r="N115" s="27"/>
      <c r="O115" s="136"/>
      <c r="Q115" s="74"/>
    </row>
    <row r="116" spans="1:17" ht="36">
      <c r="A116" s="215" t="s">
        <v>165</v>
      </c>
      <c r="B116" s="18" t="s">
        <v>120</v>
      </c>
      <c r="C116" s="18" t="s">
        <v>15</v>
      </c>
      <c r="D116" s="18" t="s">
        <v>29</v>
      </c>
      <c r="E116" s="18" t="s">
        <v>164</v>
      </c>
      <c r="F116" s="18" t="s">
        <v>166</v>
      </c>
      <c r="G116" s="30"/>
      <c r="H116" s="24"/>
      <c r="I116" s="30"/>
      <c r="J116" s="257">
        <v>3.711</v>
      </c>
      <c r="K116" s="257">
        <v>3.711</v>
      </c>
      <c r="L116" s="257">
        <f t="shared" si="5"/>
        <v>100</v>
      </c>
      <c r="M116" s="26"/>
      <c r="N116" s="27"/>
      <c r="O116" s="136"/>
      <c r="Q116" s="74"/>
    </row>
    <row r="117" spans="1:17" ht="36">
      <c r="A117" s="215" t="s">
        <v>156</v>
      </c>
      <c r="B117" s="18" t="s">
        <v>120</v>
      </c>
      <c r="C117" s="18" t="s">
        <v>15</v>
      </c>
      <c r="D117" s="18" t="s">
        <v>29</v>
      </c>
      <c r="E117" s="18" t="s">
        <v>164</v>
      </c>
      <c r="F117" s="18" t="s">
        <v>158</v>
      </c>
      <c r="G117" s="30"/>
      <c r="H117" s="24"/>
      <c r="I117" s="30"/>
      <c r="J117" s="257">
        <v>174.479</v>
      </c>
      <c r="K117" s="257">
        <v>173.72336</v>
      </c>
      <c r="L117" s="257">
        <f t="shared" si="5"/>
        <v>99.56691636242758</v>
      </c>
      <c r="M117" s="26"/>
      <c r="N117" s="27"/>
      <c r="O117" s="136"/>
      <c r="Q117" s="74"/>
    </row>
    <row r="118" spans="1:17" ht="24.75" hidden="1">
      <c r="A118" s="219" t="s">
        <v>102</v>
      </c>
      <c r="B118" s="18" t="s">
        <v>120</v>
      </c>
      <c r="C118" s="18" t="s">
        <v>15</v>
      </c>
      <c r="D118" s="18" t="s">
        <v>29</v>
      </c>
      <c r="E118" s="18" t="s">
        <v>164</v>
      </c>
      <c r="F118" s="18" t="s">
        <v>101</v>
      </c>
      <c r="G118" s="30"/>
      <c r="H118" s="24"/>
      <c r="I118" s="30"/>
      <c r="J118" s="257"/>
      <c r="K118" s="257"/>
      <c r="L118" s="257" t="e">
        <f t="shared" si="5"/>
        <v>#DIV/0!</v>
      </c>
      <c r="M118" s="26"/>
      <c r="N118" s="27"/>
      <c r="O118" s="136">
        <v>515</v>
      </c>
      <c r="Q118" s="74" t="e">
        <f>L118-O118</f>
        <v>#DIV/0!</v>
      </c>
    </row>
    <row r="119" spans="1:14" ht="48.75">
      <c r="A119" s="219" t="s">
        <v>167</v>
      </c>
      <c r="B119" s="18" t="s">
        <v>120</v>
      </c>
      <c r="C119" s="18" t="s">
        <v>15</v>
      </c>
      <c r="D119" s="18" t="s">
        <v>29</v>
      </c>
      <c r="E119" s="18" t="s">
        <v>112</v>
      </c>
      <c r="F119" s="18"/>
      <c r="G119" s="30">
        <f aca="true" t="shared" si="9" ref="G119:N120">G120</f>
        <v>80</v>
      </c>
      <c r="H119" s="30">
        <f t="shared" si="9"/>
        <v>5211</v>
      </c>
      <c r="I119" s="30">
        <f t="shared" si="9"/>
        <v>0</v>
      </c>
      <c r="J119" s="257">
        <f>J120</f>
        <v>5840.06683</v>
      </c>
      <c r="K119" s="257">
        <f t="shared" si="9"/>
        <v>5728.29584</v>
      </c>
      <c r="L119" s="257">
        <f t="shared" si="5"/>
        <v>98.08613508623154</v>
      </c>
      <c r="M119" s="26">
        <f t="shared" si="9"/>
        <v>-2015.414</v>
      </c>
      <c r="N119" s="27" t="e">
        <f t="shared" si="9"/>
        <v>#DIV/0!</v>
      </c>
    </row>
    <row r="120" spans="1:16" ht="24.75">
      <c r="A120" s="219" t="s">
        <v>106</v>
      </c>
      <c r="B120" s="18" t="s">
        <v>120</v>
      </c>
      <c r="C120" s="18" t="s">
        <v>15</v>
      </c>
      <c r="D120" s="18" t="s">
        <v>29</v>
      </c>
      <c r="E120" s="18" t="s">
        <v>113</v>
      </c>
      <c r="F120" s="18"/>
      <c r="G120" s="30">
        <f t="shared" si="9"/>
        <v>80</v>
      </c>
      <c r="H120" s="30">
        <f t="shared" si="9"/>
        <v>5211</v>
      </c>
      <c r="I120" s="30">
        <f t="shared" si="9"/>
        <v>0</v>
      </c>
      <c r="J120" s="257">
        <f aca="true" t="shared" si="10" ref="J120:P120">J121+J122+J123+J125+J124+J126+J127</f>
        <v>5840.06683</v>
      </c>
      <c r="K120" s="257">
        <f t="shared" si="10"/>
        <v>5728.29584</v>
      </c>
      <c r="L120" s="257">
        <f t="shared" si="5"/>
        <v>98.08613508623154</v>
      </c>
      <c r="M120" s="26">
        <f t="shared" si="10"/>
        <v>-2015.414</v>
      </c>
      <c r="N120" s="26" t="e">
        <f t="shared" si="10"/>
        <v>#DIV/0!</v>
      </c>
      <c r="O120" s="26" t="e">
        <f t="shared" si="10"/>
        <v>#DIV/0!</v>
      </c>
      <c r="P120" s="26">
        <f t="shared" si="10"/>
        <v>0</v>
      </c>
    </row>
    <row r="121" spans="1:15" ht="15" hidden="1">
      <c r="A121" s="219" t="s">
        <v>130</v>
      </c>
      <c r="B121" s="18" t="s">
        <v>120</v>
      </c>
      <c r="C121" s="18" t="s">
        <v>15</v>
      </c>
      <c r="D121" s="18" t="s">
        <v>29</v>
      </c>
      <c r="E121" s="18" t="s">
        <v>113</v>
      </c>
      <c r="F121" s="18" t="s">
        <v>105</v>
      </c>
      <c r="G121" s="30">
        <f>50+30</f>
        <v>80</v>
      </c>
      <c r="H121" s="24">
        <v>5211</v>
      </c>
      <c r="I121" s="30"/>
      <c r="J121" s="257"/>
      <c r="K121" s="257"/>
      <c r="L121" s="257" t="e">
        <f t="shared" si="5"/>
        <v>#DIV/0!</v>
      </c>
      <c r="M121" s="26">
        <v>-2015.414</v>
      </c>
      <c r="N121" s="27" t="e">
        <f>L121+M121</f>
        <v>#DIV/0!</v>
      </c>
      <c r="O121" s="136" t="e">
        <f>L121-#REF!</f>
        <v>#DIV/0!</v>
      </c>
    </row>
    <row r="122" spans="1:14" ht="30" customHeight="1">
      <c r="A122" s="223" t="s">
        <v>162</v>
      </c>
      <c r="B122" s="18" t="s">
        <v>120</v>
      </c>
      <c r="C122" s="18" t="s">
        <v>15</v>
      </c>
      <c r="D122" s="18" t="s">
        <v>29</v>
      </c>
      <c r="E122" s="18" t="s">
        <v>113</v>
      </c>
      <c r="F122" s="18" t="s">
        <v>163</v>
      </c>
      <c r="G122" s="30"/>
      <c r="H122" s="24"/>
      <c r="I122" s="30"/>
      <c r="J122" s="257">
        <v>4326.17424</v>
      </c>
      <c r="K122" s="257">
        <v>4299.23629</v>
      </c>
      <c r="L122" s="257">
        <f t="shared" si="5"/>
        <v>99.37732628170795</v>
      </c>
      <c r="M122" s="26"/>
      <c r="N122" s="27"/>
    </row>
    <row r="123" spans="1:14" ht="30" customHeight="1">
      <c r="A123" s="215" t="s">
        <v>165</v>
      </c>
      <c r="B123" s="18" t="s">
        <v>120</v>
      </c>
      <c r="C123" s="18" t="s">
        <v>15</v>
      </c>
      <c r="D123" s="18" t="s">
        <v>29</v>
      </c>
      <c r="E123" s="18" t="s">
        <v>113</v>
      </c>
      <c r="F123" s="18" t="s">
        <v>166</v>
      </c>
      <c r="G123" s="30"/>
      <c r="H123" s="24"/>
      <c r="I123" s="30"/>
      <c r="J123" s="257">
        <v>35.4</v>
      </c>
      <c r="K123" s="257">
        <v>35.4</v>
      </c>
      <c r="L123" s="257">
        <f t="shared" si="5"/>
        <v>100</v>
      </c>
      <c r="M123" s="26"/>
      <c r="N123" s="27"/>
    </row>
    <row r="124" spans="1:14" ht="30" customHeight="1">
      <c r="A124" s="215" t="s">
        <v>169</v>
      </c>
      <c r="B124" s="18" t="s">
        <v>120</v>
      </c>
      <c r="C124" s="18" t="s">
        <v>15</v>
      </c>
      <c r="D124" s="18" t="s">
        <v>29</v>
      </c>
      <c r="E124" s="18" t="s">
        <v>113</v>
      </c>
      <c r="F124" s="18" t="s">
        <v>170</v>
      </c>
      <c r="G124" s="30"/>
      <c r="H124" s="24"/>
      <c r="I124" s="30"/>
      <c r="J124" s="257">
        <v>253.10559</v>
      </c>
      <c r="K124" s="257">
        <v>250.10559</v>
      </c>
      <c r="L124" s="257">
        <f t="shared" si="5"/>
        <v>98.8147239260895</v>
      </c>
      <c r="M124" s="26"/>
      <c r="N124" s="27"/>
    </row>
    <row r="125" spans="1:14" ht="30" customHeight="1">
      <c r="A125" s="215" t="s">
        <v>156</v>
      </c>
      <c r="B125" s="18" t="s">
        <v>120</v>
      </c>
      <c r="C125" s="18" t="s">
        <v>15</v>
      </c>
      <c r="D125" s="18" t="s">
        <v>29</v>
      </c>
      <c r="E125" s="18" t="s">
        <v>113</v>
      </c>
      <c r="F125" s="18" t="s">
        <v>158</v>
      </c>
      <c r="G125" s="30"/>
      <c r="H125" s="24"/>
      <c r="I125" s="30"/>
      <c r="J125" s="257">
        <v>1225.387</v>
      </c>
      <c r="K125" s="257">
        <v>1143.55396</v>
      </c>
      <c r="L125" s="257">
        <f t="shared" si="5"/>
        <v>93.32186158332021</v>
      </c>
      <c r="M125" s="26"/>
      <c r="N125" s="27"/>
    </row>
    <row r="126" spans="1:14" ht="30" customHeight="1" hidden="1">
      <c r="A126" s="215" t="s">
        <v>171</v>
      </c>
      <c r="B126" s="18" t="s">
        <v>120</v>
      </c>
      <c r="C126" s="18" t="s">
        <v>15</v>
      </c>
      <c r="D126" s="18" t="s">
        <v>29</v>
      </c>
      <c r="E126" s="18" t="s">
        <v>113</v>
      </c>
      <c r="F126" s="18" t="s">
        <v>172</v>
      </c>
      <c r="G126" s="30"/>
      <c r="H126" s="24"/>
      <c r="I126" s="30"/>
      <c r="J126" s="257"/>
      <c r="K126" s="257"/>
      <c r="L126" s="257" t="e">
        <f t="shared" si="5"/>
        <v>#DIV/0!</v>
      </c>
      <c r="M126" s="26"/>
      <c r="N126" s="27"/>
    </row>
    <row r="127" spans="1:14" ht="30" customHeight="1" hidden="1">
      <c r="A127" s="215" t="s">
        <v>173</v>
      </c>
      <c r="B127" s="18" t="s">
        <v>120</v>
      </c>
      <c r="C127" s="18" t="s">
        <v>15</v>
      </c>
      <c r="D127" s="18" t="s">
        <v>29</v>
      </c>
      <c r="E127" s="18" t="s">
        <v>113</v>
      </c>
      <c r="F127" s="18" t="s">
        <v>174</v>
      </c>
      <c r="G127" s="30"/>
      <c r="H127" s="24"/>
      <c r="I127" s="30"/>
      <c r="J127" s="257"/>
      <c r="K127" s="257"/>
      <c r="L127" s="257" t="e">
        <f t="shared" si="5"/>
        <v>#DIV/0!</v>
      </c>
      <c r="M127" s="26"/>
      <c r="N127" s="27"/>
    </row>
    <row r="128" spans="1:14" ht="40.5" customHeight="1">
      <c r="A128" s="215" t="s">
        <v>168</v>
      </c>
      <c r="B128" s="18" t="s">
        <v>120</v>
      </c>
      <c r="C128" s="18" t="s">
        <v>15</v>
      </c>
      <c r="D128" s="18" t="s">
        <v>29</v>
      </c>
      <c r="E128" s="18" t="s">
        <v>175</v>
      </c>
      <c r="F128" s="18"/>
      <c r="G128" s="30"/>
      <c r="H128" s="24"/>
      <c r="I128" s="30"/>
      <c r="J128" s="257">
        <f>J129</f>
        <v>250</v>
      </c>
      <c r="K128" s="257">
        <f>K129</f>
        <v>250</v>
      </c>
      <c r="L128" s="257">
        <f t="shared" si="5"/>
        <v>100</v>
      </c>
      <c r="M128" s="31">
        <f>M129</f>
        <v>0</v>
      </c>
      <c r="N128" s="59">
        <f>N129</f>
        <v>0</v>
      </c>
    </row>
    <row r="129" spans="1:14" ht="30" customHeight="1">
      <c r="A129" s="215" t="s">
        <v>176</v>
      </c>
      <c r="B129" s="18" t="s">
        <v>120</v>
      </c>
      <c r="C129" s="18" t="s">
        <v>15</v>
      </c>
      <c r="D129" s="18" t="s">
        <v>29</v>
      </c>
      <c r="E129" s="18" t="s">
        <v>175</v>
      </c>
      <c r="F129" s="18" t="s">
        <v>143</v>
      </c>
      <c r="G129" s="30"/>
      <c r="H129" s="24"/>
      <c r="I129" s="30"/>
      <c r="J129" s="257">
        <v>250</v>
      </c>
      <c r="K129" s="257">
        <v>250</v>
      </c>
      <c r="L129" s="257">
        <f t="shared" si="5"/>
        <v>100</v>
      </c>
      <c r="M129" s="26"/>
      <c r="N129" s="27"/>
    </row>
    <row r="130" spans="1:14" ht="15">
      <c r="A130" s="218" t="s">
        <v>63</v>
      </c>
      <c r="B130" s="23" t="s">
        <v>120</v>
      </c>
      <c r="C130" s="23" t="s">
        <v>62</v>
      </c>
      <c r="D130" s="23"/>
      <c r="E130" s="23"/>
      <c r="F130" s="23"/>
      <c r="G130" s="17" t="e">
        <f aca="true" t="shared" si="11" ref="G130:N130">G131+G134</f>
        <v>#REF!</v>
      </c>
      <c r="H130" s="17" t="e">
        <f t="shared" si="11"/>
        <v>#REF!</v>
      </c>
      <c r="I130" s="17" t="e">
        <f t="shared" si="11"/>
        <v>#REF!</v>
      </c>
      <c r="J130" s="256">
        <f t="shared" si="11"/>
        <v>18688.800000000003</v>
      </c>
      <c r="K130" s="256">
        <f t="shared" si="11"/>
        <v>17759.11812</v>
      </c>
      <c r="L130" s="256">
        <f t="shared" si="5"/>
        <v>95.02545974059328</v>
      </c>
      <c r="M130" s="28" t="e">
        <f t="shared" si="11"/>
        <v>#REF!</v>
      </c>
      <c r="N130" s="29" t="e">
        <f t="shared" si="11"/>
        <v>#REF!</v>
      </c>
    </row>
    <row r="131" spans="1:14" ht="15" hidden="1">
      <c r="A131" s="218" t="s">
        <v>177</v>
      </c>
      <c r="B131" s="23" t="s">
        <v>120</v>
      </c>
      <c r="C131" s="23" t="s">
        <v>62</v>
      </c>
      <c r="D131" s="23" t="s">
        <v>9</v>
      </c>
      <c r="E131" s="23"/>
      <c r="F131" s="23"/>
      <c r="G131" s="17" t="e">
        <f aca="true" t="shared" si="12" ref="G131:N132">G132</f>
        <v>#REF!</v>
      </c>
      <c r="H131" s="17" t="e">
        <f t="shared" si="12"/>
        <v>#REF!</v>
      </c>
      <c r="I131" s="17" t="e">
        <f t="shared" si="12"/>
        <v>#REF!</v>
      </c>
      <c r="J131" s="256">
        <f t="shared" si="12"/>
        <v>0</v>
      </c>
      <c r="K131" s="256">
        <f t="shared" si="12"/>
        <v>0</v>
      </c>
      <c r="L131" s="256" t="e">
        <f t="shared" si="5"/>
        <v>#DIV/0!</v>
      </c>
      <c r="M131" s="38" t="e">
        <f t="shared" si="12"/>
        <v>#REF!</v>
      </c>
      <c r="N131" s="53" t="e">
        <f t="shared" si="12"/>
        <v>#REF!</v>
      </c>
    </row>
    <row r="132" spans="1:14" ht="48.75" hidden="1">
      <c r="A132" s="219" t="s">
        <v>178</v>
      </c>
      <c r="B132" s="18" t="s">
        <v>120</v>
      </c>
      <c r="C132" s="18" t="s">
        <v>62</v>
      </c>
      <c r="D132" s="18" t="s">
        <v>9</v>
      </c>
      <c r="E132" s="18" t="s">
        <v>179</v>
      </c>
      <c r="F132" s="18"/>
      <c r="G132" s="30" t="e">
        <f>#REF!+G133</f>
        <v>#REF!</v>
      </c>
      <c r="H132" s="30" t="e">
        <f>#REF!+H133</f>
        <v>#REF!</v>
      </c>
      <c r="I132" s="30" t="e">
        <f>#REF!+I133</f>
        <v>#REF!</v>
      </c>
      <c r="J132" s="257">
        <f>J133</f>
        <v>0</v>
      </c>
      <c r="K132" s="257">
        <f t="shared" si="12"/>
        <v>0</v>
      </c>
      <c r="L132" s="256" t="e">
        <f t="shared" si="5"/>
        <v>#DIV/0!</v>
      </c>
      <c r="M132" s="26" t="e">
        <f>#REF!+M133</f>
        <v>#REF!</v>
      </c>
      <c r="N132" s="27" t="e">
        <f>#REF!+N133</f>
        <v>#REF!</v>
      </c>
    </row>
    <row r="133" spans="1:17" ht="15" hidden="1">
      <c r="A133" s="219" t="s">
        <v>180</v>
      </c>
      <c r="B133" s="18" t="s">
        <v>120</v>
      </c>
      <c r="C133" s="18" t="s">
        <v>62</v>
      </c>
      <c r="D133" s="18" t="s">
        <v>9</v>
      </c>
      <c r="E133" s="18" t="s">
        <v>182</v>
      </c>
      <c r="F133" s="18" t="s">
        <v>181</v>
      </c>
      <c r="G133" s="30">
        <v>2819.6</v>
      </c>
      <c r="H133" s="24"/>
      <c r="I133" s="30"/>
      <c r="J133" s="257"/>
      <c r="K133" s="257"/>
      <c r="L133" s="256" t="e">
        <f t="shared" si="5"/>
        <v>#DIV/0!</v>
      </c>
      <c r="M133" s="26"/>
      <c r="N133" s="27" t="e">
        <f>L133+M133</f>
        <v>#DIV/0!</v>
      </c>
      <c r="O133" s="136">
        <v>925</v>
      </c>
      <c r="Q133" s="74" t="e">
        <f>L133-O133</f>
        <v>#DIV/0!</v>
      </c>
    </row>
    <row r="134" spans="1:14" ht="15">
      <c r="A134" s="218" t="s">
        <v>183</v>
      </c>
      <c r="B134" s="23" t="s">
        <v>120</v>
      </c>
      <c r="C134" s="23" t="s">
        <v>62</v>
      </c>
      <c r="D134" s="23" t="s">
        <v>10</v>
      </c>
      <c r="E134" s="23"/>
      <c r="F134" s="23"/>
      <c r="G134" s="19" t="e">
        <f>#REF!+G142+#REF!+#REF!</f>
        <v>#REF!</v>
      </c>
      <c r="H134" s="19" t="e">
        <f>#REF!+H142+#REF!+#REF!</f>
        <v>#REF!</v>
      </c>
      <c r="I134" s="19" t="e">
        <f>#REF!+I142+#REF!+#REF!</f>
        <v>#REF!</v>
      </c>
      <c r="J134" s="256">
        <f>J135+J142</f>
        <v>18688.800000000003</v>
      </c>
      <c r="K134" s="256">
        <f>K135+K142</f>
        <v>17759.11812</v>
      </c>
      <c r="L134" s="256">
        <f t="shared" si="5"/>
        <v>95.02545974059328</v>
      </c>
      <c r="M134" s="38" t="e">
        <f>#REF!+M142+#REF!+#REF!+M136</f>
        <v>#REF!</v>
      </c>
      <c r="N134" s="58" t="e">
        <f>#REF!+N142+#REF!+#REF!+N136</f>
        <v>#REF!</v>
      </c>
    </row>
    <row r="135" spans="1:14" ht="15">
      <c r="A135" s="219" t="s">
        <v>262</v>
      </c>
      <c r="B135" s="18" t="s">
        <v>120</v>
      </c>
      <c r="C135" s="18" t="s">
        <v>62</v>
      </c>
      <c r="D135" s="18" t="s">
        <v>10</v>
      </c>
      <c r="E135" s="18" t="s">
        <v>263</v>
      </c>
      <c r="F135" s="18"/>
      <c r="G135" s="25"/>
      <c r="H135" s="25"/>
      <c r="I135" s="25"/>
      <c r="J135" s="257">
        <f>J136+J138+J140</f>
        <v>4522.700000000001</v>
      </c>
      <c r="K135" s="257">
        <f>K136+K138+K140</f>
        <v>4294.764</v>
      </c>
      <c r="L135" s="257">
        <f t="shared" si="5"/>
        <v>94.96017865434364</v>
      </c>
      <c r="M135" s="38"/>
      <c r="N135" s="58"/>
    </row>
    <row r="136" spans="1:14" ht="71.25" customHeight="1" hidden="1">
      <c r="A136" s="219" t="s">
        <v>178</v>
      </c>
      <c r="B136" s="18" t="s">
        <v>120</v>
      </c>
      <c r="C136" s="18" t="s">
        <v>62</v>
      </c>
      <c r="D136" s="18" t="s">
        <v>10</v>
      </c>
      <c r="E136" s="18" t="s">
        <v>184</v>
      </c>
      <c r="F136" s="18"/>
      <c r="G136" s="30"/>
      <c r="H136" s="24"/>
      <c r="I136" s="30"/>
      <c r="J136" s="257">
        <f>J137</f>
        <v>0</v>
      </c>
      <c r="K136" s="257">
        <f>K137</f>
        <v>0</v>
      </c>
      <c r="L136" s="257" t="e">
        <f t="shared" si="5"/>
        <v>#DIV/0!</v>
      </c>
      <c r="M136" s="26">
        <f>M137</f>
        <v>0</v>
      </c>
      <c r="N136" s="54">
        <f>N137</f>
        <v>0</v>
      </c>
    </row>
    <row r="137" spans="1:14" ht="43.5" customHeight="1" hidden="1">
      <c r="A137" s="219" t="s">
        <v>185</v>
      </c>
      <c r="B137" s="18" t="s">
        <v>120</v>
      </c>
      <c r="C137" s="18" t="s">
        <v>62</v>
      </c>
      <c r="D137" s="18" t="s">
        <v>10</v>
      </c>
      <c r="E137" s="18" t="s">
        <v>184</v>
      </c>
      <c r="F137" s="18" t="s">
        <v>186</v>
      </c>
      <c r="G137" s="30"/>
      <c r="H137" s="24"/>
      <c r="I137" s="30"/>
      <c r="J137" s="257">
        <v>0</v>
      </c>
      <c r="K137" s="257"/>
      <c r="L137" s="257" t="e">
        <f t="shared" si="5"/>
        <v>#DIV/0!</v>
      </c>
      <c r="M137" s="26"/>
      <c r="N137" s="27"/>
    </row>
    <row r="138" spans="1:14" ht="43.5" customHeight="1">
      <c r="A138" s="219" t="s">
        <v>178</v>
      </c>
      <c r="B138" s="60" t="s">
        <v>120</v>
      </c>
      <c r="C138" s="60" t="s">
        <v>62</v>
      </c>
      <c r="D138" s="60" t="s">
        <v>10</v>
      </c>
      <c r="E138" s="60" t="s">
        <v>182</v>
      </c>
      <c r="F138" s="18"/>
      <c r="G138" s="30"/>
      <c r="H138" s="24"/>
      <c r="I138" s="30"/>
      <c r="J138" s="257">
        <f>J139</f>
        <v>4290.1</v>
      </c>
      <c r="K138" s="257">
        <f>K139</f>
        <v>4257.264</v>
      </c>
      <c r="L138" s="257">
        <f t="shared" si="5"/>
        <v>99.23460991585277</v>
      </c>
      <c r="M138" s="31"/>
      <c r="N138" s="31"/>
    </row>
    <row r="139" spans="1:14" ht="26.25" customHeight="1">
      <c r="A139" s="219" t="s">
        <v>185</v>
      </c>
      <c r="B139" s="60" t="s">
        <v>120</v>
      </c>
      <c r="C139" s="60" t="s">
        <v>62</v>
      </c>
      <c r="D139" s="60" t="s">
        <v>10</v>
      </c>
      <c r="E139" s="60" t="s">
        <v>182</v>
      </c>
      <c r="F139" s="18" t="s">
        <v>186</v>
      </c>
      <c r="G139" s="30"/>
      <c r="H139" s="24"/>
      <c r="I139" s="30"/>
      <c r="J139" s="257">
        <v>4290.1</v>
      </c>
      <c r="K139" s="257">
        <v>4257.264</v>
      </c>
      <c r="L139" s="257">
        <f t="shared" si="5"/>
        <v>99.23460991585277</v>
      </c>
      <c r="M139" s="31"/>
      <c r="N139" s="31"/>
    </row>
    <row r="140" spans="1:14" ht="43.5" customHeight="1">
      <c r="A140" s="215" t="s">
        <v>187</v>
      </c>
      <c r="B140" s="60" t="s">
        <v>120</v>
      </c>
      <c r="C140" s="60" t="s">
        <v>62</v>
      </c>
      <c r="D140" s="60" t="s">
        <v>10</v>
      </c>
      <c r="E140" s="60" t="s">
        <v>188</v>
      </c>
      <c r="F140" s="18"/>
      <c r="G140" s="30"/>
      <c r="H140" s="24"/>
      <c r="I140" s="30"/>
      <c r="J140" s="257">
        <f>J141</f>
        <v>232.6</v>
      </c>
      <c r="K140" s="257">
        <f>K141</f>
        <v>37.5</v>
      </c>
      <c r="L140" s="257">
        <f t="shared" si="5"/>
        <v>16.122098022355978</v>
      </c>
      <c r="M140" s="31">
        <f>M144</f>
        <v>0</v>
      </c>
      <c r="N140" s="59" t="e">
        <f>N144</f>
        <v>#DIV/0!</v>
      </c>
    </row>
    <row r="141" spans="1:14" ht="27.75" customHeight="1">
      <c r="A141" s="219" t="s">
        <v>185</v>
      </c>
      <c r="B141" s="60" t="s">
        <v>120</v>
      </c>
      <c r="C141" s="60" t="s">
        <v>62</v>
      </c>
      <c r="D141" s="60" t="s">
        <v>10</v>
      </c>
      <c r="E141" s="60" t="s">
        <v>188</v>
      </c>
      <c r="F141" s="18" t="s">
        <v>186</v>
      </c>
      <c r="G141" s="30"/>
      <c r="H141" s="24"/>
      <c r="I141" s="30"/>
      <c r="J141" s="257">
        <v>232.6</v>
      </c>
      <c r="K141" s="257">
        <v>37.5</v>
      </c>
      <c r="L141" s="257">
        <f t="shared" si="5"/>
        <v>16.122098022355978</v>
      </c>
      <c r="M141" s="26"/>
      <c r="N141" s="27"/>
    </row>
    <row r="142" spans="1:14" ht="15">
      <c r="A142" s="219" t="s">
        <v>109</v>
      </c>
      <c r="B142" s="18" t="s">
        <v>120</v>
      </c>
      <c r="C142" s="18" t="s">
        <v>62</v>
      </c>
      <c r="D142" s="18" t="s">
        <v>10</v>
      </c>
      <c r="E142" s="18" t="s">
        <v>110</v>
      </c>
      <c r="F142" s="18"/>
      <c r="G142" s="25" t="e">
        <f aca="true" t="shared" si="13" ref="G142:M142">G146+G143</f>
        <v>#REF!</v>
      </c>
      <c r="H142" s="25" t="e">
        <f t="shared" si="13"/>
        <v>#REF!</v>
      </c>
      <c r="I142" s="25" t="e">
        <f t="shared" si="13"/>
        <v>#REF!</v>
      </c>
      <c r="J142" s="257">
        <f>J143+J146</f>
        <v>14166.1</v>
      </c>
      <c r="K142" s="257">
        <f>K143+K146</f>
        <v>13464.35412</v>
      </c>
      <c r="L142" s="257">
        <f t="shared" si="5"/>
        <v>95.04630152264913</v>
      </c>
      <c r="M142" s="26" t="e">
        <f t="shared" si="13"/>
        <v>#REF!</v>
      </c>
      <c r="N142" s="27" t="e">
        <f>N146+N143</f>
        <v>#REF!</v>
      </c>
    </row>
    <row r="143" spans="1:14" ht="40.5" customHeight="1">
      <c r="A143" s="219" t="s">
        <v>189</v>
      </c>
      <c r="B143" s="18" t="s">
        <v>120</v>
      </c>
      <c r="C143" s="18" t="s">
        <v>62</v>
      </c>
      <c r="D143" s="18" t="s">
        <v>10</v>
      </c>
      <c r="E143" s="18" t="s">
        <v>190</v>
      </c>
      <c r="F143" s="18"/>
      <c r="G143" s="30">
        <f aca="true" t="shared" si="14" ref="G143:N143">G144</f>
        <v>1011.2162</v>
      </c>
      <c r="H143" s="25">
        <f t="shared" si="14"/>
        <v>0</v>
      </c>
      <c r="I143" s="30">
        <f t="shared" si="14"/>
        <v>0</v>
      </c>
      <c r="J143" s="257">
        <f>J144+J145</f>
        <v>1372.6</v>
      </c>
      <c r="K143" s="257">
        <f>K144+K145</f>
        <v>743.53906</v>
      </c>
      <c r="L143" s="257">
        <f t="shared" si="5"/>
        <v>54.170119481276416</v>
      </c>
      <c r="M143" s="26">
        <f t="shared" si="14"/>
        <v>0</v>
      </c>
      <c r="N143" s="27" t="e">
        <f t="shared" si="14"/>
        <v>#DIV/0!</v>
      </c>
    </row>
    <row r="144" spans="1:17" ht="15" customHeight="1" hidden="1">
      <c r="A144" s="219" t="s">
        <v>180</v>
      </c>
      <c r="B144" s="18" t="s">
        <v>120</v>
      </c>
      <c r="C144" s="18" t="s">
        <v>62</v>
      </c>
      <c r="D144" s="18" t="s">
        <v>10</v>
      </c>
      <c r="E144" s="18" t="s">
        <v>190</v>
      </c>
      <c r="F144" s="18" t="s">
        <v>181</v>
      </c>
      <c r="G144" s="30">
        <f>11.2162+1000</f>
        <v>1011.2162</v>
      </c>
      <c r="H144" s="24"/>
      <c r="I144" s="30"/>
      <c r="J144" s="257"/>
      <c r="K144" s="257"/>
      <c r="L144" s="257" t="e">
        <f t="shared" si="5"/>
        <v>#DIV/0!</v>
      </c>
      <c r="M144" s="26"/>
      <c r="N144" s="27" t="e">
        <f>L144+M144</f>
        <v>#DIV/0!</v>
      </c>
      <c r="O144" s="136">
        <v>1955.1</v>
      </c>
      <c r="Q144" s="74" t="e">
        <f>L144-O144</f>
        <v>#DIV/0!</v>
      </c>
    </row>
    <row r="145" spans="1:17" ht="15" customHeight="1">
      <c r="A145" s="215" t="s">
        <v>191</v>
      </c>
      <c r="B145" s="18" t="s">
        <v>120</v>
      </c>
      <c r="C145" s="18" t="s">
        <v>62</v>
      </c>
      <c r="D145" s="18" t="s">
        <v>10</v>
      </c>
      <c r="E145" s="18" t="s">
        <v>190</v>
      </c>
      <c r="F145" s="18" t="s">
        <v>192</v>
      </c>
      <c r="G145" s="30"/>
      <c r="H145" s="24"/>
      <c r="I145" s="30"/>
      <c r="J145" s="257">
        <v>1372.6</v>
      </c>
      <c r="K145" s="257">
        <v>743.53906</v>
      </c>
      <c r="L145" s="257">
        <f t="shared" si="5"/>
        <v>54.170119481276416</v>
      </c>
      <c r="M145" s="26"/>
      <c r="N145" s="27"/>
      <c r="O145" s="136"/>
      <c r="Q145" s="74"/>
    </row>
    <row r="146" spans="1:14" ht="24.75">
      <c r="A146" s="219" t="s">
        <v>193</v>
      </c>
      <c r="B146" s="18" t="s">
        <v>120</v>
      </c>
      <c r="C146" s="18" t="s">
        <v>62</v>
      </c>
      <c r="D146" s="18" t="s">
        <v>10</v>
      </c>
      <c r="E146" s="18" t="s">
        <v>194</v>
      </c>
      <c r="F146" s="18"/>
      <c r="G146" s="25" t="e">
        <f>#REF!+G147+G148</f>
        <v>#REF!</v>
      </c>
      <c r="H146" s="25" t="e">
        <f>#REF!+H147+H148</f>
        <v>#REF!</v>
      </c>
      <c r="I146" s="25" t="e">
        <f>#REF!+I147+I148</f>
        <v>#REF!</v>
      </c>
      <c r="J146" s="257">
        <f>J147+J148+J149+J150</f>
        <v>12793.5</v>
      </c>
      <c r="K146" s="257">
        <f>K147+K148+K149+K150</f>
        <v>12720.81506</v>
      </c>
      <c r="L146" s="257">
        <f t="shared" si="5"/>
        <v>99.4318603978583</v>
      </c>
      <c r="M146" s="26" t="e">
        <f>#REF!+M147+M148</f>
        <v>#REF!</v>
      </c>
      <c r="N146" s="27" t="e">
        <f>#REF!+N147+N148</f>
        <v>#REF!</v>
      </c>
    </row>
    <row r="147" spans="1:14" ht="45" customHeight="1" hidden="1">
      <c r="A147" s="219" t="s">
        <v>195</v>
      </c>
      <c r="B147" s="18" t="s">
        <v>120</v>
      </c>
      <c r="C147" s="18" t="s">
        <v>62</v>
      </c>
      <c r="D147" s="18" t="s">
        <v>10</v>
      </c>
      <c r="E147" s="18" t="s">
        <v>196</v>
      </c>
      <c r="F147" s="18" t="s">
        <v>105</v>
      </c>
      <c r="G147" s="30">
        <v>-94.76</v>
      </c>
      <c r="H147" s="24"/>
      <c r="I147" s="30"/>
      <c r="J147" s="257">
        <v>0</v>
      </c>
      <c r="K147" s="257"/>
      <c r="L147" s="257" t="e">
        <f t="shared" si="5"/>
        <v>#DIV/0!</v>
      </c>
      <c r="M147" s="26"/>
      <c r="N147" s="27" t="e">
        <f>L147+M147</f>
        <v>#DIV/0!</v>
      </c>
    </row>
    <row r="148" spans="1:17" ht="24.75" hidden="1">
      <c r="A148" s="225" t="s">
        <v>195</v>
      </c>
      <c r="B148" s="18" t="s">
        <v>120</v>
      </c>
      <c r="C148" s="18" t="s">
        <v>62</v>
      </c>
      <c r="D148" s="18" t="s">
        <v>10</v>
      </c>
      <c r="E148" s="18" t="s">
        <v>196</v>
      </c>
      <c r="F148" s="18" t="s">
        <v>181</v>
      </c>
      <c r="G148" s="30">
        <f>94.76+6519.9</f>
        <v>6614.66</v>
      </c>
      <c r="H148" s="24"/>
      <c r="I148" s="30"/>
      <c r="J148" s="257"/>
      <c r="K148" s="257"/>
      <c r="L148" s="257" t="e">
        <f t="shared" si="5"/>
        <v>#DIV/0!</v>
      </c>
      <c r="M148" s="26"/>
      <c r="N148" s="27" t="e">
        <f>L148+M148</f>
        <v>#DIV/0!</v>
      </c>
      <c r="O148" s="136">
        <v>9778</v>
      </c>
      <c r="Q148" s="74" t="e">
        <f>L148-O148</f>
        <v>#DIV/0!</v>
      </c>
    </row>
    <row r="149" spans="1:14" ht="32.25" customHeight="1">
      <c r="A149" s="215" t="s">
        <v>197</v>
      </c>
      <c r="B149" s="18" t="s">
        <v>120</v>
      </c>
      <c r="C149" s="18" t="s">
        <v>62</v>
      </c>
      <c r="D149" s="18" t="s">
        <v>10</v>
      </c>
      <c r="E149" s="18" t="s">
        <v>196</v>
      </c>
      <c r="F149" s="18" t="s">
        <v>198</v>
      </c>
      <c r="G149" s="30"/>
      <c r="H149" s="24"/>
      <c r="I149" s="30"/>
      <c r="J149" s="257">
        <v>12793.5</v>
      </c>
      <c r="K149" s="257">
        <v>12720.81506</v>
      </c>
      <c r="L149" s="257">
        <f t="shared" si="5"/>
        <v>99.4318603978583</v>
      </c>
      <c r="M149" s="26"/>
      <c r="N149" s="54"/>
    </row>
    <row r="150" spans="1:14" ht="42.75" customHeight="1" hidden="1" thickBot="1">
      <c r="A150" s="219" t="s">
        <v>185</v>
      </c>
      <c r="B150" s="18" t="s">
        <v>120</v>
      </c>
      <c r="C150" s="18" t="s">
        <v>62</v>
      </c>
      <c r="D150" s="18" t="s">
        <v>10</v>
      </c>
      <c r="E150" s="18" t="s">
        <v>196</v>
      </c>
      <c r="F150" s="18" t="s">
        <v>186</v>
      </c>
      <c r="G150" s="30"/>
      <c r="H150" s="24"/>
      <c r="I150" s="30"/>
      <c r="J150" s="257"/>
      <c r="K150" s="257"/>
      <c r="L150" s="257" t="e">
        <f t="shared" si="5"/>
        <v>#DIV/0!</v>
      </c>
      <c r="M150" s="45"/>
      <c r="N150" s="61"/>
    </row>
    <row r="151" spans="1:15" ht="25.5" thickBot="1">
      <c r="A151" s="220" t="s">
        <v>199</v>
      </c>
      <c r="B151" s="187" t="s">
        <v>0</v>
      </c>
      <c r="C151" s="187"/>
      <c r="D151" s="187"/>
      <c r="E151" s="187"/>
      <c r="F151" s="187"/>
      <c r="G151" s="190" t="e">
        <f>G152+G199+#REF!+#REF!</f>
        <v>#REF!</v>
      </c>
      <c r="H151" s="191" t="e">
        <f>H152+H199+#REF!+#REF!+H216</f>
        <v>#REF!</v>
      </c>
      <c r="I151" s="191" t="e">
        <f>I152+I199+#REF!+#REF!+I216</f>
        <v>#REF!</v>
      </c>
      <c r="J151" s="255">
        <f>J152+J199+J216+J187+J243+J249+J182+J224+J235+J239</f>
        <v>60636.76328</v>
      </c>
      <c r="K151" s="255">
        <f>K152+K199+K216+K187+K243+K249+K182+K224+K235+K239</f>
        <v>60631.662299999996</v>
      </c>
      <c r="L151" s="255">
        <f t="shared" si="5"/>
        <v>99.99158764464975</v>
      </c>
      <c r="M151" s="63" t="e">
        <f>M152+M199+#REF!+#REF!+M216+M187</f>
        <v>#REF!</v>
      </c>
      <c r="N151" s="64" t="e">
        <f>N152+N199+#REF!+#REF!+N216+N187</f>
        <v>#REF!</v>
      </c>
      <c r="O151" s="126">
        <f>K202+K204+K209+K227+K234+K238+K242+K260</f>
        <v>13639.809</v>
      </c>
    </row>
    <row r="152" spans="1:14" ht="15">
      <c r="A152" s="218" t="s">
        <v>200</v>
      </c>
      <c r="B152" s="23" t="s">
        <v>0</v>
      </c>
      <c r="C152" s="23" t="s">
        <v>7</v>
      </c>
      <c r="D152" s="18"/>
      <c r="E152" s="18"/>
      <c r="F152" s="18"/>
      <c r="G152" s="17" t="e">
        <f>G159+#REF!+#REF!+G182+G153</f>
        <v>#REF!</v>
      </c>
      <c r="H152" s="17" t="e">
        <f>H159+#REF!+#REF!+H182+H153</f>
        <v>#REF!</v>
      </c>
      <c r="I152" s="17" t="e">
        <f>I159+#REF!+#REF!+I182+I153</f>
        <v>#REF!</v>
      </c>
      <c r="J152" s="256">
        <f>J153+J159+J171+J176</f>
        <v>4713.20932</v>
      </c>
      <c r="K152" s="256">
        <f>K153+K159+K171+K176</f>
        <v>4708.10834</v>
      </c>
      <c r="L152" s="256">
        <f t="shared" si="5"/>
        <v>99.8917726828224</v>
      </c>
      <c r="M152" s="65" t="e">
        <f>M159+#REF!+#REF!+M153+M171+M176</f>
        <v>#REF!</v>
      </c>
      <c r="N152" s="66" t="e">
        <f>N159+#REF!+#REF!+N153+N171+N176</f>
        <v>#REF!</v>
      </c>
    </row>
    <row r="153" spans="1:14" ht="48.75">
      <c r="A153" s="217" t="s">
        <v>201</v>
      </c>
      <c r="B153" s="23" t="s">
        <v>0</v>
      </c>
      <c r="C153" s="23" t="s">
        <v>7</v>
      </c>
      <c r="D153" s="23" t="s">
        <v>10</v>
      </c>
      <c r="E153" s="18"/>
      <c r="F153" s="18"/>
      <c r="G153" s="17">
        <f>G154</f>
        <v>0.4</v>
      </c>
      <c r="H153" s="20" t="e">
        <f>H154+#REF!</f>
        <v>#REF!</v>
      </c>
      <c r="I153" s="20" t="e">
        <f>I154+#REF!</f>
        <v>#REF!</v>
      </c>
      <c r="J153" s="256">
        <f>J154+J156</f>
        <v>734.76815</v>
      </c>
      <c r="K153" s="256">
        <f>K154+K156</f>
        <v>733.95315</v>
      </c>
      <c r="L153" s="256">
        <f t="shared" si="5"/>
        <v>99.88908065761969</v>
      </c>
      <c r="M153" s="28" t="e">
        <f>M154+#REF!+M156+#REF!</f>
        <v>#REF!</v>
      </c>
      <c r="N153" s="29" t="e">
        <f>N154+#REF!+N156+#REF!</f>
        <v>#DIV/0!</v>
      </c>
    </row>
    <row r="154" spans="1:14" ht="36.75" hidden="1">
      <c r="A154" s="219" t="s">
        <v>202</v>
      </c>
      <c r="B154" s="18" t="s">
        <v>0</v>
      </c>
      <c r="C154" s="18" t="s">
        <v>7</v>
      </c>
      <c r="D154" s="18" t="s">
        <v>10</v>
      </c>
      <c r="E154" s="18" t="s">
        <v>203</v>
      </c>
      <c r="F154" s="18"/>
      <c r="G154" s="17">
        <f>G155</f>
        <v>0.4</v>
      </c>
      <c r="H154" s="17">
        <f aca="true" t="shared" si="15" ref="H154:N154">H155</f>
        <v>0</v>
      </c>
      <c r="I154" s="17">
        <f t="shared" si="15"/>
        <v>0</v>
      </c>
      <c r="J154" s="257">
        <f t="shared" si="15"/>
        <v>0</v>
      </c>
      <c r="K154" s="257">
        <f t="shared" si="15"/>
        <v>0</v>
      </c>
      <c r="L154" s="257" t="e">
        <f t="shared" si="5"/>
        <v>#DIV/0!</v>
      </c>
      <c r="M154" s="28">
        <f t="shared" si="15"/>
        <v>0</v>
      </c>
      <c r="N154" s="29" t="e">
        <f t="shared" si="15"/>
        <v>#DIV/0!</v>
      </c>
    </row>
    <row r="155" spans="1:15" ht="15" hidden="1">
      <c r="A155" s="214" t="s">
        <v>104</v>
      </c>
      <c r="B155" s="18" t="s">
        <v>0</v>
      </c>
      <c r="C155" s="18" t="s">
        <v>7</v>
      </c>
      <c r="D155" s="18" t="s">
        <v>10</v>
      </c>
      <c r="E155" s="18" t="s">
        <v>203</v>
      </c>
      <c r="F155" s="18" t="s">
        <v>105</v>
      </c>
      <c r="G155" s="17">
        <v>0.4</v>
      </c>
      <c r="H155" s="24"/>
      <c r="I155" s="17"/>
      <c r="J155" s="257"/>
      <c r="K155" s="256"/>
      <c r="L155" s="257" t="e">
        <f aca="true" t="shared" si="16" ref="L155:L218">K155/J155*100</f>
        <v>#DIV/0!</v>
      </c>
      <c r="M155" s="28"/>
      <c r="N155" s="27" t="e">
        <f>L155+M155</f>
        <v>#DIV/0!</v>
      </c>
      <c r="O155" s="16">
        <v>0.5</v>
      </c>
    </row>
    <row r="156" spans="1:14" ht="36.75">
      <c r="A156" s="211" t="s">
        <v>205</v>
      </c>
      <c r="B156" s="18" t="s">
        <v>0</v>
      </c>
      <c r="C156" s="18" t="s">
        <v>7</v>
      </c>
      <c r="D156" s="18" t="s">
        <v>10</v>
      </c>
      <c r="E156" s="18" t="s">
        <v>124</v>
      </c>
      <c r="F156" s="18"/>
      <c r="G156" s="17"/>
      <c r="H156" s="24"/>
      <c r="I156" s="17"/>
      <c r="J156" s="257">
        <f>J157+J158</f>
        <v>734.76815</v>
      </c>
      <c r="K156" s="257">
        <f>K157+K158</f>
        <v>733.95315</v>
      </c>
      <c r="L156" s="257">
        <f t="shared" si="16"/>
        <v>99.88908065761969</v>
      </c>
      <c r="M156" s="26" t="e">
        <f>#REF!</f>
        <v>#REF!</v>
      </c>
      <c r="N156" s="27" t="e">
        <f>#REF!</f>
        <v>#REF!</v>
      </c>
    </row>
    <row r="157" spans="1:14" ht="24">
      <c r="A157" s="215" t="s">
        <v>162</v>
      </c>
      <c r="B157" s="18" t="s">
        <v>0</v>
      </c>
      <c r="C157" s="18" t="s">
        <v>7</v>
      </c>
      <c r="D157" s="18" t="s">
        <v>10</v>
      </c>
      <c r="E157" s="18" t="s">
        <v>126</v>
      </c>
      <c r="F157" s="18" t="s">
        <v>163</v>
      </c>
      <c r="G157" s="17"/>
      <c r="H157" s="24"/>
      <c r="I157" s="17"/>
      <c r="J157" s="257">
        <v>734.76815</v>
      </c>
      <c r="K157" s="257">
        <v>733.95315</v>
      </c>
      <c r="L157" s="257">
        <f t="shared" si="16"/>
        <v>99.88908065761969</v>
      </c>
      <c r="M157" s="28"/>
      <c r="N157" s="27"/>
    </row>
    <row r="158" spans="1:15" ht="24.75" hidden="1">
      <c r="A158" s="214" t="s">
        <v>102</v>
      </c>
      <c r="B158" s="18" t="s">
        <v>0</v>
      </c>
      <c r="C158" s="18" t="s">
        <v>7</v>
      </c>
      <c r="D158" s="18" t="s">
        <v>10</v>
      </c>
      <c r="E158" s="18" t="s">
        <v>126</v>
      </c>
      <c r="F158" s="18" t="s">
        <v>101</v>
      </c>
      <c r="G158" s="17"/>
      <c r="H158" s="24"/>
      <c r="I158" s="17"/>
      <c r="J158" s="257"/>
      <c r="K158" s="256"/>
      <c r="L158" s="257" t="e">
        <f t="shared" si="16"/>
        <v>#DIV/0!</v>
      </c>
      <c r="M158" s="28">
        <f>-50</f>
        <v>-50</v>
      </c>
      <c r="N158" s="27" t="e">
        <f>L158+M158</f>
        <v>#DIV/0!</v>
      </c>
      <c r="O158" s="74" t="e">
        <f>L158-#REF!</f>
        <v>#DIV/0!</v>
      </c>
    </row>
    <row r="159" spans="1:14" s="121" customFormat="1" ht="25.5" customHeight="1">
      <c r="A159" s="226" t="s">
        <v>204</v>
      </c>
      <c r="B159" s="23" t="s">
        <v>0</v>
      </c>
      <c r="C159" s="23" t="s">
        <v>7</v>
      </c>
      <c r="D159" s="23" t="s">
        <v>13</v>
      </c>
      <c r="E159" s="23"/>
      <c r="F159" s="23"/>
      <c r="G159" s="17" t="e">
        <f aca="true" t="shared" si="17" ref="G159:N159">G160</f>
        <v>#REF!</v>
      </c>
      <c r="H159" s="17" t="e">
        <f t="shared" si="17"/>
        <v>#REF!</v>
      </c>
      <c r="I159" s="17" t="e">
        <f t="shared" si="17"/>
        <v>#REF!</v>
      </c>
      <c r="J159" s="256">
        <f>J160+J168</f>
        <v>3968.2411700000002</v>
      </c>
      <c r="K159" s="256">
        <f>K160+K168</f>
        <v>3964.45519</v>
      </c>
      <c r="L159" s="256">
        <f t="shared" si="16"/>
        <v>99.90459299629715</v>
      </c>
      <c r="M159" s="38" t="e">
        <f t="shared" si="17"/>
        <v>#REF!</v>
      </c>
      <c r="N159" s="53" t="e">
        <f t="shared" si="17"/>
        <v>#REF!</v>
      </c>
    </row>
    <row r="160" spans="1:14" ht="36.75">
      <c r="A160" s="211" t="s">
        <v>205</v>
      </c>
      <c r="B160" s="18" t="s">
        <v>0</v>
      </c>
      <c r="C160" s="18" t="s">
        <v>7</v>
      </c>
      <c r="D160" s="18" t="s">
        <v>13</v>
      </c>
      <c r="E160" s="18" t="s">
        <v>124</v>
      </c>
      <c r="F160" s="18"/>
      <c r="G160" s="30" t="e">
        <f>#REF!+#REF!</f>
        <v>#REF!</v>
      </c>
      <c r="H160" s="30" t="e">
        <f>#REF!+#REF!</f>
        <v>#REF!</v>
      </c>
      <c r="I160" s="30" t="e">
        <f>#REF!+#REF!</f>
        <v>#REF!</v>
      </c>
      <c r="J160" s="257">
        <f>J161+J162+J163+J164+J165+J166+J167</f>
        <v>3789.17785</v>
      </c>
      <c r="K160" s="257">
        <f>K161+K162+K163+K164+K165+K166+K167</f>
        <v>3785.39187</v>
      </c>
      <c r="L160" s="257">
        <f t="shared" si="16"/>
        <v>99.90008439429677</v>
      </c>
      <c r="M160" s="26" t="e">
        <f>#REF!+#REF!+M161+M162+M164+M166+M163+M167</f>
        <v>#REF!</v>
      </c>
      <c r="N160" s="26" t="e">
        <f>#REF!+#REF!+N161+N162+N164+N166+N163+N167</f>
        <v>#REF!</v>
      </c>
    </row>
    <row r="161" spans="1:15" ht="24">
      <c r="A161" s="215" t="s">
        <v>162</v>
      </c>
      <c r="B161" s="18" t="s">
        <v>0</v>
      </c>
      <c r="C161" s="18" t="s">
        <v>7</v>
      </c>
      <c r="D161" s="18" t="s">
        <v>13</v>
      </c>
      <c r="E161" s="18" t="s">
        <v>126</v>
      </c>
      <c r="F161" s="18" t="s">
        <v>163</v>
      </c>
      <c r="G161" s="30"/>
      <c r="H161" s="24"/>
      <c r="I161" s="30"/>
      <c r="J161" s="257">
        <v>2883.71869</v>
      </c>
      <c r="K161" s="257">
        <v>2883.21969</v>
      </c>
      <c r="L161" s="257">
        <f t="shared" si="16"/>
        <v>99.98269595429919</v>
      </c>
      <c r="M161" s="26"/>
      <c r="N161" s="27"/>
      <c r="O161" s="74"/>
    </row>
    <row r="162" spans="1:15" ht="27" customHeight="1">
      <c r="A162" s="215" t="s">
        <v>165</v>
      </c>
      <c r="B162" s="18" t="s">
        <v>0</v>
      </c>
      <c r="C162" s="18" t="s">
        <v>7</v>
      </c>
      <c r="D162" s="18" t="s">
        <v>13</v>
      </c>
      <c r="E162" s="18" t="s">
        <v>126</v>
      </c>
      <c r="F162" s="18" t="s">
        <v>166</v>
      </c>
      <c r="G162" s="30"/>
      <c r="H162" s="24"/>
      <c r="I162" s="30"/>
      <c r="J162" s="257">
        <v>15.7</v>
      </c>
      <c r="K162" s="257">
        <v>15.7</v>
      </c>
      <c r="L162" s="257">
        <f t="shared" si="16"/>
        <v>100</v>
      </c>
      <c r="M162" s="26"/>
      <c r="N162" s="27"/>
      <c r="O162" s="74"/>
    </row>
    <row r="163" spans="1:15" ht="24.75" customHeight="1">
      <c r="A163" s="215" t="s">
        <v>169</v>
      </c>
      <c r="B163" s="18" t="s">
        <v>0</v>
      </c>
      <c r="C163" s="18" t="s">
        <v>7</v>
      </c>
      <c r="D163" s="18" t="s">
        <v>13</v>
      </c>
      <c r="E163" s="18" t="s">
        <v>126</v>
      </c>
      <c r="F163" s="18" t="s">
        <v>170</v>
      </c>
      <c r="G163" s="30"/>
      <c r="H163" s="24"/>
      <c r="I163" s="30"/>
      <c r="J163" s="257">
        <v>305.78316</v>
      </c>
      <c r="K163" s="257">
        <v>305.709</v>
      </c>
      <c r="L163" s="257">
        <f t="shared" si="16"/>
        <v>99.9757475199092</v>
      </c>
      <c r="M163" s="26"/>
      <c r="N163" s="27"/>
      <c r="O163" s="74"/>
    </row>
    <row r="164" spans="1:15" ht="25.5" customHeight="1">
      <c r="A164" s="215" t="s">
        <v>156</v>
      </c>
      <c r="B164" s="18" t="s">
        <v>0</v>
      </c>
      <c r="C164" s="18" t="s">
        <v>7</v>
      </c>
      <c r="D164" s="18" t="s">
        <v>13</v>
      </c>
      <c r="E164" s="18" t="s">
        <v>126</v>
      </c>
      <c r="F164" s="18" t="s">
        <v>158</v>
      </c>
      <c r="G164" s="30"/>
      <c r="H164" s="24"/>
      <c r="I164" s="30"/>
      <c r="J164" s="257">
        <v>577.976</v>
      </c>
      <c r="K164" s="257">
        <v>576.79575</v>
      </c>
      <c r="L164" s="257">
        <f t="shared" si="16"/>
        <v>99.79579601921186</v>
      </c>
      <c r="M164" s="26"/>
      <c r="N164" s="27"/>
      <c r="O164" s="74"/>
    </row>
    <row r="165" spans="1:15" ht="24.75" hidden="1">
      <c r="A165" s="214" t="s">
        <v>102</v>
      </c>
      <c r="B165" s="18" t="s">
        <v>0</v>
      </c>
      <c r="C165" s="18" t="s">
        <v>7</v>
      </c>
      <c r="D165" s="18" t="s">
        <v>13</v>
      </c>
      <c r="E165" s="18" t="s">
        <v>126</v>
      </c>
      <c r="F165" s="18" t="s">
        <v>101</v>
      </c>
      <c r="G165" s="30">
        <f>50+360+80+3.47-0.01-80-3.47+2.72</f>
        <v>412.71000000000004</v>
      </c>
      <c r="H165" s="24"/>
      <c r="I165" s="30"/>
      <c r="J165" s="257"/>
      <c r="K165" s="257"/>
      <c r="L165" s="257" t="e">
        <f t="shared" si="16"/>
        <v>#DIV/0!</v>
      </c>
      <c r="M165" s="26">
        <f>-205.496</f>
        <v>-205.496</v>
      </c>
      <c r="N165" s="27" t="e">
        <f>L165+M165</f>
        <v>#DIV/0!</v>
      </c>
      <c r="O165" s="74" t="e">
        <f>L165-#REF!</f>
        <v>#DIV/0!</v>
      </c>
    </row>
    <row r="166" spans="1:14" ht="25.5" customHeight="1">
      <c r="A166" s="215" t="s">
        <v>171</v>
      </c>
      <c r="B166" s="18" t="s">
        <v>0</v>
      </c>
      <c r="C166" s="18" t="s">
        <v>7</v>
      </c>
      <c r="D166" s="18" t="s">
        <v>13</v>
      </c>
      <c r="E166" s="18" t="s">
        <v>126</v>
      </c>
      <c r="F166" s="18" t="s">
        <v>172</v>
      </c>
      <c r="G166" s="30"/>
      <c r="H166" s="24"/>
      <c r="I166" s="30"/>
      <c r="J166" s="257">
        <v>4.94757</v>
      </c>
      <c r="K166" s="257">
        <v>2.915</v>
      </c>
      <c r="L166" s="257">
        <f t="shared" si="16"/>
        <v>58.917812178503794</v>
      </c>
      <c r="M166" s="26"/>
      <c r="N166" s="27"/>
    </row>
    <row r="167" spans="1:14" ht="15">
      <c r="A167" s="215" t="s">
        <v>173</v>
      </c>
      <c r="B167" s="18" t="s">
        <v>0</v>
      </c>
      <c r="C167" s="18" t="s">
        <v>7</v>
      </c>
      <c r="D167" s="18" t="s">
        <v>13</v>
      </c>
      <c r="E167" s="18" t="s">
        <v>126</v>
      </c>
      <c r="F167" s="18" t="s">
        <v>174</v>
      </c>
      <c r="G167" s="30"/>
      <c r="H167" s="24"/>
      <c r="I167" s="30"/>
      <c r="J167" s="257">
        <v>1.05243</v>
      </c>
      <c r="K167" s="257">
        <v>1.05243</v>
      </c>
      <c r="L167" s="257">
        <f t="shared" si="16"/>
        <v>100</v>
      </c>
      <c r="M167" s="26"/>
      <c r="N167" s="27"/>
    </row>
    <row r="168" spans="1:14" ht="19.5" customHeight="1">
      <c r="A168" s="214" t="s">
        <v>521</v>
      </c>
      <c r="B168" s="18" t="s">
        <v>0</v>
      </c>
      <c r="C168" s="18" t="s">
        <v>7</v>
      </c>
      <c r="D168" s="18" t="s">
        <v>13</v>
      </c>
      <c r="E168" s="18" t="s">
        <v>513</v>
      </c>
      <c r="F168" s="18"/>
      <c r="G168" s="30"/>
      <c r="H168" s="24"/>
      <c r="I168" s="30"/>
      <c r="J168" s="257">
        <f>J170+J169</f>
        <v>179.06332</v>
      </c>
      <c r="K168" s="257">
        <f>K170+K169</f>
        <v>179.06332</v>
      </c>
      <c r="L168" s="257">
        <f t="shared" si="16"/>
        <v>100</v>
      </c>
      <c r="M168" s="26"/>
      <c r="N168" s="27"/>
    </row>
    <row r="169" spans="1:14" ht="25.5" customHeight="1">
      <c r="A169" s="215" t="s">
        <v>156</v>
      </c>
      <c r="B169" s="18" t="s">
        <v>0</v>
      </c>
      <c r="C169" s="18" t="s">
        <v>7</v>
      </c>
      <c r="D169" s="18" t="s">
        <v>13</v>
      </c>
      <c r="E169" s="18" t="s">
        <v>513</v>
      </c>
      <c r="F169" s="18" t="s">
        <v>158</v>
      </c>
      <c r="G169" s="30"/>
      <c r="H169" s="24"/>
      <c r="I169" s="30"/>
      <c r="J169" s="257">
        <v>179.06332</v>
      </c>
      <c r="K169" s="257">
        <v>179.06332</v>
      </c>
      <c r="L169" s="257">
        <f t="shared" si="16"/>
        <v>100</v>
      </c>
      <c r="M169" s="26"/>
      <c r="N169" s="27"/>
    </row>
    <row r="170" spans="1:14" ht="15" hidden="1">
      <c r="A170" s="214" t="s">
        <v>522</v>
      </c>
      <c r="B170" s="18" t="s">
        <v>0</v>
      </c>
      <c r="C170" s="18" t="s">
        <v>7</v>
      </c>
      <c r="D170" s="18" t="s">
        <v>13</v>
      </c>
      <c r="E170" s="18" t="s">
        <v>513</v>
      </c>
      <c r="F170" s="18" t="s">
        <v>517</v>
      </c>
      <c r="G170" s="30"/>
      <c r="H170" s="24"/>
      <c r="I170" s="30"/>
      <c r="J170" s="257"/>
      <c r="K170" s="257"/>
      <c r="L170" s="257" t="e">
        <f t="shared" si="16"/>
        <v>#DIV/0!</v>
      </c>
      <c r="M170" s="26"/>
      <c r="N170" s="27"/>
    </row>
    <row r="171" spans="1:14" ht="15" hidden="1">
      <c r="A171" s="211" t="s">
        <v>16</v>
      </c>
      <c r="B171" s="23" t="s">
        <v>0</v>
      </c>
      <c r="C171" s="23" t="s">
        <v>7</v>
      </c>
      <c r="D171" s="23" t="s">
        <v>17</v>
      </c>
      <c r="E171" s="23"/>
      <c r="F171" s="23"/>
      <c r="G171" s="30"/>
      <c r="H171" s="24"/>
      <c r="I171" s="30"/>
      <c r="J171" s="256">
        <f>J172</f>
        <v>0</v>
      </c>
      <c r="K171" s="256">
        <f>K172</f>
        <v>0</v>
      </c>
      <c r="L171" s="257" t="e">
        <f t="shared" si="16"/>
        <v>#DIV/0!</v>
      </c>
      <c r="M171" s="26"/>
      <c r="N171" s="27"/>
    </row>
    <row r="172" spans="1:14" ht="15" hidden="1">
      <c r="A172" s="211" t="s">
        <v>16</v>
      </c>
      <c r="B172" s="18" t="s">
        <v>0</v>
      </c>
      <c r="C172" s="18" t="s">
        <v>7</v>
      </c>
      <c r="D172" s="18" t="s">
        <v>17</v>
      </c>
      <c r="E172" s="18" t="s">
        <v>211</v>
      </c>
      <c r="F172" s="18"/>
      <c r="G172" s="30"/>
      <c r="H172" s="24"/>
      <c r="I172" s="30"/>
      <c r="J172" s="257">
        <f>J173</f>
        <v>0</v>
      </c>
      <c r="K172" s="257">
        <f>K173</f>
        <v>0</v>
      </c>
      <c r="L172" s="257" t="e">
        <f t="shared" si="16"/>
        <v>#DIV/0!</v>
      </c>
      <c r="M172" s="26"/>
      <c r="N172" s="27"/>
    </row>
    <row r="173" spans="1:14" ht="15" hidden="1">
      <c r="A173" s="211" t="s">
        <v>212</v>
      </c>
      <c r="B173" s="18" t="s">
        <v>0</v>
      </c>
      <c r="C173" s="18" t="s">
        <v>7</v>
      </c>
      <c r="D173" s="18" t="s">
        <v>17</v>
      </c>
      <c r="E173" s="18" t="s">
        <v>213</v>
      </c>
      <c r="F173" s="18"/>
      <c r="G173" s="30"/>
      <c r="H173" s="24"/>
      <c r="I173" s="30"/>
      <c r="J173" s="257">
        <f>J174+J175</f>
        <v>0</v>
      </c>
      <c r="K173" s="257">
        <f>K174+K175</f>
        <v>0</v>
      </c>
      <c r="L173" s="257" t="e">
        <f t="shared" si="16"/>
        <v>#DIV/0!</v>
      </c>
      <c r="M173" s="26"/>
      <c r="N173" s="27"/>
    </row>
    <row r="174" spans="1:14" ht="15" hidden="1">
      <c r="A174" s="211" t="s">
        <v>209</v>
      </c>
      <c r="B174" s="18" t="s">
        <v>0</v>
      </c>
      <c r="C174" s="18" t="s">
        <v>7</v>
      </c>
      <c r="D174" s="18" t="s">
        <v>17</v>
      </c>
      <c r="E174" s="18" t="s">
        <v>213</v>
      </c>
      <c r="F174" s="18" t="s">
        <v>210</v>
      </c>
      <c r="G174" s="30"/>
      <c r="H174" s="24"/>
      <c r="I174" s="30"/>
      <c r="J174" s="257"/>
      <c r="K174" s="257"/>
      <c r="L174" s="257" t="e">
        <f t="shared" si="16"/>
        <v>#DIV/0!</v>
      </c>
      <c r="M174" s="26"/>
      <c r="N174" s="27"/>
    </row>
    <row r="175" spans="1:14" ht="15" hidden="1">
      <c r="A175" s="211" t="s">
        <v>214</v>
      </c>
      <c r="B175" s="18" t="s">
        <v>0</v>
      </c>
      <c r="C175" s="18" t="s">
        <v>7</v>
      </c>
      <c r="D175" s="18" t="s">
        <v>17</v>
      </c>
      <c r="E175" s="18" t="s">
        <v>213</v>
      </c>
      <c r="F175" s="18" t="s">
        <v>215</v>
      </c>
      <c r="G175" s="30"/>
      <c r="H175" s="24"/>
      <c r="I175" s="30"/>
      <c r="J175" s="257">
        <v>0</v>
      </c>
      <c r="K175" s="257"/>
      <c r="L175" s="257" t="e">
        <f t="shared" si="16"/>
        <v>#DIV/0!</v>
      </c>
      <c r="M175" s="26"/>
      <c r="N175" s="27"/>
    </row>
    <row r="176" spans="1:14" ht="15">
      <c r="A176" s="227" t="s">
        <v>20</v>
      </c>
      <c r="B176" s="68" t="s">
        <v>0</v>
      </c>
      <c r="C176" s="68" t="s">
        <v>7</v>
      </c>
      <c r="D176" s="68" t="s">
        <v>19</v>
      </c>
      <c r="E176" s="18"/>
      <c r="F176" s="18"/>
      <c r="G176" s="30"/>
      <c r="H176" s="24"/>
      <c r="I176" s="30"/>
      <c r="J176" s="257">
        <f>J177</f>
        <v>10.2</v>
      </c>
      <c r="K176" s="257">
        <f>K177</f>
        <v>9.7</v>
      </c>
      <c r="L176" s="257">
        <f t="shared" si="16"/>
        <v>95.09803921568627</v>
      </c>
      <c r="M176" s="31">
        <f>M180</f>
        <v>0</v>
      </c>
      <c r="N176" s="59">
        <f>N180</f>
        <v>0</v>
      </c>
    </row>
    <row r="177" spans="1:14" ht="24">
      <c r="A177" s="288" t="s">
        <v>267</v>
      </c>
      <c r="B177" s="68" t="s">
        <v>0</v>
      </c>
      <c r="C177" s="68" t="s">
        <v>7</v>
      </c>
      <c r="D177" s="68" t="s">
        <v>19</v>
      </c>
      <c r="E177" s="18" t="s">
        <v>444</v>
      </c>
      <c r="F177" s="18"/>
      <c r="G177" s="30"/>
      <c r="H177" s="24"/>
      <c r="I177" s="30"/>
      <c r="J177" s="257">
        <f>J178+J180</f>
        <v>10.2</v>
      </c>
      <c r="K177" s="257">
        <f>K178+K180</f>
        <v>9.7</v>
      </c>
      <c r="L177" s="257">
        <f t="shared" si="16"/>
        <v>95.09803921568627</v>
      </c>
      <c r="M177" s="31"/>
      <c r="N177" s="31"/>
    </row>
    <row r="178" spans="1:14" ht="36.75">
      <c r="A178" s="219" t="s">
        <v>202</v>
      </c>
      <c r="B178" s="18" t="s">
        <v>0</v>
      </c>
      <c r="C178" s="18" t="s">
        <v>7</v>
      </c>
      <c r="D178" s="18" t="s">
        <v>19</v>
      </c>
      <c r="E178" s="18" t="s">
        <v>203</v>
      </c>
      <c r="F178" s="18"/>
      <c r="G178" s="17">
        <f aca="true" t="shared" si="18" ref="G178:N178">G179</f>
        <v>0</v>
      </c>
      <c r="H178" s="17">
        <f t="shared" si="18"/>
        <v>0</v>
      </c>
      <c r="I178" s="17">
        <f t="shared" si="18"/>
        <v>0</v>
      </c>
      <c r="J178" s="257">
        <f t="shared" si="18"/>
        <v>10.2</v>
      </c>
      <c r="K178" s="257">
        <f t="shared" si="18"/>
        <v>9.7</v>
      </c>
      <c r="L178" s="257">
        <f t="shared" si="16"/>
        <v>95.09803921568627</v>
      </c>
      <c r="M178" s="28">
        <f t="shared" si="18"/>
        <v>0</v>
      </c>
      <c r="N178" s="29">
        <f t="shared" si="18"/>
        <v>0</v>
      </c>
    </row>
    <row r="179" spans="1:14" ht="36">
      <c r="A179" s="215" t="s">
        <v>156</v>
      </c>
      <c r="B179" s="18" t="s">
        <v>0</v>
      </c>
      <c r="C179" s="18" t="s">
        <v>7</v>
      </c>
      <c r="D179" s="18" t="s">
        <v>19</v>
      </c>
      <c r="E179" s="18" t="s">
        <v>203</v>
      </c>
      <c r="F179" s="18" t="s">
        <v>158</v>
      </c>
      <c r="G179" s="17"/>
      <c r="H179" s="24"/>
      <c r="I179" s="17"/>
      <c r="J179" s="257">
        <v>10.2</v>
      </c>
      <c r="K179" s="257">
        <v>9.7</v>
      </c>
      <c r="L179" s="257">
        <f t="shared" si="16"/>
        <v>95.09803921568627</v>
      </c>
      <c r="M179" s="28"/>
      <c r="N179" s="27"/>
    </row>
    <row r="180" spans="1:14" ht="60" hidden="1">
      <c r="A180" s="228" t="s">
        <v>216</v>
      </c>
      <c r="B180" s="60" t="s">
        <v>0</v>
      </c>
      <c r="C180" s="60" t="s">
        <v>7</v>
      </c>
      <c r="D180" s="60" t="s">
        <v>19</v>
      </c>
      <c r="E180" s="60" t="s">
        <v>217</v>
      </c>
      <c r="F180" s="18"/>
      <c r="G180" s="30"/>
      <c r="H180" s="24"/>
      <c r="I180" s="30"/>
      <c r="J180" s="257">
        <f>J181</f>
        <v>0</v>
      </c>
      <c r="K180" s="257">
        <f>K181</f>
        <v>0</v>
      </c>
      <c r="L180" s="257" t="e">
        <f t="shared" si="16"/>
        <v>#DIV/0!</v>
      </c>
      <c r="M180" s="26">
        <f>M181</f>
        <v>0</v>
      </c>
      <c r="N180" s="54">
        <f>N181</f>
        <v>0</v>
      </c>
    </row>
    <row r="181" spans="1:14" ht="24" hidden="1">
      <c r="A181" s="215" t="s">
        <v>162</v>
      </c>
      <c r="B181" s="60" t="s">
        <v>0</v>
      </c>
      <c r="C181" s="60" t="s">
        <v>7</v>
      </c>
      <c r="D181" s="60" t="s">
        <v>19</v>
      </c>
      <c r="E181" s="60" t="s">
        <v>217</v>
      </c>
      <c r="F181" s="18" t="s">
        <v>163</v>
      </c>
      <c r="G181" s="30"/>
      <c r="H181" s="24"/>
      <c r="I181" s="30"/>
      <c r="J181" s="257">
        <v>0</v>
      </c>
      <c r="K181" s="257"/>
      <c r="L181" s="257" t="e">
        <f t="shared" si="16"/>
        <v>#DIV/0!</v>
      </c>
      <c r="M181" s="26"/>
      <c r="N181" s="27"/>
    </row>
    <row r="182" spans="1:15" s="121" customFormat="1" ht="14.25" customHeight="1">
      <c r="A182" s="226" t="s">
        <v>22</v>
      </c>
      <c r="B182" s="23" t="s">
        <v>0</v>
      </c>
      <c r="C182" s="23" t="s">
        <v>8</v>
      </c>
      <c r="D182" s="23" t="s">
        <v>219</v>
      </c>
      <c r="E182" s="23"/>
      <c r="F182" s="23"/>
      <c r="G182" s="17">
        <f aca="true" t="shared" si="19" ref="G182:N184">G183</f>
        <v>-1000</v>
      </c>
      <c r="H182" s="17">
        <f t="shared" si="19"/>
        <v>1548</v>
      </c>
      <c r="I182" s="17">
        <f t="shared" si="19"/>
        <v>0</v>
      </c>
      <c r="J182" s="256">
        <f t="shared" si="19"/>
        <v>562.6</v>
      </c>
      <c r="K182" s="256">
        <f t="shared" si="19"/>
        <v>562.6</v>
      </c>
      <c r="L182" s="256">
        <f t="shared" si="16"/>
        <v>100</v>
      </c>
      <c r="M182" s="38" t="e">
        <f t="shared" si="19"/>
        <v>#REF!</v>
      </c>
      <c r="N182" s="53" t="e">
        <f t="shared" si="19"/>
        <v>#DIV/0!</v>
      </c>
      <c r="O182" s="140">
        <f>L182+L202+L204+L209+L227+L234+L238+L242+L254+L257+L260</f>
        <v>1100</v>
      </c>
    </row>
    <row r="183" spans="1:14" ht="14.25" customHeight="1">
      <c r="A183" s="219" t="s">
        <v>220</v>
      </c>
      <c r="B183" s="18" t="s">
        <v>0</v>
      </c>
      <c r="C183" s="18" t="s">
        <v>8</v>
      </c>
      <c r="D183" s="18" t="s">
        <v>9</v>
      </c>
      <c r="E183" s="18"/>
      <c r="F183" s="18"/>
      <c r="G183" s="30">
        <f t="shared" si="19"/>
        <v>-1000</v>
      </c>
      <c r="H183" s="30">
        <f t="shared" si="19"/>
        <v>1548</v>
      </c>
      <c r="I183" s="30">
        <f t="shared" si="19"/>
        <v>0</v>
      </c>
      <c r="J183" s="257">
        <f t="shared" si="19"/>
        <v>562.6</v>
      </c>
      <c r="K183" s="257">
        <f t="shared" si="19"/>
        <v>562.6</v>
      </c>
      <c r="L183" s="257">
        <f t="shared" si="16"/>
        <v>100</v>
      </c>
      <c r="M183" s="26" t="e">
        <f t="shared" si="19"/>
        <v>#REF!</v>
      </c>
      <c r="N183" s="27" t="e">
        <f t="shared" si="19"/>
        <v>#DIV/0!</v>
      </c>
    </row>
    <row r="184" spans="1:14" ht="22.5" customHeight="1">
      <c r="A184" s="219" t="s">
        <v>221</v>
      </c>
      <c r="B184" s="18" t="s">
        <v>0</v>
      </c>
      <c r="C184" s="18" t="s">
        <v>8</v>
      </c>
      <c r="D184" s="18" t="s">
        <v>9</v>
      </c>
      <c r="E184" s="18" t="s">
        <v>222</v>
      </c>
      <c r="F184" s="18"/>
      <c r="G184" s="30">
        <f t="shared" si="19"/>
        <v>-1000</v>
      </c>
      <c r="H184" s="30">
        <f t="shared" si="19"/>
        <v>1548</v>
      </c>
      <c r="I184" s="30">
        <f t="shared" si="19"/>
        <v>0</v>
      </c>
      <c r="J184" s="257">
        <f>J185+J186</f>
        <v>562.6</v>
      </c>
      <c r="K184" s="257">
        <f>K185+K186</f>
        <v>562.6</v>
      </c>
      <c r="L184" s="257">
        <f t="shared" si="16"/>
        <v>100</v>
      </c>
      <c r="M184" s="27" t="e">
        <f>M185+#REF!</f>
        <v>#REF!</v>
      </c>
      <c r="N184" s="27" t="e">
        <f>N185+#REF!</f>
        <v>#DIV/0!</v>
      </c>
    </row>
    <row r="185" spans="1:14" ht="15" customHeight="1" hidden="1">
      <c r="A185" s="214" t="s">
        <v>223</v>
      </c>
      <c r="B185" s="18" t="s">
        <v>0</v>
      </c>
      <c r="C185" s="18" t="s">
        <v>8</v>
      </c>
      <c r="D185" s="18" t="s">
        <v>9</v>
      </c>
      <c r="E185" s="18" t="s">
        <v>222</v>
      </c>
      <c r="F185" s="18" t="s">
        <v>224</v>
      </c>
      <c r="G185" s="30">
        <v>-1000</v>
      </c>
      <c r="H185" s="24">
        <v>1548</v>
      </c>
      <c r="I185" s="30"/>
      <c r="J185" s="257"/>
      <c r="K185" s="257"/>
      <c r="L185" s="257" t="e">
        <f t="shared" si="16"/>
        <v>#DIV/0!</v>
      </c>
      <c r="M185" s="26"/>
      <c r="N185" s="27" t="e">
        <f>L185+M185</f>
        <v>#DIV/0!</v>
      </c>
    </row>
    <row r="186" spans="1:14" ht="15">
      <c r="A186" s="229" t="s">
        <v>218</v>
      </c>
      <c r="B186" s="18" t="s">
        <v>0</v>
      </c>
      <c r="C186" s="18" t="s">
        <v>8</v>
      </c>
      <c r="D186" s="18" t="s">
        <v>9</v>
      </c>
      <c r="E186" s="18" t="s">
        <v>222</v>
      </c>
      <c r="F186" s="18" t="s">
        <v>225</v>
      </c>
      <c r="G186" s="30"/>
      <c r="H186" s="24"/>
      <c r="I186" s="30"/>
      <c r="J186" s="257">
        <v>562.6</v>
      </c>
      <c r="K186" s="257">
        <v>562.6</v>
      </c>
      <c r="L186" s="257">
        <f t="shared" si="16"/>
        <v>100</v>
      </c>
      <c r="M186" s="70"/>
      <c r="N186" s="69"/>
    </row>
    <row r="187" spans="1:14" ht="24.75">
      <c r="A187" s="217" t="s">
        <v>25</v>
      </c>
      <c r="B187" s="23" t="s">
        <v>0</v>
      </c>
      <c r="C187" s="23" t="s">
        <v>9</v>
      </c>
      <c r="D187" s="18"/>
      <c r="E187" s="18"/>
      <c r="F187" s="18"/>
      <c r="G187" s="17">
        <f aca="true" t="shared" si="20" ref="G187:N187">G188</f>
        <v>0</v>
      </c>
      <c r="H187" s="17">
        <f t="shared" si="20"/>
        <v>526.1</v>
      </c>
      <c r="I187" s="17">
        <f t="shared" si="20"/>
        <v>0</v>
      </c>
      <c r="J187" s="256">
        <f>J188+J196</f>
        <v>90</v>
      </c>
      <c r="K187" s="256">
        <f>K188+K196</f>
        <v>90</v>
      </c>
      <c r="L187" s="256">
        <f t="shared" si="16"/>
        <v>100</v>
      </c>
      <c r="M187" s="21">
        <f t="shared" si="20"/>
        <v>0</v>
      </c>
      <c r="N187" s="22" t="e">
        <f t="shared" si="20"/>
        <v>#DIV/0!</v>
      </c>
    </row>
    <row r="188" spans="1:14" s="121" customFormat="1" ht="14.25" hidden="1">
      <c r="A188" s="217" t="s">
        <v>27</v>
      </c>
      <c r="B188" s="23" t="s">
        <v>0</v>
      </c>
      <c r="C188" s="23" t="s">
        <v>9</v>
      </c>
      <c r="D188" s="23" t="s">
        <v>8</v>
      </c>
      <c r="E188" s="23"/>
      <c r="F188" s="23"/>
      <c r="G188" s="17">
        <f aca="true" t="shared" si="21" ref="G188:M188">G190+G193</f>
        <v>0</v>
      </c>
      <c r="H188" s="17">
        <f t="shared" si="21"/>
        <v>526.1</v>
      </c>
      <c r="I188" s="17">
        <f t="shared" si="21"/>
        <v>0</v>
      </c>
      <c r="J188" s="256">
        <f>J190+J193</f>
        <v>0</v>
      </c>
      <c r="K188" s="256">
        <f t="shared" si="21"/>
        <v>0</v>
      </c>
      <c r="L188" s="256" t="e">
        <f t="shared" si="16"/>
        <v>#DIV/0!</v>
      </c>
      <c r="M188" s="38">
        <f t="shared" si="21"/>
        <v>0</v>
      </c>
      <c r="N188" s="53" t="e">
        <f>N190+N193</f>
        <v>#DIV/0!</v>
      </c>
    </row>
    <row r="189" spans="1:14" ht="15" hidden="1">
      <c r="A189" s="214" t="s">
        <v>340</v>
      </c>
      <c r="B189" s="18" t="s">
        <v>0</v>
      </c>
      <c r="C189" s="18" t="s">
        <v>9</v>
      </c>
      <c r="D189" s="18" t="s">
        <v>8</v>
      </c>
      <c r="E189" s="18" t="s">
        <v>269</v>
      </c>
      <c r="F189" s="18"/>
      <c r="G189" s="30"/>
      <c r="H189" s="30"/>
      <c r="I189" s="30"/>
      <c r="J189" s="257">
        <f>J190+J193</f>
        <v>0</v>
      </c>
      <c r="K189" s="257">
        <f>K190+K193</f>
        <v>0</v>
      </c>
      <c r="L189" s="256" t="e">
        <f t="shared" si="16"/>
        <v>#DIV/0!</v>
      </c>
      <c r="M189" s="26"/>
      <c r="N189" s="27"/>
    </row>
    <row r="190" spans="1:14" ht="24" hidden="1">
      <c r="A190" s="230" t="s">
        <v>226</v>
      </c>
      <c r="B190" s="18" t="s">
        <v>0</v>
      </c>
      <c r="C190" s="18" t="s">
        <v>9</v>
      </c>
      <c r="D190" s="18" t="s">
        <v>8</v>
      </c>
      <c r="E190" s="18" t="s">
        <v>227</v>
      </c>
      <c r="F190" s="18"/>
      <c r="G190" s="30">
        <f aca="true" t="shared" si="22" ref="G190:N190">G191</f>
        <v>0</v>
      </c>
      <c r="H190" s="30">
        <f t="shared" si="22"/>
        <v>316.5</v>
      </c>
      <c r="I190" s="30">
        <f t="shared" si="22"/>
        <v>0</v>
      </c>
      <c r="J190" s="257">
        <f>J191+J192</f>
        <v>0</v>
      </c>
      <c r="K190" s="257">
        <f>K191+K192</f>
        <v>0</v>
      </c>
      <c r="L190" s="256" t="e">
        <f t="shared" si="16"/>
        <v>#DIV/0!</v>
      </c>
      <c r="M190" s="26">
        <f t="shared" si="22"/>
        <v>0</v>
      </c>
      <c r="N190" s="27" t="e">
        <f t="shared" si="22"/>
        <v>#DIV/0!</v>
      </c>
    </row>
    <row r="191" spans="1:14" ht="24.75" hidden="1">
      <c r="A191" s="214" t="s">
        <v>102</v>
      </c>
      <c r="B191" s="18" t="s">
        <v>0</v>
      </c>
      <c r="C191" s="18" t="s">
        <v>9</v>
      </c>
      <c r="D191" s="18" t="s">
        <v>8</v>
      </c>
      <c r="E191" s="18" t="s">
        <v>227</v>
      </c>
      <c r="F191" s="18" t="s">
        <v>101</v>
      </c>
      <c r="G191" s="30"/>
      <c r="H191" s="24">
        <v>316.5</v>
      </c>
      <c r="I191" s="30"/>
      <c r="J191" s="257"/>
      <c r="K191" s="257"/>
      <c r="L191" s="256" t="e">
        <f t="shared" si="16"/>
        <v>#DIV/0!</v>
      </c>
      <c r="M191" s="26"/>
      <c r="N191" s="27" t="e">
        <f>L191+M191</f>
        <v>#DIV/0!</v>
      </c>
    </row>
    <row r="192" spans="1:14" ht="36" hidden="1">
      <c r="A192" s="215" t="s">
        <v>156</v>
      </c>
      <c r="B192" s="18" t="s">
        <v>0</v>
      </c>
      <c r="C192" s="18" t="s">
        <v>9</v>
      </c>
      <c r="D192" s="18" t="s">
        <v>8</v>
      </c>
      <c r="E192" s="18" t="s">
        <v>227</v>
      </c>
      <c r="F192" s="18" t="s">
        <v>158</v>
      </c>
      <c r="G192" s="30"/>
      <c r="H192" s="24"/>
      <c r="I192" s="30"/>
      <c r="J192" s="257">
        <v>0</v>
      </c>
      <c r="K192" s="257"/>
      <c r="L192" s="256" t="e">
        <f t="shared" si="16"/>
        <v>#DIV/0!</v>
      </c>
      <c r="M192" s="26"/>
      <c r="N192" s="27"/>
    </row>
    <row r="193" spans="1:14" ht="43.5" customHeight="1" hidden="1">
      <c r="A193" s="219" t="s">
        <v>228</v>
      </c>
      <c r="B193" s="18" t="s">
        <v>0</v>
      </c>
      <c r="C193" s="18" t="s">
        <v>9</v>
      </c>
      <c r="D193" s="18" t="s">
        <v>8</v>
      </c>
      <c r="E193" s="18" t="s">
        <v>229</v>
      </c>
      <c r="F193" s="18"/>
      <c r="G193" s="30">
        <f aca="true" t="shared" si="23" ref="G193:N193">G194</f>
        <v>0</v>
      </c>
      <c r="H193" s="30">
        <f t="shared" si="23"/>
        <v>209.6</v>
      </c>
      <c r="I193" s="30">
        <f t="shared" si="23"/>
        <v>0</v>
      </c>
      <c r="J193" s="257">
        <f>J194+J195</f>
        <v>0</v>
      </c>
      <c r="K193" s="257">
        <f>K194+K195</f>
        <v>0</v>
      </c>
      <c r="L193" s="256" t="e">
        <f t="shared" si="16"/>
        <v>#DIV/0!</v>
      </c>
      <c r="M193" s="26">
        <f t="shared" si="23"/>
        <v>0</v>
      </c>
      <c r="N193" s="27" t="e">
        <f t="shared" si="23"/>
        <v>#DIV/0!</v>
      </c>
    </row>
    <row r="194" spans="1:14" ht="24.75" hidden="1">
      <c r="A194" s="214" t="s">
        <v>102</v>
      </c>
      <c r="B194" s="18" t="s">
        <v>0</v>
      </c>
      <c r="C194" s="18" t="s">
        <v>9</v>
      </c>
      <c r="D194" s="18" t="s">
        <v>8</v>
      </c>
      <c r="E194" s="18" t="s">
        <v>229</v>
      </c>
      <c r="F194" s="18" t="s">
        <v>101</v>
      </c>
      <c r="G194" s="30"/>
      <c r="H194" s="24">
        <v>209.6</v>
      </c>
      <c r="I194" s="30"/>
      <c r="J194" s="257"/>
      <c r="K194" s="257"/>
      <c r="L194" s="256" t="e">
        <f t="shared" si="16"/>
        <v>#DIV/0!</v>
      </c>
      <c r="M194" s="32"/>
      <c r="N194" s="33" t="e">
        <f>L194+M194</f>
        <v>#DIV/0!</v>
      </c>
    </row>
    <row r="195" spans="1:14" ht="36.75" hidden="1" thickBot="1">
      <c r="A195" s="215" t="s">
        <v>156</v>
      </c>
      <c r="B195" s="18" t="s">
        <v>0</v>
      </c>
      <c r="C195" s="18" t="s">
        <v>9</v>
      </c>
      <c r="D195" s="18" t="s">
        <v>8</v>
      </c>
      <c r="E195" s="18" t="s">
        <v>229</v>
      </c>
      <c r="F195" s="18" t="s">
        <v>158</v>
      </c>
      <c r="G195" s="30"/>
      <c r="H195" s="24"/>
      <c r="I195" s="30"/>
      <c r="J195" s="257">
        <v>0</v>
      </c>
      <c r="K195" s="257"/>
      <c r="L195" s="256" t="e">
        <f t="shared" si="16"/>
        <v>#DIV/0!</v>
      </c>
      <c r="M195" s="45"/>
      <c r="N195" s="61"/>
    </row>
    <row r="196" spans="1:14" ht="36.75">
      <c r="A196" s="217" t="s">
        <v>303</v>
      </c>
      <c r="B196" s="23" t="s">
        <v>0</v>
      </c>
      <c r="C196" s="23" t="s">
        <v>9</v>
      </c>
      <c r="D196" s="23" t="s">
        <v>29</v>
      </c>
      <c r="E196" s="23"/>
      <c r="F196" s="23"/>
      <c r="G196" s="17"/>
      <c r="H196" s="20"/>
      <c r="I196" s="17"/>
      <c r="J196" s="256">
        <f>J197</f>
        <v>90</v>
      </c>
      <c r="K196" s="256">
        <f>K197</f>
        <v>90</v>
      </c>
      <c r="L196" s="256">
        <f t="shared" si="16"/>
        <v>100</v>
      </c>
      <c r="M196" s="49"/>
      <c r="N196" s="144"/>
    </row>
    <row r="197" spans="1:14" ht="36.75">
      <c r="A197" s="211" t="s">
        <v>474</v>
      </c>
      <c r="B197" s="18" t="s">
        <v>0</v>
      </c>
      <c r="C197" s="18" t="s">
        <v>9</v>
      </c>
      <c r="D197" s="18" t="s">
        <v>29</v>
      </c>
      <c r="E197" s="18" t="s">
        <v>475</v>
      </c>
      <c r="F197" s="18"/>
      <c r="G197" s="30"/>
      <c r="H197" s="24"/>
      <c r="I197" s="30"/>
      <c r="J197" s="257">
        <f>J198</f>
        <v>90</v>
      </c>
      <c r="K197" s="257">
        <f>K198</f>
        <v>90</v>
      </c>
      <c r="L197" s="257">
        <f t="shared" si="16"/>
        <v>100</v>
      </c>
      <c r="M197" s="49"/>
      <c r="N197" s="144"/>
    </row>
    <row r="198" spans="1:14" ht="15">
      <c r="A198" s="211" t="s">
        <v>477</v>
      </c>
      <c r="B198" s="18" t="s">
        <v>0</v>
      </c>
      <c r="C198" s="18" t="s">
        <v>9</v>
      </c>
      <c r="D198" s="18" t="s">
        <v>29</v>
      </c>
      <c r="E198" s="18" t="s">
        <v>475</v>
      </c>
      <c r="F198" s="18" t="s">
        <v>476</v>
      </c>
      <c r="G198" s="30"/>
      <c r="H198" s="24"/>
      <c r="I198" s="30"/>
      <c r="J198" s="257">
        <v>90</v>
      </c>
      <c r="K198" s="257">
        <v>90</v>
      </c>
      <c r="L198" s="257">
        <f t="shared" si="16"/>
        <v>100</v>
      </c>
      <c r="M198" s="49"/>
      <c r="N198" s="144"/>
    </row>
    <row r="199" spans="1:14" ht="16.5" customHeight="1">
      <c r="A199" s="217" t="s">
        <v>31</v>
      </c>
      <c r="B199" s="23" t="s">
        <v>0</v>
      </c>
      <c r="C199" s="23" t="s">
        <v>10</v>
      </c>
      <c r="D199" s="23"/>
      <c r="E199" s="23"/>
      <c r="F199" s="23"/>
      <c r="G199" s="17" t="e">
        <f>#REF!+G205</f>
        <v>#REF!</v>
      </c>
      <c r="H199" s="17" t="e">
        <f>#REF!+H205</f>
        <v>#REF!</v>
      </c>
      <c r="I199" s="17" t="e">
        <f>#REF!+I205</f>
        <v>#REF!</v>
      </c>
      <c r="J199" s="256">
        <f>J205+J200</f>
        <v>14638.538999999999</v>
      </c>
      <c r="K199" s="256">
        <f>K205+K200</f>
        <v>14638.538999999999</v>
      </c>
      <c r="L199" s="256">
        <f t="shared" si="16"/>
        <v>100</v>
      </c>
      <c r="M199" s="21" t="e">
        <f>#REF!+M205</f>
        <v>#REF!</v>
      </c>
      <c r="N199" s="22" t="e">
        <f>#REF!+N205</f>
        <v>#REF!</v>
      </c>
    </row>
    <row r="200" spans="1:14" ht="15">
      <c r="A200" s="217" t="s">
        <v>504</v>
      </c>
      <c r="B200" s="23" t="s">
        <v>0</v>
      </c>
      <c r="C200" s="23" t="s">
        <v>10</v>
      </c>
      <c r="D200" s="23" t="s">
        <v>29</v>
      </c>
      <c r="E200" s="23"/>
      <c r="F200" s="23"/>
      <c r="G200" s="17"/>
      <c r="H200" s="17"/>
      <c r="I200" s="17"/>
      <c r="J200" s="256">
        <f>J201+J203</f>
        <v>3949.65</v>
      </c>
      <c r="K200" s="256">
        <f>K201+K203</f>
        <v>3949.65</v>
      </c>
      <c r="L200" s="256">
        <f t="shared" si="16"/>
        <v>100</v>
      </c>
      <c r="M200" s="21"/>
      <c r="N200" s="22"/>
    </row>
    <row r="201" spans="1:14" ht="36.75">
      <c r="A201" s="211" t="s">
        <v>474</v>
      </c>
      <c r="B201" s="18" t="s">
        <v>0</v>
      </c>
      <c r="C201" s="18" t="s">
        <v>10</v>
      </c>
      <c r="D201" s="18" t="s">
        <v>29</v>
      </c>
      <c r="E201" s="18" t="s">
        <v>475</v>
      </c>
      <c r="F201" s="18"/>
      <c r="G201" s="17"/>
      <c r="H201" s="17"/>
      <c r="I201" s="17"/>
      <c r="J201" s="257">
        <f>J202</f>
        <v>70</v>
      </c>
      <c r="K201" s="257">
        <f>K202</f>
        <v>70</v>
      </c>
      <c r="L201" s="257">
        <f t="shared" si="16"/>
        <v>100</v>
      </c>
      <c r="M201" s="21"/>
      <c r="N201" s="22"/>
    </row>
    <row r="202" spans="1:14" ht="15">
      <c r="A202" s="211" t="s">
        <v>477</v>
      </c>
      <c r="B202" s="18" t="s">
        <v>0</v>
      </c>
      <c r="C202" s="18" t="s">
        <v>10</v>
      </c>
      <c r="D202" s="18" t="s">
        <v>29</v>
      </c>
      <c r="E202" s="18" t="s">
        <v>475</v>
      </c>
      <c r="F202" s="18" t="s">
        <v>476</v>
      </c>
      <c r="G202" s="17"/>
      <c r="H202" s="17"/>
      <c r="I202" s="17"/>
      <c r="J202" s="257">
        <v>70</v>
      </c>
      <c r="K202" s="257">
        <v>70</v>
      </c>
      <c r="L202" s="257">
        <f t="shared" si="16"/>
        <v>100</v>
      </c>
      <c r="M202" s="21"/>
      <c r="N202" s="22"/>
    </row>
    <row r="203" spans="1:14" ht="48.75">
      <c r="A203" s="214" t="s">
        <v>506</v>
      </c>
      <c r="B203" s="18" t="s">
        <v>0</v>
      </c>
      <c r="C203" s="18" t="s">
        <v>10</v>
      </c>
      <c r="D203" s="18" t="s">
        <v>29</v>
      </c>
      <c r="E203" s="18" t="s">
        <v>505</v>
      </c>
      <c r="F203" s="18"/>
      <c r="G203" s="17"/>
      <c r="H203" s="17"/>
      <c r="I203" s="17"/>
      <c r="J203" s="257">
        <f>J204</f>
        <v>3879.65</v>
      </c>
      <c r="K203" s="257">
        <f>K204</f>
        <v>3879.65</v>
      </c>
      <c r="L203" s="257">
        <f t="shared" si="16"/>
        <v>100</v>
      </c>
      <c r="M203" s="21"/>
      <c r="N203" s="22"/>
    </row>
    <row r="204" spans="1:14" ht="15">
      <c r="A204" s="211" t="s">
        <v>477</v>
      </c>
      <c r="B204" s="18" t="s">
        <v>0</v>
      </c>
      <c r="C204" s="18" t="s">
        <v>10</v>
      </c>
      <c r="D204" s="18" t="s">
        <v>29</v>
      </c>
      <c r="E204" s="18" t="s">
        <v>505</v>
      </c>
      <c r="F204" s="18" t="s">
        <v>476</v>
      </c>
      <c r="G204" s="17"/>
      <c r="H204" s="17"/>
      <c r="I204" s="17"/>
      <c r="J204" s="257">
        <v>3879.65</v>
      </c>
      <c r="K204" s="257">
        <v>3879.65</v>
      </c>
      <c r="L204" s="257">
        <f t="shared" si="16"/>
        <v>100</v>
      </c>
      <c r="M204" s="21"/>
      <c r="N204" s="22"/>
    </row>
    <row r="205" spans="1:14" s="121" customFormat="1" ht="24">
      <c r="A205" s="226" t="s">
        <v>36</v>
      </c>
      <c r="B205" s="23" t="s">
        <v>0</v>
      </c>
      <c r="C205" s="23" t="s">
        <v>10</v>
      </c>
      <c r="D205" s="23" t="s">
        <v>18</v>
      </c>
      <c r="E205" s="23"/>
      <c r="F205" s="23"/>
      <c r="G205" s="17">
        <f>G214</f>
        <v>0</v>
      </c>
      <c r="H205" s="17">
        <f>H214</f>
        <v>235.5</v>
      </c>
      <c r="I205" s="17">
        <f>I214</f>
        <v>0</v>
      </c>
      <c r="J205" s="256">
        <f>J213+J210+J208+J206</f>
        <v>10688.889</v>
      </c>
      <c r="K205" s="256">
        <f>K213+K210+K208+K206</f>
        <v>10688.889</v>
      </c>
      <c r="L205" s="256">
        <f t="shared" si="16"/>
        <v>100</v>
      </c>
      <c r="M205" s="38">
        <f>M214</f>
        <v>0</v>
      </c>
      <c r="N205" s="53" t="e">
        <f>N214</f>
        <v>#DIV/0!</v>
      </c>
    </row>
    <row r="206" spans="1:14" ht="36.75">
      <c r="A206" s="211" t="s">
        <v>530</v>
      </c>
      <c r="B206" s="18" t="s">
        <v>0</v>
      </c>
      <c r="C206" s="18" t="s">
        <v>10</v>
      </c>
      <c r="D206" s="18" t="s">
        <v>18</v>
      </c>
      <c r="E206" s="18" t="s">
        <v>529</v>
      </c>
      <c r="F206" s="18"/>
      <c r="G206" s="30"/>
      <c r="H206" s="30"/>
      <c r="I206" s="30"/>
      <c r="J206" s="257">
        <f>J207</f>
        <v>8200</v>
      </c>
      <c r="K206" s="257">
        <f>K207</f>
        <v>8200</v>
      </c>
      <c r="L206" s="257">
        <f t="shared" si="16"/>
        <v>100</v>
      </c>
      <c r="M206" s="26"/>
      <c r="N206" s="31"/>
    </row>
    <row r="207" spans="1:14" ht="36">
      <c r="A207" s="215" t="s">
        <v>233</v>
      </c>
      <c r="B207" s="18" t="s">
        <v>0</v>
      </c>
      <c r="C207" s="18" t="s">
        <v>10</v>
      </c>
      <c r="D207" s="18" t="s">
        <v>18</v>
      </c>
      <c r="E207" s="18" t="s">
        <v>529</v>
      </c>
      <c r="F207" s="18" t="s">
        <v>234</v>
      </c>
      <c r="G207" s="30"/>
      <c r="H207" s="30"/>
      <c r="I207" s="30"/>
      <c r="J207" s="257">
        <v>8200</v>
      </c>
      <c r="K207" s="257">
        <v>8200</v>
      </c>
      <c r="L207" s="257">
        <f t="shared" si="16"/>
        <v>100</v>
      </c>
      <c r="M207" s="26"/>
      <c r="N207" s="31"/>
    </row>
    <row r="208" spans="1:14" s="121" customFormat="1" ht="36">
      <c r="A208" s="211" t="s">
        <v>474</v>
      </c>
      <c r="B208" s="18" t="s">
        <v>0</v>
      </c>
      <c r="C208" s="18" t="s">
        <v>10</v>
      </c>
      <c r="D208" s="18" t="s">
        <v>18</v>
      </c>
      <c r="E208" s="18" t="s">
        <v>475</v>
      </c>
      <c r="F208" s="18"/>
      <c r="G208" s="17"/>
      <c r="H208" s="17"/>
      <c r="I208" s="17"/>
      <c r="J208" s="257">
        <f>J209</f>
        <v>800</v>
      </c>
      <c r="K208" s="257">
        <f>K209</f>
        <v>800</v>
      </c>
      <c r="L208" s="257">
        <f t="shared" si="16"/>
        <v>100</v>
      </c>
      <c r="M208" s="184">
        <f>M209</f>
        <v>0</v>
      </c>
      <c r="N208" s="184">
        <f>N209</f>
        <v>0</v>
      </c>
    </row>
    <row r="209" spans="1:14" s="121" customFormat="1" ht="14.25">
      <c r="A209" s="211" t="s">
        <v>477</v>
      </c>
      <c r="B209" s="18" t="s">
        <v>0</v>
      </c>
      <c r="C209" s="18" t="s">
        <v>10</v>
      </c>
      <c r="D209" s="18" t="s">
        <v>18</v>
      </c>
      <c r="E209" s="18" t="s">
        <v>475</v>
      </c>
      <c r="F209" s="18" t="s">
        <v>476</v>
      </c>
      <c r="G209" s="17"/>
      <c r="H209" s="17"/>
      <c r="I209" s="17"/>
      <c r="J209" s="257">
        <v>800</v>
      </c>
      <c r="K209" s="257">
        <v>800</v>
      </c>
      <c r="L209" s="257">
        <f t="shared" si="16"/>
        <v>100</v>
      </c>
      <c r="M209" s="38"/>
      <c r="N209" s="53"/>
    </row>
    <row r="210" spans="1:14" s="121" customFormat="1" ht="36">
      <c r="A210" s="219" t="s">
        <v>503</v>
      </c>
      <c r="B210" s="18" t="s">
        <v>0</v>
      </c>
      <c r="C210" s="18" t="s">
        <v>10</v>
      </c>
      <c r="D210" s="18" t="s">
        <v>18</v>
      </c>
      <c r="E210" s="18" t="s">
        <v>502</v>
      </c>
      <c r="F210" s="18"/>
      <c r="G210" s="17"/>
      <c r="H210" s="17"/>
      <c r="I210" s="17"/>
      <c r="J210" s="257">
        <f>J211+J212</f>
        <v>1431.764</v>
      </c>
      <c r="K210" s="257">
        <f>K211+K212</f>
        <v>1431.764</v>
      </c>
      <c r="L210" s="257">
        <f t="shared" si="16"/>
        <v>100</v>
      </c>
      <c r="M210" s="38"/>
      <c r="N210" s="53"/>
    </row>
    <row r="211" spans="1:14" s="121" customFormat="1" ht="36">
      <c r="A211" s="215" t="s">
        <v>233</v>
      </c>
      <c r="B211" s="18" t="s">
        <v>0</v>
      </c>
      <c r="C211" s="18" t="s">
        <v>10</v>
      </c>
      <c r="D211" s="18" t="s">
        <v>18</v>
      </c>
      <c r="E211" s="18" t="s">
        <v>502</v>
      </c>
      <c r="F211" s="18" t="s">
        <v>234</v>
      </c>
      <c r="G211" s="17"/>
      <c r="H211" s="17"/>
      <c r="I211" s="17"/>
      <c r="J211" s="257">
        <v>1431.764</v>
      </c>
      <c r="K211" s="257">
        <v>1431.764</v>
      </c>
      <c r="L211" s="257">
        <f t="shared" si="16"/>
        <v>100</v>
      </c>
      <c r="M211" s="38"/>
      <c r="N211" s="53"/>
    </row>
    <row r="212" spans="1:14" s="121" customFormat="1" ht="36" hidden="1">
      <c r="A212" s="215" t="s">
        <v>233</v>
      </c>
      <c r="B212" s="18" t="s">
        <v>0</v>
      </c>
      <c r="C212" s="18" t="s">
        <v>10</v>
      </c>
      <c r="D212" s="18" t="s">
        <v>18</v>
      </c>
      <c r="E212" s="18" t="s">
        <v>232</v>
      </c>
      <c r="F212" s="18" t="s">
        <v>234</v>
      </c>
      <c r="G212" s="17"/>
      <c r="H212" s="17"/>
      <c r="I212" s="17"/>
      <c r="J212" s="257"/>
      <c r="K212" s="257"/>
      <c r="L212" s="257" t="e">
        <f t="shared" si="16"/>
        <v>#DIV/0!</v>
      </c>
      <c r="M212" s="38"/>
      <c r="N212" s="53"/>
    </row>
    <row r="213" spans="1:14" s="121" customFormat="1" ht="14.25">
      <c r="A213" s="215" t="s">
        <v>340</v>
      </c>
      <c r="B213" s="18" t="s">
        <v>0</v>
      </c>
      <c r="C213" s="18" t="s">
        <v>10</v>
      </c>
      <c r="D213" s="18" t="s">
        <v>18</v>
      </c>
      <c r="E213" s="18" t="s">
        <v>269</v>
      </c>
      <c r="F213" s="18"/>
      <c r="G213" s="17"/>
      <c r="H213" s="17"/>
      <c r="I213" s="17"/>
      <c r="J213" s="257">
        <f>J214</f>
        <v>257.125</v>
      </c>
      <c r="K213" s="257">
        <f>K214</f>
        <v>257.125</v>
      </c>
      <c r="L213" s="257">
        <f t="shared" si="16"/>
        <v>100</v>
      </c>
      <c r="M213" s="38"/>
      <c r="N213" s="53"/>
    </row>
    <row r="214" spans="1:14" ht="24.75">
      <c r="A214" s="231" t="s">
        <v>235</v>
      </c>
      <c r="B214" s="18" t="s">
        <v>0</v>
      </c>
      <c r="C214" s="18" t="s">
        <v>10</v>
      </c>
      <c r="D214" s="18" t="s">
        <v>18</v>
      </c>
      <c r="E214" s="18" t="s">
        <v>236</v>
      </c>
      <c r="F214" s="18"/>
      <c r="G214" s="30">
        <f aca="true" t="shared" si="24" ref="G214:N214">G215</f>
        <v>0</v>
      </c>
      <c r="H214" s="30">
        <f t="shared" si="24"/>
        <v>235.5</v>
      </c>
      <c r="I214" s="30">
        <f t="shared" si="24"/>
        <v>0</v>
      </c>
      <c r="J214" s="257">
        <f>J215+J222+J223</f>
        <v>257.125</v>
      </c>
      <c r="K214" s="257">
        <f>K215+K222+K223</f>
        <v>257.125</v>
      </c>
      <c r="L214" s="257">
        <f t="shared" si="16"/>
        <v>100</v>
      </c>
      <c r="M214" s="26">
        <f t="shared" si="24"/>
        <v>0</v>
      </c>
      <c r="N214" s="27" t="e">
        <f t="shared" si="24"/>
        <v>#DIV/0!</v>
      </c>
    </row>
    <row r="215" spans="1:14" ht="24.75" hidden="1">
      <c r="A215" s="214" t="s">
        <v>102</v>
      </c>
      <c r="B215" s="18" t="s">
        <v>0</v>
      </c>
      <c r="C215" s="18" t="s">
        <v>10</v>
      </c>
      <c r="D215" s="18" t="s">
        <v>18</v>
      </c>
      <c r="E215" s="18" t="s">
        <v>236</v>
      </c>
      <c r="F215" s="18" t="s">
        <v>101</v>
      </c>
      <c r="G215" s="30"/>
      <c r="H215" s="24">
        <v>235.5</v>
      </c>
      <c r="I215" s="30"/>
      <c r="J215" s="257"/>
      <c r="K215" s="257"/>
      <c r="L215" s="257" t="e">
        <f t="shared" si="16"/>
        <v>#DIV/0!</v>
      </c>
      <c r="M215" s="26"/>
      <c r="N215" s="27" t="e">
        <f>L215+M215</f>
        <v>#DIV/0!</v>
      </c>
    </row>
    <row r="216" spans="1:14" ht="15" customHeight="1" hidden="1">
      <c r="A216" s="219" t="s">
        <v>237</v>
      </c>
      <c r="B216" s="18" t="s">
        <v>0</v>
      </c>
      <c r="C216" s="18" t="s">
        <v>10</v>
      </c>
      <c r="D216" s="18" t="s">
        <v>18</v>
      </c>
      <c r="E216" s="18" t="s">
        <v>236</v>
      </c>
      <c r="F216" s="18"/>
      <c r="G216" s="71"/>
      <c r="H216" s="71">
        <f aca="true" t="shared" si="25" ref="H216:N216">H217</f>
        <v>0</v>
      </c>
      <c r="I216" s="71">
        <f t="shared" si="25"/>
        <v>31353.699999999997</v>
      </c>
      <c r="J216" s="257">
        <f t="shared" si="25"/>
        <v>0</v>
      </c>
      <c r="K216" s="257">
        <f t="shared" si="25"/>
        <v>0</v>
      </c>
      <c r="L216" s="257" t="e">
        <f t="shared" si="16"/>
        <v>#DIV/0!</v>
      </c>
      <c r="M216" s="26">
        <f t="shared" si="25"/>
        <v>0</v>
      </c>
      <c r="N216" s="27" t="e">
        <f t="shared" si="25"/>
        <v>#DIV/0!</v>
      </c>
    </row>
    <row r="217" spans="1:14" ht="15" customHeight="1" hidden="1">
      <c r="A217" s="219" t="s">
        <v>39</v>
      </c>
      <c r="B217" s="18" t="s">
        <v>0</v>
      </c>
      <c r="C217" s="18" t="s">
        <v>10</v>
      </c>
      <c r="D217" s="18" t="s">
        <v>18</v>
      </c>
      <c r="E217" s="18" t="s">
        <v>236</v>
      </c>
      <c r="F217" s="18"/>
      <c r="G217" s="71"/>
      <c r="H217" s="71">
        <f>H218+H220</f>
        <v>0</v>
      </c>
      <c r="I217" s="71">
        <f>I218+I220</f>
        <v>31353.699999999997</v>
      </c>
      <c r="J217" s="257">
        <f>J220+J218</f>
        <v>0</v>
      </c>
      <c r="K217" s="257">
        <f>K220+K218</f>
        <v>0</v>
      </c>
      <c r="L217" s="257" t="e">
        <f t="shared" si="16"/>
        <v>#DIV/0!</v>
      </c>
      <c r="M217" s="26">
        <f>M220+M218</f>
        <v>0</v>
      </c>
      <c r="N217" s="27" t="e">
        <f>N220+N218</f>
        <v>#DIV/0!</v>
      </c>
    </row>
    <row r="218" spans="1:14" ht="75" customHeight="1" hidden="1">
      <c r="A218" s="219" t="s">
        <v>238</v>
      </c>
      <c r="B218" s="18" t="s">
        <v>0</v>
      </c>
      <c r="C218" s="18" t="s">
        <v>10</v>
      </c>
      <c r="D218" s="18" t="s">
        <v>18</v>
      </c>
      <c r="E218" s="18" t="s">
        <v>236</v>
      </c>
      <c r="F218" s="18"/>
      <c r="G218" s="71"/>
      <c r="H218" s="71">
        <f aca="true" t="shared" si="26" ref="H218:N218">H219</f>
        <v>0</v>
      </c>
      <c r="I218" s="71">
        <f t="shared" si="26"/>
        <v>23145.3</v>
      </c>
      <c r="J218" s="257">
        <f t="shared" si="26"/>
        <v>0</v>
      </c>
      <c r="K218" s="257">
        <f t="shared" si="26"/>
        <v>0</v>
      </c>
      <c r="L218" s="257" t="e">
        <f t="shared" si="16"/>
        <v>#DIV/0!</v>
      </c>
      <c r="M218" s="26">
        <f t="shared" si="26"/>
        <v>0</v>
      </c>
      <c r="N218" s="27" t="e">
        <f t="shared" si="26"/>
        <v>#DIV/0!</v>
      </c>
    </row>
    <row r="219" spans="1:14" ht="75" customHeight="1" hidden="1">
      <c r="A219" s="219" t="s">
        <v>239</v>
      </c>
      <c r="B219" s="18" t="s">
        <v>0</v>
      </c>
      <c r="C219" s="18" t="s">
        <v>10</v>
      </c>
      <c r="D219" s="18" t="s">
        <v>18</v>
      </c>
      <c r="E219" s="18" t="s">
        <v>236</v>
      </c>
      <c r="F219" s="18" t="s">
        <v>231</v>
      </c>
      <c r="G219" s="71"/>
      <c r="H219" s="71"/>
      <c r="I219" s="71">
        <v>23145.3</v>
      </c>
      <c r="J219" s="257"/>
      <c r="K219" s="257"/>
      <c r="L219" s="257" t="e">
        <f aca="true" t="shared" si="27" ref="L219:L282">K219/J219*100</f>
        <v>#DIV/0!</v>
      </c>
      <c r="M219" s="26"/>
      <c r="N219" s="27" t="e">
        <f>L219+M219</f>
        <v>#DIV/0!</v>
      </c>
    </row>
    <row r="220" spans="1:14" ht="75" customHeight="1" hidden="1">
      <c r="A220" s="219" t="s">
        <v>238</v>
      </c>
      <c r="B220" s="18" t="s">
        <v>0</v>
      </c>
      <c r="C220" s="18" t="s">
        <v>10</v>
      </c>
      <c r="D220" s="18" t="s">
        <v>18</v>
      </c>
      <c r="E220" s="18" t="s">
        <v>236</v>
      </c>
      <c r="F220" s="18"/>
      <c r="G220" s="71"/>
      <c r="H220" s="71">
        <f aca="true" t="shared" si="28" ref="H220:N220">H221</f>
        <v>0</v>
      </c>
      <c r="I220" s="71">
        <f t="shared" si="28"/>
        <v>8208.4</v>
      </c>
      <c r="J220" s="257">
        <f t="shared" si="28"/>
        <v>0</v>
      </c>
      <c r="K220" s="257">
        <f t="shared" si="28"/>
        <v>0</v>
      </c>
      <c r="L220" s="257" t="e">
        <f t="shared" si="27"/>
        <v>#DIV/0!</v>
      </c>
      <c r="M220" s="26">
        <f t="shared" si="28"/>
        <v>0</v>
      </c>
      <c r="N220" s="27" t="e">
        <f t="shared" si="28"/>
        <v>#DIV/0!</v>
      </c>
    </row>
    <row r="221" spans="1:14" ht="75" customHeight="1" hidden="1">
      <c r="A221" s="219" t="s">
        <v>239</v>
      </c>
      <c r="B221" s="18" t="s">
        <v>0</v>
      </c>
      <c r="C221" s="18" t="s">
        <v>10</v>
      </c>
      <c r="D221" s="18" t="s">
        <v>18</v>
      </c>
      <c r="E221" s="18" t="s">
        <v>236</v>
      </c>
      <c r="F221" s="18" t="s">
        <v>231</v>
      </c>
      <c r="G221" s="71"/>
      <c r="H221" s="71"/>
      <c r="I221" s="71">
        <v>8208.4</v>
      </c>
      <c r="J221" s="257"/>
      <c r="K221" s="257"/>
      <c r="L221" s="257" t="e">
        <f t="shared" si="27"/>
        <v>#DIV/0!</v>
      </c>
      <c r="M221" s="26"/>
      <c r="N221" s="27" t="e">
        <f>L221+M221</f>
        <v>#DIV/0!</v>
      </c>
    </row>
    <row r="222" spans="1:14" ht="28.5" customHeight="1">
      <c r="A222" s="215" t="s">
        <v>156</v>
      </c>
      <c r="B222" s="18" t="s">
        <v>0</v>
      </c>
      <c r="C222" s="18" t="s">
        <v>10</v>
      </c>
      <c r="D222" s="18" t="s">
        <v>18</v>
      </c>
      <c r="E222" s="18" t="s">
        <v>236</v>
      </c>
      <c r="F222" s="18" t="s">
        <v>158</v>
      </c>
      <c r="G222" s="71"/>
      <c r="H222" s="71"/>
      <c r="I222" s="71"/>
      <c r="J222" s="257">
        <v>157.125</v>
      </c>
      <c r="K222" s="257">
        <v>157.125</v>
      </c>
      <c r="L222" s="257">
        <f t="shared" si="27"/>
        <v>100</v>
      </c>
      <c r="M222" s="26"/>
      <c r="N222" s="27"/>
    </row>
    <row r="223" spans="1:14" ht="36">
      <c r="A223" s="215" t="s">
        <v>233</v>
      </c>
      <c r="B223" s="18" t="s">
        <v>0</v>
      </c>
      <c r="C223" s="18" t="s">
        <v>10</v>
      </c>
      <c r="D223" s="18" t="s">
        <v>18</v>
      </c>
      <c r="E223" s="18" t="s">
        <v>236</v>
      </c>
      <c r="F223" s="18" t="s">
        <v>234</v>
      </c>
      <c r="G223" s="71"/>
      <c r="H223" s="71"/>
      <c r="I223" s="71"/>
      <c r="J223" s="257">
        <v>100</v>
      </c>
      <c r="K223" s="257">
        <v>100</v>
      </c>
      <c r="L223" s="257">
        <f t="shared" si="27"/>
        <v>100</v>
      </c>
      <c r="M223" s="26"/>
      <c r="N223" s="27"/>
    </row>
    <row r="224" spans="1:14" s="121" customFormat="1" ht="14.25">
      <c r="A224" s="227" t="s">
        <v>237</v>
      </c>
      <c r="B224" s="23" t="s">
        <v>0</v>
      </c>
      <c r="C224" s="23" t="s">
        <v>12</v>
      </c>
      <c r="D224" s="23"/>
      <c r="E224" s="23"/>
      <c r="F224" s="23"/>
      <c r="G224" s="62"/>
      <c r="H224" s="62"/>
      <c r="I224" s="62"/>
      <c r="J224" s="256">
        <f>J225+J232</f>
        <v>1506.159</v>
      </c>
      <c r="K224" s="256">
        <f>K225+K232</f>
        <v>1506.159</v>
      </c>
      <c r="L224" s="256">
        <f t="shared" si="27"/>
        <v>100</v>
      </c>
      <c r="M224" s="200"/>
      <c r="N224" s="201"/>
    </row>
    <row r="225" spans="1:14" s="121" customFormat="1" ht="14.25">
      <c r="A225" s="227" t="s">
        <v>40</v>
      </c>
      <c r="B225" s="23" t="s">
        <v>0</v>
      </c>
      <c r="C225" s="23" t="s">
        <v>12</v>
      </c>
      <c r="D225" s="23" t="s">
        <v>8</v>
      </c>
      <c r="E225" s="23"/>
      <c r="F225" s="23"/>
      <c r="G225" s="62"/>
      <c r="H225" s="62"/>
      <c r="I225" s="62"/>
      <c r="J225" s="256">
        <f>J226+J228+J230</f>
        <v>1066.159</v>
      </c>
      <c r="K225" s="256">
        <f>K226+K228+K230</f>
        <v>1066.159</v>
      </c>
      <c r="L225" s="256">
        <f t="shared" si="27"/>
        <v>100</v>
      </c>
      <c r="M225" s="200"/>
      <c r="N225" s="201"/>
    </row>
    <row r="226" spans="1:14" ht="36.75">
      <c r="A226" s="211" t="s">
        <v>474</v>
      </c>
      <c r="B226" s="18" t="s">
        <v>0</v>
      </c>
      <c r="C226" s="18" t="s">
        <v>12</v>
      </c>
      <c r="D226" s="18" t="s">
        <v>8</v>
      </c>
      <c r="E226" s="18" t="s">
        <v>475</v>
      </c>
      <c r="F226" s="18"/>
      <c r="G226" s="71"/>
      <c r="H226" s="71"/>
      <c r="I226" s="71"/>
      <c r="J226" s="257">
        <f>J227</f>
        <v>606.159</v>
      </c>
      <c r="K226" s="257">
        <f>K227</f>
        <v>606.159</v>
      </c>
      <c r="L226" s="257">
        <f t="shared" si="27"/>
        <v>100</v>
      </c>
      <c r="M226" s="49"/>
      <c r="N226" s="72"/>
    </row>
    <row r="227" spans="1:14" ht="15">
      <c r="A227" s="211" t="s">
        <v>477</v>
      </c>
      <c r="B227" s="18" t="s">
        <v>0</v>
      </c>
      <c r="C227" s="18" t="s">
        <v>12</v>
      </c>
      <c r="D227" s="18" t="s">
        <v>8</v>
      </c>
      <c r="E227" s="18" t="s">
        <v>475</v>
      </c>
      <c r="F227" s="18" t="s">
        <v>476</v>
      </c>
      <c r="G227" s="71"/>
      <c r="H227" s="71"/>
      <c r="I227" s="71"/>
      <c r="J227" s="257">
        <v>606.159</v>
      </c>
      <c r="K227" s="257">
        <v>606.159</v>
      </c>
      <c r="L227" s="257">
        <f t="shared" si="27"/>
        <v>100</v>
      </c>
      <c r="M227" s="49"/>
      <c r="N227" s="72"/>
    </row>
    <row r="228" spans="1:14" ht="24.75">
      <c r="A228" s="211" t="s">
        <v>519</v>
      </c>
      <c r="B228" s="18" t="s">
        <v>0</v>
      </c>
      <c r="C228" s="18" t="s">
        <v>12</v>
      </c>
      <c r="D228" s="18" t="s">
        <v>8</v>
      </c>
      <c r="E228" s="18" t="s">
        <v>520</v>
      </c>
      <c r="F228" s="18"/>
      <c r="G228" s="71"/>
      <c r="H228" s="71"/>
      <c r="I228" s="71"/>
      <c r="J228" s="257">
        <f>J229</f>
        <v>100</v>
      </c>
      <c r="K228" s="257">
        <f>K229</f>
        <v>100</v>
      </c>
      <c r="L228" s="257">
        <f t="shared" si="27"/>
        <v>100</v>
      </c>
      <c r="M228" s="49"/>
      <c r="N228" s="72"/>
    </row>
    <row r="229" spans="1:14" ht="15">
      <c r="A229" s="211" t="s">
        <v>477</v>
      </c>
      <c r="B229" s="18" t="s">
        <v>0</v>
      </c>
      <c r="C229" s="18" t="s">
        <v>12</v>
      </c>
      <c r="D229" s="18" t="s">
        <v>8</v>
      </c>
      <c r="E229" s="18" t="s">
        <v>520</v>
      </c>
      <c r="F229" s="18" t="s">
        <v>476</v>
      </c>
      <c r="G229" s="71"/>
      <c r="H229" s="71"/>
      <c r="I229" s="71"/>
      <c r="J229" s="257">
        <v>100</v>
      </c>
      <c r="K229" s="257">
        <v>100</v>
      </c>
      <c r="L229" s="257">
        <f t="shared" si="27"/>
        <v>100</v>
      </c>
      <c r="M229" s="49"/>
      <c r="N229" s="72"/>
    </row>
    <row r="230" spans="1:14" ht="24.75">
      <c r="A230" s="224" t="s">
        <v>341</v>
      </c>
      <c r="B230" s="18" t="s">
        <v>0</v>
      </c>
      <c r="C230" s="18" t="s">
        <v>12</v>
      </c>
      <c r="D230" s="18" t="s">
        <v>8</v>
      </c>
      <c r="E230" s="18" t="s">
        <v>342</v>
      </c>
      <c r="F230" s="18"/>
      <c r="G230" s="71"/>
      <c r="H230" s="71"/>
      <c r="I230" s="71"/>
      <c r="J230" s="257">
        <f>J231</f>
        <v>360</v>
      </c>
      <c r="K230" s="257">
        <f>K231</f>
        <v>360</v>
      </c>
      <c r="L230" s="257">
        <f t="shared" si="27"/>
        <v>100</v>
      </c>
      <c r="M230" s="49"/>
      <c r="N230" s="72"/>
    </row>
    <row r="231" spans="1:14" ht="15">
      <c r="A231" s="211" t="s">
        <v>477</v>
      </c>
      <c r="B231" s="18" t="s">
        <v>0</v>
      </c>
      <c r="C231" s="18" t="s">
        <v>12</v>
      </c>
      <c r="D231" s="18" t="s">
        <v>8</v>
      </c>
      <c r="E231" s="18" t="s">
        <v>342</v>
      </c>
      <c r="F231" s="18" t="s">
        <v>476</v>
      </c>
      <c r="G231" s="71"/>
      <c r="H231" s="71"/>
      <c r="I231" s="71"/>
      <c r="J231" s="257">
        <v>360</v>
      </c>
      <c r="K231" s="257">
        <v>360</v>
      </c>
      <c r="L231" s="257">
        <f t="shared" si="27"/>
        <v>100</v>
      </c>
      <c r="M231" s="49"/>
      <c r="N231" s="72"/>
    </row>
    <row r="232" spans="1:14" s="121" customFormat="1" ht="14.25">
      <c r="A232" s="227" t="s">
        <v>41</v>
      </c>
      <c r="B232" s="23" t="s">
        <v>0</v>
      </c>
      <c r="C232" s="23" t="s">
        <v>12</v>
      </c>
      <c r="D232" s="23" t="s">
        <v>9</v>
      </c>
      <c r="E232" s="23"/>
      <c r="F232" s="23"/>
      <c r="G232" s="62"/>
      <c r="H232" s="62"/>
      <c r="I232" s="62"/>
      <c r="J232" s="256">
        <f>J233</f>
        <v>440</v>
      </c>
      <c r="K232" s="256">
        <f>K233</f>
        <v>440</v>
      </c>
      <c r="L232" s="256">
        <f t="shared" si="27"/>
        <v>100</v>
      </c>
      <c r="M232" s="200"/>
      <c r="N232" s="201"/>
    </row>
    <row r="233" spans="1:14" ht="36.75">
      <c r="A233" s="211" t="s">
        <v>474</v>
      </c>
      <c r="B233" s="18" t="s">
        <v>0</v>
      </c>
      <c r="C233" s="18" t="s">
        <v>12</v>
      </c>
      <c r="D233" s="18" t="s">
        <v>9</v>
      </c>
      <c r="E233" s="18" t="s">
        <v>475</v>
      </c>
      <c r="F233" s="18"/>
      <c r="G233" s="71"/>
      <c r="H233" s="71"/>
      <c r="I233" s="71"/>
      <c r="J233" s="257">
        <f>J234</f>
        <v>440</v>
      </c>
      <c r="K233" s="257">
        <f>K234</f>
        <v>440</v>
      </c>
      <c r="L233" s="257">
        <f t="shared" si="27"/>
        <v>100</v>
      </c>
      <c r="M233" s="49"/>
      <c r="N233" s="72"/>
    </row>
    <row r="234" spans="1:14" ht="15">
      <c r="A234" s="211" t="s">
        <v>477</v>
      </c>
      <c r="B234" s="18" t="s">
        <v>0</v>
      </c>
      <c r="C234" s="18" t="s">
        <v>12</v>
      </c>
      <c r="D234" s="18" t="s">
        <v>9</v>
      </c>
      <c r="E234" s="18" t="s">
        <v>475</v>
      </c>
      <c r="F234" s="18" t="s">
        <v>476</v>
      </c>
      <c r="G234" s="71"/>
      <c r="H234" s="71"/>
      <c r="I234" s="71"/>
      <c r="J234" s="257">
        <v>440</v>
      </c>
      <c r="K234" s="257">
        <v>440</v>
      </c>
      <c r="L234" s="257">
        <f t="shared" si="27"/>
        <v>100</v>
      </c>
      <c r="M234" s="49"/>
      <c r="N234" s="72"/>
    </row>
    <row r="235" spans="1:14" s="121" customFormat="1" ht="14.25">
      <c r="A235" s="226" t="s">
        <v>458</v>
      </c>
      <c r="B235" s="23" t="s">
        <v>0</v>
      </c>
      <c r="C235" s="23" t="s">
        <v>35</v>
      </c>
      <c r="D235" s="23"/>
      <c r="E235" s="23"/>
      <c r="F235" s="23"/>
      <c r="G235" s="62"/>
      <c r="H235" s="62"/>
      <c r="I235" s="62"/>
      <c r="J235" s="256">
        <f aca="true" t="shared" si="29" ref="J235:K237">J236</f>
        <v>1252.1</v>
      </c>
      <c r="K235" s="256">
        <f t="shared" si="29"/>
        <v>1252.1</v>
      </c>
      <c r="L235" s="256">
        <f t="shared" si="27"/>
        <v>100</v>
      </c>
      <c r="M235" s="200"/>
      <c r="N235" s="201"/>
    </row>
    <row r="236" spans="1:14" s="121" customFormat="1" ht="14.25">
      <c r="A236" s="226" t="s">
        <v>507</v>
      </c>
      <c r="B236" s="23" t="s">
        <v>0</v>
      </c>
      <c r="C236" s="23" t="s">
        <v>35</v>
      </c>
      <c r="D236" s="23" t="s">
        <v>7</v>
      </c>
      <c r="E236" s="23"/>
      <c r="F236" s="23"/>
      <c r="G236" s="62"/>
      <c r="H236" s="62"/>
      <c r="I236" s="62"/>
      <c r="J236" s="256">
        <f t="shared" si="29"/>
        <v>1252.1</v>
      </c>
      <c r="K236" s="256">
        <f t="shared" si="29"/>
        <v>1252.1</v>
      </c>
      <c r="L236" s="256">
        <f t="shared" si="27"/>
        <v>100</v>
      </c>
      <c r="M236" s="200"/>
      <c r="N236" s="201"/>
    </row>
    <row r="237" spans="1:14" ht="36.75">
      <c r="A237" s="211" t="s">
        <v>474</v>
      </c>
      <c r="B237" s="18" t="s">
        <v>0</v>
      </c>
      <c r="C237" s="18" t="s">
        <v>35</v>
      </c>
      <c r="D237" s="18" t="s">
        <v>7</v>
      </c>
      <c r="E237" s="18" t="s">
        <v>475</v>
      </c>
      <c r="F237" s="18"/>
      <c r="G237" s="71"/>
      <c r="H237" s="71"/>
      <c r="I237" s="71"/>
      <c r="J237" s="257">
        <f t="shared" si="29"/>
        <v>1252.1</v>
      </c>
      <c r="K237" s="257">
        <f t="shared" si="29"/>
        <v>1252.1</v>
      </c>
      <c r="L237" s="257">
        <f t="shared" si="27"/>
        <v>100</v>
      </c>
      <c r="M237" s="49"/>
      <c r="N237" s="72"/>
    </row>
    <row r="238" spans="1:14" ht="15">
      <c r="A238" s="211" t="s">
        <v>477</v>
      </c>
      <c r="B238" s="18" t="s">
        <v>0</v>
      </c>
      <c r="C238" s="18" t="s">
        <v>35</v>
      </c>
      <c r="D238" s="18" t="s">
        <v>7</v>
      </c>
      <c r="E238" s="18" t="s">
        <v>475</v>
      </c>
      <c r="F238" s="18" t="s">
        <v>476</v>
      </c>
      <c r="G238" s="71"/>
      <c r="H238" s="71"/>
      <c r="I238" s="71"/>
      <c r="J238" s="257">
        <v>1252.1</v>
      </c>
      <c r="K238" s="257">
        <v>1252.1</v>
      </c>
      <c r="L238" s="257">
        <f t="shared" si="27"/>
        <v>100</v>
      </c>
      <c r="M238" s="49"/>
      <c r="N238" s="72"/>
    </row>
    <row r="239" spans="1:14" s="121" customFormat="1" ht="14.25">
      <c r="A239" s="226" t="s">
        <v>59</v>
      </c>
      <c r="B239" s="23" t="s">
        <v>0</v>
      </c>
      <c r="C239" s="23" t="s">
        <v>17</v>
      </c>
      <c r="D239" s="23"/>
      <c r="E239" s="23"/>
      <c r="F239" s="23"/>
      <c r="G239" s="62"/>
      <c r="H239" s="62"/>
      <c r="I239" s="62"/>
      <c r="J239" s="256">
        <f aca="true" t="shared" si="30" ref="J239:K241">J240</f>
        <v>210</v>
      </c>
      <c r="K239" s="256">
        <f t="shared" si="30"/>
        <v>210</v>
      </c>
      <c r="L239" s="256">
        <f t="shared" si="27"/>
        <v>100</v>
      </c>
      <c r="M239" s="200"/>
      <c r="N239" s="201"/>
    </row>
    <row r="240" spans="1:14" s="121" customFormat="1" ht="14.25">
      <c r="A240" s="226" t="s">
        <v>71</v>
      </c>
      <c r="B240" s="23" t="s">
        <v>0</v>
      </c>
      <c r="C240" s="23" t="s">
        <v>17</v>
      </c>
      <c r="D240" s="23" t="s">
        <v>7</v>
      </c>
      <c r="E240" s="23"/>
      <c r="F240" s="23"/>
      <c r="G240" s="62"/>
      <c r="H240" s="62"/>
      <c r="I240" s="62"/>
      <c r="J240" s="256">
        <f t="shared" si="30"/>
        <v>210</v>
      </c>
      <c r="K240" s="256">
        <f t="shared" si="30"/>
        <v>210</v>
      </c>
      <c r="L240" s="256">
        <f t="shared" si="27"/>
        <v>100</v>
      </c>
      <c r="M240" s="200"/>
      <c r="N240" s="201"/>
    </row>
    <row r="241" spans="1:14" ht="36.75">
      <c r="A241" s="211" t="s">
        <v>474</v>
      </c>
      <c r="B241" s="18" t="s">
        <v>0</v>
      </c>
      <c r="C241" s="18" t="s">
        <v>17</v>
      </c>
      <c r="D241" s="18" t="s">
        <v>7</v>
      </c>
      <c r="E241" s="18" t="s">
        <v>475</v>
      </c>
      <c r="F241" s="18"/>
      <c r="G241" s="71"/>
      <c r="H241" s="71"/>
      <c r="I241" s="71"/>
      <c r="J241" s="257">
        <f t="shared" si="30"/>
        <v>210</v>
      </c>
      <c r="K241" s="257">
        <f t="shared" si="30"/>
        <v>210</v>
      </c>
      <c r="L241" s="257">
        <f t="shared" si="27"/>
        <v>100</v>
      </c>
      <c r="M241" s="49"/>
      <c r="N241" s="72"/>
    </row>
    <row r="242" spans="1:14" ht="15">
      <c r="A242" s="211" t="s">
        <v>477</v>
      </c>
      <c r="B242" s="18" t="s">
        <v>0</v>
      </c>
      <c r="C242" s="18" t="s">
        <v>17</v>
      </c>
      <c r="D242" s="18" t="s">
        <v>7</v>
      </c>
      <c r="E242" s="18" t="s">
        <v>475</v>
      </c>
      <c r="F242" s="18" t="s">
        <v>476</v>
      </c>
      <c r="G242" s="71"/>
      <c r="H242" s="71"/>
      <c r="I242" s="71"/>
      <c r="J242" s="257">
        <v>210</v>
      </c>
      <c r="K242" s="257">
        <v>210</v>
      </c>
      <c r="L242" s="257">
        <f t="shared" si="27"/>
        <v>100</v>
      </c>
      <c r="M242" s="49"/>
      <c r="N242" s="72"/>
    </row>
    <row r="243" spans="1:14" ht="24.75">
      <c r="A243" s="226" t="s">
        <v>74</v>
      </c>
      <c r="B243" s="23" t="s">
        <v>0</v>
      </c>
      <c r="C243" s="23" t="s">
        <v>19</v>
      </c>
      <c r="D243" s="23"/>
      <c r="E243" s="18"/>
      <c r="F243" s="18"/>
      <c r="G243" s="30" t="e">
        <f>#REF!</f>
        <v>#REF!</v>
      </c>
      <c r="H243" s="24" t="e">
        <f>#REF!+H245</f>
        <v>#REF!</v>
      </c>
      <c r="I243" s="24" t="e">
        <f>#REF!+I245</f>
        <v>#REF!</v>
      </c>
      <c r="J243" s="256">
        <f>J245</f>
        <v>254.24926</v>
      </c>
      <c r="K243" s="256">
        <f>K245</f>
        <v>254.24926</v>
      </c>
      <c r="L243" s="256">
        <f t="shared" si="27"/>
        <v>100</v>
      </c>
      <c r="M243" s="49"/>
      <c r="N243" s="72"/>
    </row>
    <row r="244" spans="1:14" ht="27.75" customHeight="1">
      <c r="A244" s="226" t="s">
        <v>76</v>
      </c>
      <c r="B244" s="23" t="s">
        <v>0</v>
      </c>
      <c r="C244" s="23" t="s">
        <v>19</v>
      </c>
      <c r="D244" s="23" t="s">
        <v>7</v>
      </c>
      <c r="E244" s="18"/>
      <c r="F244" s="18"/>
      <c r="G244" s="30"/>
      <c r="H244" s="24"/>
      <c r="I244" s="24"/>
      <c r="J244" s="256">
        <f>J245</f>
        <v>254.24926</v>
      </c>
      <c r="K244" s="256">
        <f>K245</f>
        <v>254.24926</v>
      </c>
      <c r="L244" s="256">
        <f t="shared" si="27"/>
        <v>100</v>
      </c>
      <c r="M244" s="49"/>
      <c r="N244" s="72"/>
    </row>
    <row r="245" spans="1:14" ht="15" customHeight="1">
      <c r="A245" s="211" t="s">
        <v>207</v>
      </c>
      <c r="B245" s="18" t="s">
        <v>0</v>
      </c>
      <c r="C245" s="18" t="s">
        <v>19</v>
      </c>
      <c r="D245" s="18" t="s">
        <v>7</v>
      </c>
      <c r="E245" s="18" t="s">
        <v>246</v>
      </c>
      <c r="F245" s="18"/>
      <c r="G245" s="30" t="e">
        <f>#REF!</f>
        <v>#REF!</v>
      </c>
      <c r="H245" s="24" t="e">
        <f>#REF!+H246</f>
        <v>#REF!</v>
      </c>
      <c r="I245" s="24" t="e">
        <f>#REF!+I246</f>
        <v>#REF!</v>
      </c>
      <c r="J245" s="257">
        <f>J246</f>
        <v>254.24926</v>
      </c>
      <c r="K245" s="257">
        <f>K246</f>
        <v>254.24926</v>
      </c>
      <c r="L245" s="257">
        <f t="shared" si="27"/>
        <v>100</v>
      </c>
      <c r="M245" s="70" t="e">
        <f>#REF!+M246</f>
        <v>#REF!</v>
      </c>
      <c r="N245" s="31" t="e">
        <f>#REF!+N246</f>
        <v>#REF!</v>
      </c>
    </row>
    <row r="246" spans="1:14" ht="18.75" customHeight="1">
      <c r="A246" s="211" t="s">
        <v>208</v>
      </c>
      <c r="B246" s="18" t="s">
        <v>0</v>
      </c>
      <c r="C246" s="18" t="s">
        <v>19</v>
      </c>
      <c r="D246" s="18" t="s">
        <v>7</v>
      </c>
      <c r="E246" s="18" t="s">
        <v>247</v>
      </c>
      <c r="F246" s="18"/>
      <c r="G246" s="30"/>
      <c r="H246" s="24">
        <f aca="true" t="shared" si="31" ref="H246:N246">H247</f>
        <v>0</v>
      </c>
      <c r="I246" s="24">
        <f t="shared" si="31"/>
        <v>0</v>
      </c>
      <c r="J246" s="257">
        <f>J247+J248</f>
        <v>254.24926</v>
      </c>
      <c r="K246" s="257">
        <f>K247+K248</f>
        <v>254.24926</v>
      </c>
      <c r="L246" s="257">
        <f t="shared" si="27"/>
        <v>100</v>
      </c>
      <c r="M246" s="26">
        <f t="shared" si="31"/>
        <v>0</v>
      </c>
      <c r="N246" s="31" t="e">
        <f t="shared" si="31"/>
        <v>#DIV/0!</v>
      </c>
    </row>
    <row r="247" spans="1:14" ht="15.75" customHeight="1" hidden="1">
      <c r="A247" s="211" t="s">
        <v>209</v>
      </c>
      <c r="B247" s="18" t="s">
        <v>0</v>
      </c>
      <c r="C247" s="18" t="s">
        <v>19</v>
      </c>
      <c r="D247" s="18" t="s">
        <v>7</v>
      </c>
      <c r="E247" s="18" t="s">
        <v>247</v>
      </c>
      <c r="F247" s="18" t="s">
        <v>210</v>
      </c>
      <c r="G247" s="30"/>
      <c r="H247" s="24"/>
      <c r="I247" s="30"/>
      <c r="J247" s="257"/>
      <c r="K247" s="257"/>
      <c r="L247" s="257" t="e">
        <f t="shared" si="27"/>
        <v>#DIV/0!</v>
      </c>
      <c r="M247" s="26"/>
      <c r="N247" s="27" t="e">
        <f>L247+M247</f>
        <v>#DIV/0!</v>
      </c>
    </row>
    <row r="248" spans="1:15" ht="15.75" customHeight="1">
      <c r="A248" s="215" t="s">
        <v>248</v>
      </c>
      <c r="B248" s="18" t="s">
        <v>0</v>
      </c>
      <c r="C248" s="18" t="s">
        <v>19</v>
      </c>
      <c r="D248" s="18" t="s">
        <v>7</v>
      </c>
      <c r="E248" s="18" t="s">
        <v>247</v>
      </c>
      <c r="F248" s="18" t="s">
        <v>249</v>
      </c>
      <c r="G248" s="30"/>
      <c r="H248" s="24"/>
      <c r="I248" s="30"/>
      <c r="J248" s="257">
        <v>254.24926</v>
      </c>
      <c r="K248" s="257">
        <v>254.24926</v>
      </c>
      <c r="L248" s="257">
        <f t="shared" si="27"/>
        <v>100</v>
      </c>
      <c r="M248" s="26"/>
      <c r="N248" s="31"/>
      <c r="O248" s="16">
        <v>7.22</v>
      </c>
    </row>
    <row r="249" spans="1:14" ht="22.5" customHeight="1">
      <c r="A249" s="226" t="s">
        <v>250</v>
      </c>
      <c r="B249" s="23" t="s">
        <v>0</v>
      </c>
      <c r="C249" s="23" t="s">
        <v>21</v>
      </c>
      <c r="D249" s="23" t="s">
        <v>219</v>
      </c>
      <c r="E249" s="23"/>
      <c r="F249" s="23"/>
      <c r="G249" s="17"/>
      <c r="H249" s="20"/>
      <c r="I249" s="17"/>
      <c r="J249" s="256">
        <f>J250+J258</f>
        <v>37409.9067</v>
      </c>
      <c r="K249" s="256">
        <f>K250+K258</f>
        <v>37409.9067</v>
      </c>
      <c r="L249" s="256">
        <f t="shared" si="27"/>
        <v>100</v>
      </c>
      <c r="M249" s="26"/>
      <c r="N249" s="31"/>
    </row>
    <row r="250" spans="1:14" ht="25.5" customHeight="1">
      <c r="A250" s="226" t="s">
        <v>251</v>
      </c>
      <c r="B250" s="23" t="s">
        <v>0</v>
      </c>
      <c r="C250" s="23" t="s">
        <v>21</v>
      </c>
      <c r="D250" s="23" t="s">
        <v>7</v>
      </c>
      <c r="E250" s="23"/>
      <c r="F250" s="23"/>
      <c r="G250" s="17"/>
      <c r="H250" s="20"/>
      <c r="I250" s="17"/>
      <c r="J250" s="256">
        <f>J251</f>
        <v>30877.1</v>
      </c>
      <c r="K250" s="256">
        <f>K251</f>
        <v>30877.1</v>
      </c>
      <c r="L250" s="256">
        <f t="shared" si="27"/>
        <v>100</v>
      </c>
      <c r="M250" s="26"/>
      <c r="N250" s="31"/>
    </row>
    <row r="251" spans="1:14" ht="18" customHeight="1">
      <c r="A251" s="219" t="s">
        <v>252</v>
      </c>
      <c r="B251" s="18" t="s">
        <v>0</v>
      </c>
      <c r="C251" s="18" t="s">
        <v>21</v>
      </c>
      <c r="D251" s="18" t="s">
        <v>7</v>
      </c>
      <c r="E251" s="18" t="s">
        <v>253</v>
      </c>
      <c r="F251" s="18"/>
      <c r="G251" s="30"/>
      <c r="H251" s="24"/>
      <c r="I251" s="30"/>
      <c r="J251" s="257">
        <f>J252+J255</f>
        <v>30877.1</v>
      </c>
      <c r="K251" s="257">
        <f>K252+K255</f>
        <v>30877.1</v>
      </c>
      <c r="L251" s="257">
        <f t="shared" si="27"/>
        <v>100</v>
      </c>
      <c r="M251" s="26"/>
      <c r="N251" s="31"/>
    </row>
    <row r="252" spans="1:14" ht="28.5" customHeight="1">
      <c r="A252" s="219" t="s">
        <v>254</v>
      </c>
      <c r="B252" s="18" t="s">
        <v>0</v>
      </c>
      <c r="C252" s="18" t="s">
        <v>21</v>
      </c>
      <c r="D252" s="18" t="s">
        <v>7</v>
      </c>
      <c r="E252" s="18" t="s">
        <v>243</v>
      </c>
      <c r="F252" s="18"/>
      <c r="G252" s="30"/>
      <c r="H252" s="24"/>
      <c r="I252" s="30"/>
      <c r="J252" s="257">
        <f>J253+J254</f>
        <v>9883.1</v>
      </c>
      <c r="K252" s="257">
        <f>K253+K254</f>
        <v>9883.1</v>
      </c>
      <c r="L252" s="257">
        <f t="shared" si="27"/>
        <v>100</v>
      </c>
      <c r="M252" s="26"/>
      <c r="N252" s="31"/>
    </row>
    <row r="253" spans="1:14" ht="14.25" customHeight="1" hidden="1">
      <c r="A253" s="219" t="s">
        <v>255</v>
      </c>
      <c r="B253" s="18" t="s">
        <v>0</v>
      </c>
      <c r="C253" s="18" t="s">
        <v>21</v>
      </c>
      <c r="D253" s="18" t="s">
        <v>7</v>
      </c>
      <c r="E253" s="18" t="s">
        <v>243</v>
      </c>
      <c r="F253" s="18" t="s">
        <v>244</v>
      </c>
      <c r="G253" s="30"/>
      <c r="H253" s="24"/>
      <c r="I253" s="30"/>
      <c r="J253" s="257"/>
      <c r="K253" s="257"/>
      <c r="L253" s="257" t="e">
        <f t="shared" si="27"/>
        <v>#DIV/0!</v>
      </c>
      <c r="M253" s="26"/>
      <c r="N253" s="27"/>
    </row>
    <row r="254" spans="1:14" ht="27.75" customHeight="1">
      <c r="A254" s="215" t="s">
        <v>256</v>
      </c>
      <c r="B254" s="18" t="s">
        <v>0</v>
      </c>
      <c r="C254" s="18" t="s">
        <v>21</v>
      </c>
      <c r="D254" s="18" t="s">
        <v>7</v>
      </c>
      <c r="E254" s="18" t="s">
        <v>243</v>
      </c>
      <c r="F254" s="18" t="s">
        <v>257</v>
      </c>
      <c r="G254" s="30"/>
      <c r="H254" s="24"/>
      <c r="I254" s="30"/>
      <c r="J254" s="257">
        <v>9883.1</v>
      </c>
      <c r="K254" s="257">
        <v>9883.1</v>
      </c>
      <c r="L254" s="257">
        <f t="shared" si="27"/>
        <v>100</v>
      </c>
      <c r="M254" s="26"/>
      <c r="N254" s="27"/>
    </row>
    <row r="255" spans="1:14" ht="24" customHeight="1">
      <c r="A255" s="219" t="s">
        <v>258</v>
      </c>
      <c r="B255" s="18" t="s">
        <v>0</v>
      </c>
      <c r="C255" s="18" t="s">
        <v>21</v>
      </c>
      <c r="D255" s="18" t="s">
        <v>7</v>
      </c>
      <c r="E255" s="18" t="s">
        <v>245</v>
      </c>
      <c r="F255" s="18"/>
      <c r="G255" s="30"/>
      <c r="H255" s="24"/>
      <c r="I255" s="30"/>
      <c r="J255" s="257">
        <f>J256+J257</f>
        <v>20994</v>
      </c>
      <c r="K255" s="257">
        <f>K256+K257</f>
        <v>20994</v>
      </c>
      <c r="L255" s="257">
        <f t="shared" si="27"/>
        <v>100</v>
      </c>
      <c r="M255" s="26"/>
      <c r="N255" s="27"/>
    </row>
    <row r="256" spans="1:17" ht="16.5" customHeight="1" hidden="1">
      <c r="A256" s="219" t="s">
        <v>255</v>
      </c>
      <c r="B256" s="18" t="s">
        <v>0</v>
      </c>
      <c r="C256" s="18" t="s">
        <v>21</v>
      </c>
      <c r="D256" s="18" t="s">
        <v>7</v>
      </c>
      <c r="E256" s="18" t="s">
        <v>245</v>
      </c>
      <c r="F256" s="18" t="s">
        <v>244</v>
      </c>
      <c r="G256" s="30"/>
      <c r="H256" s="24"/>
      <c r="I256" s="30"/>
      <c r="J256" s="257"/>
      <c r="K256" s="257"/>
      <c r="L256" s="257" t="e">
        <f t="shared" si="27"/>
        <v>#DIV/0!</v>
      </c>
      <c r="M256" s="26"/>
      <c r="N256" s="27"/>
      <c r="O256" s="16">
        <v>17873.26</v>
      </c>
      <c r="Q256" s="74" t="e">
        <f>L256-O256</f>
        <v>#DIV/0!</v>
      </c>
    </row>
    <row r="257" spans="1:17" ht="30" customHeight="1">
      <c r="A257" s="215" t="s">
        <v>256</v>
      </c>
      <c r="B257" s="18" t="s">
        <v>0</v>
      </c>
      <c r="C257" s="18" t="s">
        <v>21</v>
      </c>
      <c r="D257" s="18" t="s">
        <v>7</v>
      </c>
      <c r="E257" s="18" t="s">
        <v>245</v>
      </c>
      <c r="F257" s="18" t="s">
        <v>257</v>
      </c>
      <c r="G257" s="30"/>
      <c r="H257" s="24"/>
      <c r="I257" s="30"/>
      <c r="J257" s="257">
        <v>20994</v>
      </c>
      <c r="K257" s="257">
        <v>20994</v>
      </c>
      <c r="L257" s="257">
        <f t="shared" si="27"/>
        <v>100</v>
      </c>
      <c r="M257" s="26"/>
      <c r="N257" s="27"/>
      <c r="Q257" s="74"/>
    </row>
    <row r="258" spans="1:14" ht="36.75" customHeight="1">
      <c r="A258" s="226" t="s">
        <v>80</v>
      </c>
      <c r="B258" s="23" t="s">
        <v>0</v>
      </c>
      <c r="C258" s="23" t="s">
        <v>21</v>
      </c>
      <c r="D258" s="23" t="s">
        <v>9</v>
      </c>
      <c r="E258" s="23"/>
      <c r="F258" s="23"/>
      <c r="G258" s="17"/>
      <c r="H258" s="20"/>
      <c r="I258" s="17"/>
      <c r="J258" s="256">
        <f>J259+J268</f>
        <v>6532.806699999999</v>
      </c>
      <c r="K258" s="256">
        <f>K259+K268</f>
        <v>6532.806699999999</v>
      </c>
      <c r="L258" s="256">
        <f t="shared" si="27"/>
        <v>100</v>
      </c>
      <c r="M258" s="26"/>
      <c r="N258" s="27"/>
    </row>
    <row r="259" spans="1:14" ht="39.75" customHeight="1">
      <c r="A259" s="211" t="s">
        <v>474</v>
      </c>
      <c r="B259" s="18" t="s">
        <v>0</v>
      </c>
      <c r="C259" s="18" t="s">
        <v>21</v>
      </c>
      <c r="D259" s="18" t="s">
        <v>9</v>
      </c>
      <c r="E259" s="18" t="s">
        <v>475</v>
      </c>
      <c r="F259" s="18"/>
      <c r="G259" s="30"/>
      <c r="H259" s="24"/>
      <c r="I259" s="30"/>
      <c r="J259" s="257">
        <f>J260</f>
        <v>6381.9</v>
      </c>
      <c r="K259" s="257">
        <f>K260</f>
        <v>6381.9</v>
      </c>
      <c r="L259" s="257">
        <f t="shared" si="27"/>
        <v>100</v>
      </c>
      <c r="M259" s="26"/>
      <c r="N259" s="27"/>
    </row>
    <row r="260" spans="1:14" ht="15">
      <c r="A260" s="211" t="s">
        <v>477</v>
      </c>
      <c r="B260" s="18" t="s">
        <v>0</v>
      </c>
      <c r="C260" s="18" t="s">
        <v>21</v>
      </c>
      <c r="D260" s="18" t="s">
        <v>9</v>
      </c>
      <c r="E260" s="18" t="s">
        <v>475</v>
      </c>
      <c r="F260" s="18" t="s">
        <v>476</v>
      </c>
      <c r="G260" s="30"/>
      <c r="H260" s="24"/>
      <c r="I260" s="30"/>
      <c r="J260" s="257">
        <v>6381.9</v>
      </c>
      <c r="K260" s="257">
        <v>6381.9</v>
      </c>
      <c r="L260" s="257">
        <f t="shared" si="27"/>
        <v>100</v>
      </c>
      <c r="M260" s="49"/>
      <c r="N260" s="73"/>
    </row>
    <row r="261" spans="1:14" ht="15.75" customHeight="1" hidden="1" thickBot="1">
      <c r="A261" s="232" t="s">
        <v>274</v>
      </c>
      <c r="B261" s="23" t="s">
        <v>275</v>
      </c>
      <c r="C261" s="23"/>
      <c r="D261" s="23"/>
      <c r="E261" s="23"/>
      <c r="F261" s="23"/>
      <c r="G261" s="19">
        <f aca="true" t="shared" si="32" ref="G261:N262">G262</f>
        <v>0</v>
      </c>
      <c r="H261" s="19">
        <f t="shared" si="32"/>
        <v>526.1</v>
      </c>
      <c r="I261" s="19">
        <f t="shared" si="32"/>
        <v>0</v>
      </c>
      <c r="J261" s="256">
        <f t="shared" si="32"/>
        <v>0</v>
      </c>
      <c r="K261" s="256">
        <f t="shared" si="32"/>
        <v>0</v>
      </c>
      <c r="L261" s="257" t="e">
        <f t="shared" si="27"/>
        <v>#DIV/0!</v>
      </c>
      <c r="M261" s="63">
        <f t="shared" si="32"/>
        <v>0</v>
      </c>
      <c r="N261" s="64" t="e">
        <f t="shared" si="32"/>
        <v>#DIV/0!</v>
      </c>
    </row>
    <row r="262" spans="1:14" ht="44.25" customHeight="1" hidden="1">
      <c r="A262" s="217" t="s">
        <v>25</v>
      </c>
      <c r="B262" s="23" t="s">
        <v>275</v>
      </c>
      <c r="C262" s="23" t="s">
        <v>9</v>
      </c>
      <c r="D262" s="18"/>
      <c r="E262" s="18"/>
      <c r="F262" s="18"/>
      <c r="G262" s="17">
        <f t="shared" si="32"/>
        <v>0</v>
      </c>
      <c r="H262" s="17">
        <f t="shared" si="32"/>
        <v>526.1</v>
      </c>
      <c r="I262" s="17">
        <f t="shared" si="32"/>
        <v>0</v>
      </c>
      <c r="J262" s="256">
        <f t="shared" si="32"/>
        <v>0</v>
      </c>
      <c r="K262" s="256">
        <f t="shared" si="32"/>
        <v>0</v>
      </c>
      <c r="L262" s="257" t="e">
        <f t="shared" si="27"/>
        <v>#DIV/0!</v>
      </c>
      <c r="M262" s="21">
        <f t="shared" si="32"/>
        <v>0</v>
      </c>
      <c r="N262" s="22" t="e">
        <f t="shared" si="32"/>
        <v>#DIV/0!</v>
      </c>
    </row>
    <row r="263" spans="1:14" s="121" customFormat="1" ht="15" customHeight="1" hidden="1">
      <c r="A263" s="217" t="s">
        <v>27</v>
      </c>
      <c r="B263" s="23" t="s">
        <v>275</v>
      </c>
      <c r="C263" s="23" t="s">
        <v>9</v>
      </c>
      <c r="D263" s="23" t="s">
        <v>8</v>
      </c>
      <c r="E263" s="23"/>
      <c r="F263" s="23"/>
      <c r="G263" s="17">
        <f aca="true" t="shared" si="33" ref="G263:M263">G264+G266</f>
        <v>0</v>
      </c>
      <c r="H263" s="17">
        <f t="shared" si="33"/>
        <v>526.1</v>
      </c>
      <c r="I263" s="17">
        <f t="shared" si="33"/>
        <v>0</v>
      </c>
      <c r="J263" s="256">
        <f t="shared" si="33"/>
        <v>0</v>
      </c>
      <c r="K263" s="256">
        <f t="shared" si="33"/>
        <v>0</v>
      </c>
      <c r="L263" s="257" t="e">
        <f t="shared" si="27"/>
        <v>#DIV/0!</v>
      </c>
      <c r="M263" s="38">
        <f t="shared" si="33"/>
        <v>0</v>
      </c>
      <c r="N263" s="53" t="e">
        <f>N264+N266</f>
        <v>#DIV/0!</v>
      </c>
    </row>
    <row r="264" spans="1:14" ht="60.75" customHeight="1" hidden="1">
      <c r="A264" s="214" t="s">
        <v>276</v>
      </c>
      <c r="B264" s="18" t="s">
        <v>275</v>
      </c>
      <c r="C264" s="18" t="s">
        <v>9</v>
      </c>
      <c r="D264" s="18" t="s">
        <v>8</v>
      </c>
      <c r="E264" s="18" t="s">
        <v>227</v>
      </c>
      <c r="F264" s="18"/>
      <c r="G264" s="30">
        <f aca="true" t="shared" si="34" ref="G264:N264">G265</f>
        <v>0</v>
      </c>
      <c r="H264" s="30">
        <f t="shared" si="34"/>
        <v>316.5</v>
      </c>
      <c r="I264" s="30">
        <f t="shared" si="34"/>
        <v>0</v>
      </c>
      <c r="J264" s="257">
        <f t="shared" si="34"/>
        <v>0</v>
      </c>
      <c r="K264" s="257">
        <f t="shared" si="34"/>
        <v>0</v>
      </c>
      <c r="L264" s="257" t="e">
        <f t="shared" si="27"/>
        <v>#DIV/0!</v>
      </c>
      <c r="M264" s="26">
        <f t="shared" si="34"/>
        <v>0</v>
      </c>
      <c r="N264" s="27" t="e">
        <f t="shared" si="34"/>
        <v>#DIV/0!</v>
      </c>
    </row>
    <row r="265" spans="1:14" ht="30.75" customHeight="1" hidden="1">
      <c r="A265" s="214" t="s">
        <v>102</v>
      </c>
      <c r="B265" s="18" t="s">
        <v>275</v>
      </c>
      <c r="C265" s="18" t="s">
        <v>9</v>
      </c>
      <c r="D265" s="18" t="s">
        <v>8</v>
      </c>
      <c r="E265" s="18" t="s">
        <v>227</v>
      </c>
      <c r="F265" s="18" t="s">
        <v>101</v>
      </c>
      <c r="G265" s="30"/>
      <c r="H265" s="24">
        <v>316.5</v>
      </c>
      <c r="I265" s="30"/>
      <c r="J265" s="257"/>
      <c r="K265" s="257"/>
      <c r="L265" s="257" t="e">
        <f t="shared" si="27"/>
        <v>#DIV/0!</v>
      </c>
      <c r="M265" s="26"/>
      <c r="N265" s="27" t="e">
        <f>L265+M265</f>
        <v>#DIV/0!</v>
      </c>
    </row>
    <row r="266" spans="1:14" ht="60.75" customHeight="1" hidden="1">
      <c r="A266" s="214" t="s">
        <v>277</v>
      </c>
      <c r="B266" s="18" t="s">
        <v>275</v>
      </c>
      <c r="C266" s="18" t="s">
        <v>9</v>
      </c>
      <c r="D266" s="18" t="s">
        <v>8</v>
      </c>
      <c r="E266" s="18" t="s">
        <v>229</v>
      </c>
      <c r="F266" s="18"/>
      <c r="G266" s="30">
        <f aca="true" t="shared" si="35" ref="G266:N266">G267</f>
        <v>0</v>
      </c>
      <c r="H266" s="30">
        <f t="shared" si="35"/>
        <v>209.6</v>
      </c>
      <c r="I266" s="30">
        <f t="shared" si="35"/>
        <v>0</v>
      </c>
      <c r="J266" s="257">
        <f t="shared" si="35"/>
        <v>0</v>
      </c>
      <c r="K266" s="257">
        <f t="shared" si="35"/>
        <v>0</v>
      </c>
      <c r="L266" s="257" t="e">
        <f t="shared" si="27"/>
        <v>#DIV/0!</v>
      </c>
      <c r="M266" s="26">
        <f t="shared" si="35"/>
        <v>0</v>
      </c>
      <c r="N266" s="27" t="e">
        <f t="shared" si="35"/>
        <v>#DIV/0!</v>
      </c>
    </row>
    <row r="267" spans="1:14" ht="30.75" customHeight="1" hidden="1" thickBot="1">
      <c r="A267" s="214" t="s">
        <v>102</v>
      </c>
      <c r="B267" s="18" t="s">
        <v>275</v>
      </c>
      <c r="C267" s="18" t="s">
        <v>9</v>
      </c>
      <c r="D267" s="18" t="s">
        <v>8</v>
      </c>
      <c r="E267" s="18" t="s">
        <v>229</v>
      </c>
      <c r="F267" s="18" t="s">
        <v>101</v>
      </c>
      <c r="G267" s="30"/>
      <c r="H267" s="24">
        <v>209.6</v>
      </c>
      <c r="I267" s="30"/>
      <c r="J267" s="257"/>
      <c r="K267" s="257"/>
      <c r="L267" s="257" t="e">
        <f t="shared" si="27"/>
        <v>#DIV/0!</v>
      </c>
      <c r="M267" s="32"/>
      <c r="N267" s="33" t="e">
        <f>L267+M267</f>
        <v>#DIV/0!</v>
      </c>
    </row>
    <row r="268" spans="1:14" ht="13.5" customHeight="1">
      <c r="A268" s="214" t="s">
        <v>521</v>
      </c>
      <c r="B268" s="18" t="s">
        <v>0</v>
      </c>
      <c r="C268" s="18" t="s">
        <v>21</v>
      </c>
      <c r="D268" s="18" t="s">
        <v>9</v>
      </c>
      <c r="E268" s="18" t="s">
        <v>513</v>
      </c>
      <c r="F268" s="18"/>
      <c r="G268" s="30"/>
      <c r="H268" s="24"/>
      <c r="I268" s="30"/>
      <c r="J268" s="257">
        <f>J269</f>
        <v>150.9067</v>
      </c>
      <c r="K268" s="257">
        <f>K269</f>
        <v>150.9067</v>
      </c>
      <c r="L268" s="257">
        <f t="shared" si="27"/>
        <v>100</v>
      </c>
      <c r="M268" s="144"/>
      <c r="N268" s="144"/>
    </row>
    <row r="269" spans="1:14" ht="15.75" thickBot="1">
      <c r="A269" s="211" t="s">
        <v>477</v>
      </c>
      <c r="B269" s="18" t="s">
        <v>0</v>
      </c>
      <c r="C269" s="18" t="s">
        <v>21</v>
      </c>
      <c r="D269" s="18" t="s">
        <v>9</v>
      </c>
      <c r="E269" s="18" t="s">
        <v>513</v>
      </c>
      <c r="F269" s="18" t="s">
        <v>476</v>
      </c>
      <c r="G269" s="30"/>
      <c r="H269" s="24"/>
      <c r="I269" s="30"/>
      <c r="J269" s="257">
        <v>150.9067</v>
      </c>
      <c r="K269" s="257">
        <v>150.9067</v>
      </c>
      <c r="L269" s="257">
        <f t="shared" si="27"/>
        <v>100</v>
      </c>
      <c r="M269" s="144"/>
      <c r="N269" s="144"/>
    </row>
    <row r="270" spans="1:17" ht="15.75" thickBot="1">
      <c r="A270" s="220" t="s">
        <v>278</v>
      </c>
      <c r="B270" s="187" t="s">
        <v>279</v>
      </c>
      <c r="C270" s="187"/>
      <c r="D270" s="187"/>
      <c r="E270" s="187"/>
      <c r="F270" s="187"/>
      <c r="G270" s="188" t="e">
        <f>G271+G358+G382+G428+G469+#REF!+#REF!+G341</f>
        <v>#REF!</v>
      </c>
      <c r="H270" s="188" t="e">
        <f>H271+H358+H382+H428+H469+#REF!+#REF!+H341</f>
        <v>#REF!</v>
      </c>
      <c r="I270" s="189" t="e">
        <f>I271+I358+I382+I428+I469+#REF!+#REF!+I341</f>
        <v>#REF!</v>
      </c>
      <c r="J270" s="271">
        <f>J271+J341+J358+J382+J428+J469+J485+J522+J479</f>
        <v>159398.64446000004</v>
      </c>
      <c r="K270" s="271">
        <f>K271+K341+K358+K382+K428+K469+K485+K522+K479</f>
        <v>158870.68875</v>
      </c>
      <c r="L270" s="255">
        <f t="shared" si="27"/>
        <v>99.66878281067657</v>
      </c>
      <c r="M270" s="141" t="e">
        <f>M271+M358+M382+M428+M469+#REF!+#REF!+M341+M522+M485</f>
        <v>#REF!</v>
      </c>
      <c r="N270" s="141" t="e">
        <f>N271+N358+N382+N428+N469+#REF!+#REF!+N341+N522+N485</f>
        <v>#REF!</v>
      </c>
      <c r="O270" s="136" t="e">
        <f>L275+L276+L280+L281+L282+L283+L285+L286+L298+L299+L300+L301+L302+L303+L304+L314+L317+L338+L340+L346+L354+L356+L363+L367+L369+L375+L388+L392+L404+L407+L416+L425+L433+L439+L443+L447+L468+L473+L478+L483+L488+L491+L502+L513+L519+L527</f>
        <v>#DIV/0!</v>
      </c>
      <c r="Q270" s="136"/>
    </row>
    <row r="271" spans="1:15" s="143" customFormat="1" ht="14.25">
      <c r="A271" s="217" t="s">
        <v>5</v>
      </c>
      <c r="B271" s="23" t="s">
        <v>279</v>
      </c>
      <c r="C271" s="23" t="s">
        <v>7</v>
      </c>
      <c r="D271" s="23"/>
      <c r="E271" s="23"/>
      <c r="F271" s="23"/>
      <c r="G271" s="19" t="e">
        <f>G272+G277+G287+#REF!+G318+#REF!</f>
        <v>#REF!</v>
      </c>
      <c r="H271" s="19" t="e">
        <f>H272+H277+H287+H318+#REF!+H310</f>
        <v>#REF!</v>
      </c>
      <c r="I271" s="19" t="e">
        <f>I272+I277+I287+I318+#REF!+I310</f>
        <v>#REF!</v>
      </c>
      <c r="J271" s="256">
        <f>J272+J277+J287+J308+J318+J323+J312</f>
        <v>20723.937789999996</v>
      </c>
      <c r="K271" s="256">
        <f>K272+K277+K287+K308+K318+K323+K312</f>
        <v>20692.399709999998</v>
      </c>
      <c r="L271" s="256">
        <f t="shared" si="27"/>
        <v>99.84781811101934</v>
      </c>
      <c r="M271" s="21" t="e">
        <f>M272+M277+M287+M318+#REF!+M310</f>
        <v>#REF!</v>
      </c>
      <c r="N271" s="22" t="e">
        <f>N272+N277+N287+N318+#REF!+N310</f>
        <v>#REF!</v>
      </c>
      <c r="O271" s="142"/>
    </row>
    <row r="272" spans="1:14" s="121" customFormat="1" ht="36">
      <c r="A272" s="217" t="s">
        <v>280</v>
      </c>
      <c r="B272" s="23" t="s">
        <v>279</v>
      </c>
      <c r="C272" s="23" t="s">
        <v>7</v>
      </c>
      <c r="D272" s="23" t="s">
        <v>8</v>
      </c>
      <c r="E272" s="23"/>
      <c r="F272" s="23"/>
      <c r="G272" s="17" t="e">
        <f aca="true" t="shared" si="36" ref="G272:N273">G273</f>
        <v>#REF!</v>
      </c>
      <c r="H272" s="17" t="e">
        <f t="shared" si="36"/>
        <v>#REF!</v>
      </c>
      <c r="I272" s="17" t="e">
        <f t="shared" si="36"/>
        <v>#REF!</v>
      </c>
      <c r="J272" s="272">
        <f t="shared" si="36"/>
        <v>1170.438</v>
      </c>
      <c r="K272" s="256">
        <f>K273</f>
        <v>1170.438</v>
      </c>
      <c r="L272" s="257">
        <f t="shared" si="27"/>
        <v>100</v>
      </c>
      <c r="M272" s="38" t="e">
        <f t="shared" si="36"/>
        <v>#REF!</v>
      </c>
      <c r="N272" s="53" t="e">
        <f t="shared" si="36"/>
        <v>#REF!</v>
      </c>
    </row>
    <row r="273" spans="1:14" ht="24.75">
      <c r="A273" s="214" t="s">
        <v>267</v>
      </c>
      <c r="B273" s="18" t="s">
        <v>279</v>
      </c>
      <c r="C273" s="18" t="s">
        <v>7</v>
      </c>
      <c r="D273" s="18" t="s">
        <v>8</v>
      </c>
      <c r="E273" s="18" t="s">
        <v>124</v>
      </c>
      <c r="F273" s="18"/>
      <c r="G273" s="30" t="e">
        <f t="shared" si="36"/>
        <v>#REF!</v>
      </c>
      <c r="H273" s="30" t="e">
        <f t="shared" si="36"/>
        <v>#REF!</v>
      </c>
      <c r="I273" s="30" t="e">
        <f t="shared" si="36"/>
        <v>#REF!</v>
      </c>
      <c r="J273" s="273">
        <f t="shared" si="36"/>
        <v>1170.438</v>
      </c>
      <c r="K273" s="257">
        <f>K274</f>
        <v>1170.438</v>
      </c>
      <c r="L273" s="257">
        <f t="shared" si="27"/>
        <v>100</v>
      </c>
      <c r="M273" s="26" t="e">
        <f t="shared" si="36"/>
        <v>#REF!</v>
      </c>
      <c r="N273" s="27" t="e">
        <f t="shared" si="36"/>
        <v>#REF!</v>
      </c>
    </row>
    <row r="274" spans="1:14" ht="15">
      <c r="A274" s="214" t="s">
        <v>281</v>
      </c>
      <c r="B274" s="18" t="s">
        <v>279</v>
      </c>
      <c r="C274" s="18" t="s">
        <v>7</v>
      </c>
      <c r="D274" s="18" t="s">
        <v>8</v>
      </c>
      <c r="E274" s="18" t="s">
        <v>282</v>
      </c>
      <c r="F274" s="18"/>
      <c r="G274" s="30" t="e">
        <f>#REF!</f>
        <v>#REF!</v>
      </c>
      <c r="H274" s="30" t="e">
        <f>#REF!</f>
        <v>#REF!</v>
      </c>
      <c r="I274" s="30" t="e">
        <f>#REF!</f>
        <v>#REF!</v>
      </c>
      <c r="J274" s="257">
        <f>J275+J276</f>
        <v>1170.438</v>
      </c>
      <c r="K274" s="257">
        <f>K275+K276</f>
        <v>1170.438</v>
      </c>
      <c r="L274" s="257">
        <f t="shared" si="27"/>
        <v>100</v>
      </c>
      <c r="M274" s="26" t="e">
        <f>#REF!</f>
        <v>#REF!</v>
      </c>
      <c r="N274" s="27" t="e">
        <f>#REF!</f>
        <v>#REF!</v>
      </c>
    </row>
    <row r="275" spans="1:15" ht="18.75" customHeight="1">
      <c r="A275" s="215" t="s">
        <v>162</v>
      </c>
      <c r="B275" s="18" t="s">
        <v>279</v>
      </c>
      <c r="C275" s="18" t="s">
        <v>7</v>
      </c>
      <c r="D275" s="18" t="s">
        <v>8</v>
      </c>
      <c r="E275" s="18" t="s">
        <v>282</v>
      </c>
      <c r="F275" s="18" t="s">
        <v>163</v>
      </c>
      <c r="G275" s="30"/>
      <c r="H275" s="24"/>
      <c r="I275" s="30"/>
      <c r="J275" s="273">
        <v>1170.438</v>
      </c>
      <c r="K275" s="257">
        <v>1170.438</v>
      </c>
      <c r="L275" s="257">
        <f t="shared" si="27"/>
        <v>100</v>
      </c>
      <c r="M275" s="26"/>
      <c r="N275" s="27"/>
      <c r="O275" s="74"/>
    </row>
    <row r="276" spans="1:15" ht="24.75" hidden="1">
      <c r="A276" s="214" t="s">
        <v>102</v>
      </c>
      <c r="B276" s="18" t="s">
        <v>279</v>
      </c>
      <c r="C276" s="18" t="s">
        <v>7</v>
      </c>
      <c r="D276" s="18" t="s">
        <v>8</v>
      </c>
      <c r="E276" s="18" t="s">
        <v>282</v>
      </c>
      <c r="F276" s="18" t="s">
        <v>101</v>
      </c>
      <c r="G276" s="30"/>
      <c r="H276" s="24">
        <v>861</v>
      </c>
      <c r="I276" s="30"/>
      <c r="J276" s="273"/>
      <c r="K276" s="257"/>
      <c r="L276" s="257" t="e">
        <f t="shared" si="27"/>
        <v>#DIV/0!</v>
      </c>
      <c r="M276" s="26"/>
      <c r="N276" s="27" t="e">
        <f>L276+M276</f>
        <v>#DIV/0!</v>
      </c>
      <c r="O276" s="74"/>
    </row>
    <row r="277" spans="1:14" s="121" customFormat="1" ht="35.25" customHeight="1">
      <c r="A277" s="217" t="s">
        <v>283</v>
      </c>
      <c r="B277" s="23" t="s">
        <v>279</v>
      </c>
      <c r="C277" s="23" t="s">
        <v>7</v>
      </c>
      <c r="D277" s="23" t="s">
        <v>9</v>
      </c>
      <c r="E277" s="23"/>
      <c r="F277" s="23"/>
      <c r="G277" s="17" t="e">
        <f aca="true" t="shared" si="37" ref="G277:N277">G278</f>
        <v>#REF!</v>
      </c>
      <c r="H277" s="17" t="e">
        <f t="shared" si="37"/>
        <v>#REF!</v>
      </c>
      <c r="I277" s="17" t="e">
        <f t="shared" si="37"/>
        <v>#REF!</v>
      </c>
      <c r="J277" s="272">
        <f>J278</f>
        <v>1546.2469999999998</v>
      </c>
      <c r="K277" s="256">
        <f t="shared" si="37"/>
        <v>1536.4389999999999</v>
      </c>
      <c r="L277" s="256">
        <f t="shared" si="27"/>
        <v>99.36568995768465</v>
      </c>
      <c r="M277" s="38" t="e">
        <f t="shared" si="37"/>
        <v>#REF!</v>
      </c>
      <c r="N277" s="53" t="e">
        <f t="shared" si="37"/>
        <v>#REF!</v>
      </c>
    </row>
    <row r="278" spans="1:14" ht="24.75">
      <c r="A278" s="214" t="s">
        <v>267</v>
      </c>
      <c r="B278" s="18" t="s">
        <v>279</v>
      </c>
      <c r="C278" s="18" t="s">
        <v>7</v>
      </c>
      <c r="D278" s="18" t="s">
        <v>9</v>
      </c>
      <c r="E278" s="18" t="s">
        <v>124</v>
      </c>
      <c r="F278" s="18"/>
      <c r="G278" s="30" t="e">
        <f aca="true" t="shared" si="38" ref="G278:N278">G279+G284</f>
        <v>#REF!</v>
      </c>
      <c r="H278" s="24" t="e">
        <f t="shared" si="38"/>
        <v>#REF!</v>
      </c>
      <c r="I278" s="30" t="e">
        <f t="shared" si="38"/>
        <v>#REF!</v>
      </c>
      <c r="J278" s="273">
        <f t="shared" si="38"/>
        <v>1546.2469999999998</v>
      </c>
      <c r="K278" s="257">
        <f t="shared" si="38"/>
        <v>1536.4389999999999</v>
      </c>
      <c r="L278" s="257">
        <f t="shared" si="27"/>
        <v>99.36568995768465</v>
      </c>
      <c r="M278" s="26" t="e">
        <f t="shared" si="38"/>
        <v>#REF!</v>
      </c>
      <c r="N278" s="27" t="e">
        <f t="shared" si="38"/>
        <v>#REF!</v>
      </c>
    </row>
    <row r="279" spans="1:14" ht="15">
      <c r="A279" s="214" t="s">
        <v>125</v>
      </c>
      <c r="B279" s="18" t="s">
        <v>279</v>
      </c>
      <c r="C279" s="18" t="s">
        <v>7</v>
      </c>
      <c r="D279" s="18" t="s">
        <v>9</v>
      </c>
      <c r="E279" s="18" t="s">
        <v>126</v>
      </c>
      <c r="F279" s="18"/>
      <c r="G279" s="30" t="e">
        <f>#REF!</f>
        <v>#REF!</v>
      </c>
      <c r="H279" s="30" t="e">
        <f>#REF!</f>
        <v>#REF!</v>
      </c>
      <c r="I279" s="30" t="e">
        <f>#REF!</f>
        <v>#REF!</v>
      </c>
      <c r="J279" s="257">
        <f>J280+J281+J282+J283</f>
        <v>698.515</v>
      </c>
      <c r="K279" s="257">
        <f>K280+K281+K282+K283</f>
        <v>688.707</v>
      </c>
      <c r="L279" s="257">
        <f t="shared" si="27"/>
        <v>98.59587839917539</v>
      </c>
      <c r="M279" s="26" t="e">
        <f>#REF!</f>
        <v>#REF!</v>
      </c>
      <c r="N279" s="27" t="e">
        <f>#REF!</f>
        <v>#REF!</v>
      </c>
    </row>
    <row r="280" spans="1:15" ht="20.25" customHeight="1">
      <c r="A280" s="215" t="s">
        <v>162</v>
      </c>
      <c r="B280" s="18" t="s">
        <v>279</v>
      </c>
      <c r="C280" s="18" t="s">
        <v>7</v>
      </c>
      <c r="D280" s="18" t="s">
        <v>9</v>
      </c>
      <c r="E280" s="18" t="s">
        <v>126</v>
      </c>
      <c r="F280" s="18" t="s">
        <v>163</v>
      </c>
      <c r="G280" s="30"/>
      <c r="H280" s="24"/>
      <c r="I280" s="30"/>
      <c r="J280" s="273">
        <v>451.515</v>
      </c>
      <c r="K280" s="257">
        <v>451.515</v>
      </c>
      <c r="L280" s="257">
        <f t="shared" si="27"/>
        <v>100</v>
      </c>
      <c r="M280" s="26"/>
      <c r="N280" s="27"/>
      <c r="O280" s="74"/>
    </row>
    <row r="281" spans="1:15" ht="31.5" customHeight="1">
      <c r="A281" s="215" t="s">
        <v>165</v>
      </c>
      <c r="B281" s="18" t="s">
        <v>279</v>
      </c>
      <c r="C281" s="18" t="s">
        <v>7</v>
      </c>
      <c r="D281" s="18" t="s">
        <v>9</v>
      </c>
      <c r="E281" s="18" t="s">
        <v>126</v>
      </c>
      <c r="F281" s="18" t="s">
        <v>166</v>
      </c>
      <c r="G281" s="30"/>
      <c r="H281" s="24"/>
      <c r="I281" s="30"/>
      <c r="J281" s="273">
        <v>122</v>
      </c>
      <c r="K281" s="257">
        <v>122</v>
      </c>
      <c r="L281" s="257">
        <f t="shared" si="27"/>
        <v>100</v>
      </c>
      <c r="M281" s="26"/>
      <c r="N281" s="27"/>
      <c r="O281" s="74"/>
    </row>
    <row r="282" spans="1:15" ht="31.5" customHeight="1">
      <c r="A282" s="215" t="s">
        <v>156</v>
      </c>
      <c r="B282" s="18" t="s">
        <v>279</v>
      </c>
      <c r="C282" s="18" t="s">
        <v>7</v>
      </c>
      <c r="D282" s="18" t="s">
        <v>9</v>
      </c>
      <c r="E282" s="18" t="s">
        <v>126</v>
      </c>
      <c r="F282" s="18" t="s">
        <v>158</v>
      </c>
      <c r="G282" s="30"/>
      <c r="H282" s="24"/>
      <c r="I282" s="30"/>
      <c r="J282" s="273">
        <v>125</v>
      </c>
      <c r="K282" s="257">
        <v>115.192</v>
      </c>
      <c r="L282" s="257">
        <f t="shared" si="27"/>
        <v>92.1536</v>
      </c>
      <c r="M282" s="26"/>
      <c r="N282" s="27"/>
      <c r="O282" s="74"/>
    </row>
    <row r="283" spans="1:15" ht="24.75" hidden="1">
      <c r="A283" s="214" t="s">
        <v>102</v>
      </c>
      <c r="B283" s="18" t="s">
        <v>279</v>
      </c>
      <c r="C283" s="18" t="s">
        <v>7</v>
      </c>
      <c r="D283" s="18" t="s">
        <v>9</v>
      </c>
      <c r="E283" s="18" t="s">
        <v>126</v>
      </c>
      <c r="F283" s="18" t="s">
        <v>101</v>
      </c>
      <c r="G283" s="30">
        <v>30</v>
      </c>
      <c r="H283" s="24">
        <v>615</v>
      </c>
      <c r="I283" s="30"/>
      <c r="J283" s="273"/>
      <c r="K283" s="257"/>
      <c r="L283" s="257" t="e">
        <f aca="true" t="shared" si="39" ref="L283:L346">K283/J283*100</f>
        <v>#DIV/0!</v>
      </c>
      <c r="M283" s="26"/>
      <c r="N283" s="27" t="e">
        <f>L283+M283</f>
        <v>#DIV/0!</v>
      </c>
      <c r="O283" s="74"/>
    </row>
    <row r="284" spans="1:14" ht="24.75">
      <c r="A284" s="214" t="s">
        <v>284</v>
      </c>
      <c r="B284" s="18" t="s">
        <v>279</v>
      </c>
      <c r="C284" s="18" t="s">
        <v>7</v>
      </c>
      <c r="D284" s="18" t="s">
        <v>9</v>
      </c>
      <c r="E284" s="18" t="s">
        <v>285</v>
      </c>
      <c r="F284" s="18"/>
      <c r="G284" s="30" t="e">
        <f>#REF!</f>
        <v>#REF!</v>
      </c>
      <c r="H284" s="24" t="e">
        <f>#REF!</f>
        <v>#REF!</v>
      </c>
      <c r="I284" s="30" t="e">
        <f>#REF!</f>
        <v>#REF!</v>
      </c>
      <c r="J284" s="257">
        <f>J285+J286</f>
        <v>847.732</v>
      </c>
      <c r="K284" s="257">
        <f>K285+K286</f>
        <v>847.732</v>
      </c>
      <c r="L284" s="257">
        <f t="shared" si="39"/>
        <v>100</v>
      </c>
      <c r="M284" s="26" t="e">
        <f>#REF!</f>
        <v>#REF!</v>
      </c>
      <c r="N284" s="27" t="e">
        <f>#REF!</f>
        <v>#REF!</v>
      </c>
    </row>
    <row r="285" spans="1:15" ht="24">
      <c r="A285" s="215" t="s">
        <v>162</v>
      </c>
      <c r="B285" s="18" t="s">
        <v>279</v>
      </c>
      <c r="C285" s="18" t="s">
        <v>7</v>
      </c>
      <c r="D285" s="18" t="s">
        <v>9</v>
      </c>
      <c r="E285" s="18" t="s">
        <v>285</v>
      </c>
      <c r="F285" s="18" t="s">
        <v>163</v>
      </c>
      <c r="G285" s="30"/>
      <c r="H285" s="24"/>
      <c r="I285" s="30"/>
      <c r="J285" s="273">
        <v>847.732</v>
      </c>
      <c r="K285" s="257">
        <v>847.732</v>
      </c>
      <c r="L285" s="257">
        <f t="shared" si="39"/>
        <v>100</v>
      </c>
      <c r="M285" s="26"/>
      <c r="N285" s="27"/>
      <c r="O285" s="74"/>
    </row>
    <row r="286" spans="1:15" ht="24.75" hidden="1">
      <c r="A286" s="214" t="s">
        <v>102</v>
      </c>
      <c r="B286" s="18" t="s">
        <v>279</v>
      </c>
      <c r="C286" s="18" t="s">
        <v>7</v>
      </c>
      <c r="D286" s="18" t="s">
        <v>9</v>
      </c>
      <c r="E286" s="18" t="s">
        <v>285</v>
      </c>
      <c r="F286" s="18" t="s">
        <v>101</v>
      </c>
      <c r="G286" s="30"/>
      <c r="H286" s="24">
        <v>738</v>
      </c>
      <c r="I286" s="30"/>
      <c r="J286" s="273"/>
      <c r="K286" s="257"/>
      <c r="L286" s="257" t="e">
        <f t="shared" si="39"/>
        <v>#DIV/0!</v>
      </c>
      <c r="M286" s="26"/>
      <c r="N286" s="27" t="e">
        <f>L286+M286</f>
        <v>#DIV/0!</v>
      </c>
      <c r="O286" s="74"/>
    </row>
    <row r="287" spans="1:14" s="121" customFormat="1" ht="48">
      <c r="A287" s="217" t="s">
        <v>201</v>
      </c>
      <c r="B287" s="23" t="s">
        <v>279</v>
      </c>
      <c r="C287" s="23" t="s">
        <v>7</v>
      </c>
      <c r="D287" s="23" t="s">
        <v>10</v>
      </c>
      <c r="E287" s="23"/>
      <c r="F287" s="23"/>
      <c r="G287" s="17" t="e">
        <f>G296+G289+G291</f>
        <v>#REF!</v>
      </c>
      <c r="H287" s="19" t="e">
        <f>H296+H289+H291+#REF!+#REF!</f>
        <v>#REF!</v>
      </c>
      <c r="I287" s="19" t="e">
        <f>I296+I289+I291+#REF!+#REF!</f>
        <v>#REF!</v>
      </c>
      <c r="J287" s="272">
        <f>J288+J296+J305</f>
        <v>15793.848789999998</v>
      </c>
      <c r="K287" s="272">
        <f>K288+K296+K305</f>
        <v>15778.44275</v>
      </c>
      <c r="L287" s="256">
        <f t="shared" si="39"/>
        <v>99.90245544195818</v>
      </c>
      <c r="M287" s="38" t="e">
        <f>M296+M289+M291+#REF!+#REF!</f>
        <v>#REF!</v>
      </c>
      <c r="N287" s="53" t="e">
        <f>N296+N289+N291+#REF!+#REF!</f>
        <v>#REF!</v>
      </c>
    </row>
    <row r="288" spans="1:14" ht="24">
      <c r="A288" s="288" t="s">
        <v>267</v>
      </c>
      <c r="B288" s="18" t="s">
        <v>279</v>
      </c>
      <c r="C288" s="18" t="s">
        <v>7</v>
      </c>
      <c r="D288" s="18" t="s">
        <v>10</v>
      </c>
      <c r="E288" s="18" t="s">
        <v>444</v>
      </c>
      <c r="F288" s="18"/>
      <c r="G288" s="30"/>
      <c r="H288" s="25"/>
      <c r="I288" s="25"/>
      <c r="J288" s="273">
        <f>J289+J291</f>
        <v>663.8</v>
      </c>
      <c r="K288" s="273">
        <f>K289+K291</f>
        <v>657.8895</v>
      </c>
      <c r="L288" s="257">
        <f t="shared" si="39"/>
        <v>99.10959626393493</v>
      </c>
      <c r="M288" s="26"/>
      <c r="N288" s="27"/>
    </row>
    <row r="289" spans="1:14" s="121" customFormat="1" ht="45.75" customHeight="1" hidden="1">
      <c r="A289" s="233" t="s">
        <v>286</v>
      </c>
      <c r="B289" s="18" t="s">
        <v>279</v>
      </c>
      <c r="C289" s="18" t="s">
        <v>7</v>
      </c>
      <c r="D289" s="18" t="s">
        <v>10</v>
      </c>
      <c r="E289" s="18" t="s">
        <v>287</v>
      </c>
      <c r="F289" s="18"/>
      <c r="G289" s="30">
        <f aca="true" t="shared" si="40" ref="G289:N289">G290</f>
        <v>47.3</v>
      </c>
      <c r="H289" s="30">
        <f t="shared" si="40"/>
        <v>0</v>
      </c>
      <c r="I289" s="30">
        <f t="shared" si="40"/>
        <v>0</v>
      </c>
      <c r="J289" s="273">
        <f t="shared" si="40"/>
        <v>0</v>
      </c>
      <c r="K289" s="257">
        <f t="shared" si="40"/>
        <v>0</v>
      </c>
      <c r="L289" s="257" t="e">
        <f t="shared" si="39"/>
        <v>#DIV/0!</v>
      </c>
      <c r="M289" s="26">
        <f t="shared" si="40"/>
        <v>0</v>
      </c>
      <c r="N289" s="27" t="e">
        <f t="shared" si="40"/>
        <v>#DIV/0!</v>
      </c>
    </row>
    <row r="290" spans="1:14" s="121" customFormat="1" ht="31.5" customHeight="1" hidden="1">
      <c r="A290" s="214" t="s">
        <v>206</v>
      </c>
      <c r="B290" s="18" t="s">
        <v>279</v>
      </c>
      <c r="C290" s="18" t="s">
        <v>7</v>
      </c>
      <c r="D290" s="18" t="s">
        <v>10</v>
      </c>
      <c r="E290" s="18" t="s">
        <v>287</v>
      </c>
      <c r="F290" s="18" t="s">
        <v>161</v>
      </c>
      <c r="G290" s="30">
        <v>47.3</v>
      </c>
      <c r="H290" s="24"/>
      <c r="I290" s="30"/>
      <c r="J290" s="273"/>
      <c r="K290" s="257"/>
      <c r="L290" s="257" t="e">
        <f t="shared" si="39"/>
        <v>#DIV/0!</v>
      </c>
      <c r="M290" s="26">
        <f>49.6-49.6</f>
        <v>0</v>
      </c>
      <c r="N290" s="27" t="e">
        <f>L290+M290</f>
        <v>#DIV/0!</v>
      </c>
    </row>
    <row r="291" spans="1:14" s="121" customFormat="1" ht="36">
      <c r="A291" s="233" t="s">
        <v>121</v>
      </c>
      <c r="B291" s="18" t="s">
        <v>279</v>
      </c>
      <c r="C291" s="18" t="s">
        <v>7</v>
      </c>
      <c r="D291" s="18" t="s">
        <v>10</v>
      </c>
      <c r="E291" s="18" t="s">
        <v>122</v>
      </c>
      <c r="F291" s="18"/>
      <c r="G291" s="19" t="e">
        <f>#REF!</f>
        <v>#REF!</v>
      </c>
      <c r="H291" s="25" t="e">
        <f>#REF!</f>
        <v>#REF!</v>
      </c>
      <c r="I291" s="19" t="e">
        <f>#REF!</f>
        <v>#REF!</v>
      </c>
      <c r="J291" s="257">
        <f>J292+J293+J294+J295</f>
        <v>663.8</v>
      </c>
      <c r="K291" s="257">
        <f>K292+K293+K294+K295</f>
        <v>657.8895</v>
      </c>
      <c r="L291" s="257">
        <f t="shared" si="39"/>
        <v>99.10959626393493</v>
      </c>
      <c r="M291" s="38" t="e">
        <f>#REF!</f>
        <v>#REF!</v>
      </c>
      <c r="N291" s="27" t="e">
        <f>#REF!</f>
        <v>#REF!</v>
      </c>
    </row>
    <row r="292" spans="1:17" s="121" customFormat="1" ht="18.75" customHeight="1">
      <c r="A292" s="215" t="s">
        <v>162</v>
      </c>
      <c r="B292" s="18" t="s">
        <v>279</v>
      </c>
      <c r="C292" s="18" t="s">
        <v>7</v>
      </c>
      <c r="D292" s="18" t="s">
        <v>10</v>
      </c>
      <c r="E292" s="18" t="s">
        <v>122</v>
      </c>
      <c r="F292" s="18" t="s">
        <v>163</v>
      </c>
      <c r="G292" s="19"/>
      <c r="H292" s="25"/>
      <c r="I292" s="19"/>
      <c r="J292" s="257">
        <v>525.698</v>
      </c>
      <c r="K292" s="257">
        <v>525.698</v>
      </c>
      <c r="L292" s="257">
        <f t="shared" si="39"/>
        <v>100</v>
      </c>
      <c r="M292" s="38"/>
      <c r="N292" s="27"/>
      <c r="O292" s="122"/>
      <c r="Q292" s="140"/>
    </row>
    <row r="293" spans="1:17" s="121" customFormat="1" ht="32.25" customHeight="1">
      <c r="A293" s="215" t="s">
        <v>165</v>
      </c>
      <c r="B293" s="18" t="s">
        <v>279</v>
      </c>
      <c r="C293" s="18" t="s">
        <v>7</v>
      </c>
      <c r="D293" s="18" t="s">
        <v>10</v>
      </c>
      <c r="E293" s="18" t="s">
        <v>122</v>
      </c>
      <c r="F293" s="18" t="s">
        <v>166</v>
      </c>
      <c r="G293" s="19"/>
      <c r="H293" s="25"/>
      <c r="I293" s="19"/>
      <c r="J293" s="257">
        <v>1.6</v>
      </c>
      <c r="K293" s="257">
        <v>1.6</v>
      </c>
      <c r="L293" s="257">
        <f t="shared" si="39"/>
        <v>100</v>
      </c>
      <c r="M293" s="38"/>
      <c r="N293" s="27"/>
      <c r="O293" s="122"/>
      <c r="Q293" s="140"/>
    </row>
    <row r="294" spans="1:17" s="121" customFormat="1" ht="31.5" customHeight="1">
      <c r="A294" s="215" t="s">
        <v>156</v>
      </c>
      <c r="B294" s="18" t="s">
        <v>279</v>
      </c>
      <c r="C294" s="18" t="s">
        <v>7</v>
      </c>
      <c r="D294" s="18" t="s">
        <v>10</v>
      </c>
      <c r="E294" s="18" t="s">
        <v>122</v>
      </c>
      <c r="F294" s="18" t="s">
        <v>158</v>
      </c>
      <c r="G294" s="19"/>
      <c r="H294" s="25"/>
      <c r="I294" s="19"/>
      <c r="J294" s="257">
        <v>136.502</v>
      </c>
      <c r="K294" s="257">
        <v>130.5915</v>
      </c>
      <c r="L294" s="257">
        <f t="shared" si="39"/>
        <v>95.67002681279394</v>
      </c>
      <c r="M294" s="38"/>
      <c r="N294" s="27"/>
      <c r="O294" s="122"/>
      <c r="Q294" s="140"/>
    </row>
    <row r="295" spans="1:17" s="121" customFormat="1" ht="24.75" hidden="1">
      <c r="A295" s="219" t="s">
        <v>102</v>
      </c>
      <c r="B295" s="18" t="s">
        <v>279</v>
      </c>
      <c r="C295" s="18" t="s">
        <v>7</v>
      </c>
      <c r="D295" s="18" t="s">
        <v>10</v>
      </c>
      <c r="E295" s="18" t="s">
        <v>122</v>
      </c>
      <c r="F295" s="18" t="s">
        <v>101</v>
      </c>
      <c r="G295" s="19" t="e">
        <f>H295-#REF!</f>
        <v>#REF!</v>
      </c>
      <c r="H295" s="25"/>
      <c r="I295" s="19"/>
      <c r="J295" s="273"/>
      <c r="K295" s="257"/>
      <c r="L295" s="257" t="e">
        <f t="shared" si="39"/>
        <v>#DIV/0!</v>
      </c>
      <c r="M295" s="38"/>
      <c r="N295" s="27" t="e">
        <f>L295+M295</f>
        <v>#DIV/0!</v>
      </c>
      <c r="O295" s="122"/>
      <c r="Q295" s="140"/>
    </row>
    <row r="296" spans="1:14" ht="24.75">
      <c r="A296" s="214" t="s">
        <v>267</v>
      </c>
      <c r="B296" s="18" t="s">
        <v>279</v>
      </c>
      <c r="C296" s="18" t="s">
        <v>7</v>
      </c>
      <c r="D296" s="18" t="s">
        <v>10</v>
      </c>
      <c r="E296" s="18" t="s">
        <v>124</v>
      </c>
      <c r="F296" s="18"/>
      <c r="G296" s="30" t="e">
        <f aca="true" t="shared" si="41" ref="G296:N296">G297</f>
        <v>#REF!</v>
      </c>
      <c r="H296" s="30" t="e">
        <f t="shared" si="41"/>
        <v>#REF!</v>
      </c>
      <c r="I296" s="30" t="e">
        <f t="shared" si="41"/>
        <v>#REF!</v>
      </c>
      <c r="J296" s="273">
        <f t="shared" si="41"/>
        <v>15104.833999999999</v>
      </c>
      <c r="K296" s="257">
        <f t="shared" si="41"/>
        <v>15095.33846</v>
      </c>
      <c r="L296" s="257">
        <f t="shared" si="39"/>
        <v>99.93713575402418</v>
      </c>
      <c r="M296" s="26" t="e">
        <f t="shared" si="41"/>
        <v>#REF!</v>
      </c>
      <c r="N296" s="27" t="e">
        <f t="shared" si="41"/>
        <v>#REF!</v>
      </c>
    </row>
    <row r="297" spans="1:14" ht="15">
      <c r="A297" s="214" t="s">
        <v>125</v>
      </c>
      <c r="B297" s="18" t="s">
        <v>279</v>
      </c>
      <c r="C297" s="18" t="s">
        <v>7</v>
      </c>
      <c r="D297" s="18" t="s">
        <v>10</v>
      </c>
      <c r="E297" s="18" t="s">
        <v>126</v>
      </c>
      <c r="F297" s="18"/>
      <c r="G297" s="30" t="e">
        <f>#REF!+#REF!</f>
        <v>#REF!</v>
      </c>
      <c r="H297" s="30" t="e">
        <f>#REF!+#REF!</f>
        <v>#REF!</v>
      </c>
      <c r="I297" s="30" t="e">
        <f>#REF!+#REF!</f>
        <v>#REF!</v>
      </c>
      <c r="J297" s="257">
        <f>J298+J299+J300+J301+J302+J303+J304</f>
        <v>15104.833999999999</v>
      </c>
      <c r="K297" s="257">
        <f>K298+K299+K300+K301+K302+K303+K304</f>
        <v>15095.33846</v>
      </c>
      <c r="L297" s="257">
        <f t="shared" si="39"/>
        <v>99.93713575402418</v>
      </c>
      <c r="M297" s="26" t="e">
        <f>#REF!+#REF!+M298+M299+M301+M303+M304+M300</f>
        <v>#REF!</v>
      </c>
      <c r="N297" s="26" t="e">
        <f>#REF!+#REF!+N298+N299+N301+N303+N304+N300</f>
        <v>#REF!</v>
      </c>
    </row>
    <row r="298" spans="1:14" ht="20.25" customHeight="1">
      <c r="A298" s="215" t="s">
        <v>162</v>
      </c>
      <c r="B298" s="18" t="s">
        <v>279</v>
      </c>
      <c r="C298" s="18" t="s">
        <v>7</v>
      </c>
      <c r="D298" s="18" t="s">
        <v>10</v>
      </c>
      <c r="E298" s="18" t="s">
        <v>126</v>
      </c>
      <c r="F298" s="18" t="s">
        <v>163</v>
      </c>
      <c r="G298" s="17"/>
      <c r="H298" s="24"/>
      <c r="I298" s="17"/>
      <c r="J298" s="257">
        <v>9961.579</v>
      </c>
      <c r="K298" s="257">
        <v>9961.579</v>
      </c>
      <c r="L298" s="257">
        <f t="shared" si="39"/>
        <v>100</v>
      </c>
      <c r="M298" s="76"/>
      <c r="N298" s="33"/>
    </row>
    <row r="299" spans="1:14" ht="30" customHeight="1">
      <c r="A299" s="215" t="s">
        <v>165</v>
      </c>
      <c r="B299" s="18" t="s">
        <v>279</v>
      </c>
      <c r="C299" s="18" t="s">
        <v>7</v>
      </c>
      <c r="D299" s="18" t="s">
        <v>10</v>
      </c>
      <c r="E299" s="18" t="s">
        <v>126</v>
      </c>
      <c r="F299" s="18" t="s">
        <v>166</v>
      </c>
      <c r="G299" s="17"/>
      <c r="H299" s="24"/>
      <c r="I299" s="17"/>
      <c r="J299" s="257">
        <v>76</v>
      </c>
      <c r="K299" s="257">
        <v>76</v>
      </c>
      <c r="L299" s="257">
        <f t="shared" si="39"/>
        <v>100</v>
      </c>
      <c r="M299" s="76"/>
      <c r="N299" s="33"/>
    </row>
    <row r="300" spans="1:14" ht="30" customHeight="1">
      <c r="A300" s="215" t="s">
        <v>169</v>
      </c>
      <c r="B300" s="18" t="s">
        <v>279</v>
      </c>
      <c r="C300" s="18" t="s">
        <v>7</v>
      </c>
      <c r="D300" s="18" t="s">
        <v>10</v>
      </c>
      <c r="E300" s="18" t="s">
        <v>126</v>
      </c>
      <c r="F300" s="18" t="s">
        <v>170</v>
      </c>
      <c r="G300" s="17"/>
      <c r="H300" s="24"/>
      <c r="I300" s="17"/>
      <c r="J300" s="257">
        <v>129.4</v>
      </c>
      <c r="K300" s="257">
        <v>129.4</v>
      </c>
      <c r="L300" s="257">
        <f t="shared" si="39"/>
        <v>100</v>
      </c>
      <c r="M300" s="76"/>
      <c r="N300" s="33"/>
    </row>
    <row r="301" spans="1:14" ht="30" customHeight="1">
      <c r="A301" s="215" t="s">
        <v>156</v>
      </c>
      <c r="B301" s="18" t="s">
        <v>279</v>
      </c>
      <c r="C301" s="18" t="s">
        <v>7</v>
      </c>
      <c r="D301" s="18" t="s">
        <v>10</v>
      </c>
      <c r="E301" s="18" t="s">
        <v>126</v>
      </c>
      <c r="F301" s="18" t="s">
        <v>158</v>
      </c>
      <c r="G301" s="17"/>
      <c r="H301" s="24"/>
      <c r="I301" s="17"/>
      <c r="J301" s="257">
        <v>4389.035</v>
      </c>
      <c r="K301" s="257">
        <v>4381.95518</v>
      </c>
      <c r="L301" s="257">
        <f t="shared" si="39"/>
        <v>99.8386930156629</v>
      </c>
      <c r="M301" s="76"/>
      <c r="N301" s="33"/>
    </row>
    <row r="302" spans="1:15" ht="24.75" hidden="1">
      <c r="A302" s="214" t="s">
        <v>102</v>
      </c>
      <c r="B302" s="18" t="s">
        <v>279</v>
      </c>
      <c r="C302" s="18" t="s">
        <v>7</v>
      </c>
      <c r="D302" s="18" t="s">
        <v>10</v>
      </c>
      <c r="E302" s="18" t="s">
        <v>126</v>
      </c>
      <c r="F302" s="18" t="s">
        <v>101</v>
      </c>
      <c r="G302" s="30">
        <f>10-200+200+80.47+1300-0.47-80+50</f>
        <v>1360</v>
      </c>
      <c r="H302" s="30">
        <f>49.6+117.4+10087.47-203.91-49.6</f>
        <v>10000.96</v>
      </c>
      <c r="I302" s="30"/>
      <c r="J302" s="273"/>
      <c r="K302" s="257"/>
      <c r="L302" s="257" t="e">
        <f t="shared" si="39"/>
        <v>#DIV/0!</v>
      </c>
      <c r="M302" s="26">
        <f>-176.62+88</f>
        <v>-88.62</v>
      </c>
      <c r="N302" s="27" t="e">
        <f>L302+M302</f>
        <v>#DIV/0!</v>
      </c>
      <c r="O302" s="98"/>
    </row>
    <row r="303" spans="1:14" ht="30" customHeight="1">
      <c r="A303" s="215" t="s">
        <v>288</v>
      </c>
      <c r="B303" s="18" t="s">
        <v>279</v>
      </c>
      <c r="C303" s="18" t="s">
        <v>7</v>
      </c>
      <c r="D303" s="18" t="s">
        <v>10</v>
      </c>
      <c r="E303" s="18" t="s">
        <v>126</v>
      </c>
      <c r="F303" s="18" t="s">
        <v>172</v>
      </c>
      <c r="G303" s="17"/>
      <c r="H303" s="24"/>
      <c r="I303" s="17"/>
      <c r="J303" s="257">
        <v>326.82</v>
      </c>
      <c r="K303" s="257">
        <v>325</v>
      </c>
      <c r="L303" s="257">
        <f t="shared" si="39"/>
        <v>99.44311853619729</v>
      </c>
      <c r="M303" s="76"/>
      <c r="N303" s="33"/>
    </row>
    <row r="304" spans="1:14" s="177" customFormat="1" ht="15" customHeight="1">
      <c r="A304" s="223" t="s">
        <v>173</v>
      </c>
      <c r="B304" s="179" t="s">
        <v>279</v>
      </c>
      <c r="C304" s="179" t="s">
        <v>7</v>
      </c>
      <c r="D304" s="179" t="s">
        <v>10</v>
      </c>
      <c r="E304" s="179" t="s">
        <v>126</v>
      </c>
      <c r="F304" s="179" t="s">
        <v>174</v>
      </c>
      <c r="G304" s="180"/>
      <c r="H304" s="181"/>
      <c r="I304" s="180"/>
      <c r="J304" s="257">
        <v>222</v>
      </c>
      <c r="K304" s="257">
        <v>221.40428</v>
      </c>
      <c r="L304" s="257">
        <f t="shared" si="39"/>
        <v>99.73165765765766</v>
      </c>
      <c r="M304" s="182"/>
      <c r="N304" s="183"/>
    </row>
    <row r="305" spans="1:14" s="177" customFormat="1" ht="16.5" customHeight="1">
      <c r="A305" s="214" t="s">
        <v>521</v>
      </c>
      <c r="B305" s="179" t="s">
        <v>279</v>
      </c>
      <c r="C305" s="179" t="s">
        <v>7</v>
      </c>
      <c r="D305" s="179" t="s">
        <v>10</v>
      </c>
      <c r="E305" s="179" t="s">
        <v>513</v>
      </c>
      <c r="F305" s="179"/>
      <c r="G305" s="180"/>
      <c r="H305" s="181"/>
      <c r="I305" s="180"/>
      <c r="J305" s="257">
        <f>J307+J306</f>
        <v>25.21479</v>
      </c>
      <c r="K305" s="257">
        <f>K307+K306</f>
        <v>25.21479</v>
      </c>
      <c r="L305" s="257">
        <f t="shared" si="39"/>
        <v>100</v>
      </c>
      <c r="M305" s="182"/>
      <c r="N305" s="183"/>
    </row>
    <row r="306" spans="1:14" s="177" customFormat="1" ht="25.5" customHeight="1">
      <c r="A306" s="215" t="s">
        <v>156</v>
      </c>
      <c r="B306" s="179" t="s">
        <v>279</v>
      </c>
      <c r="C306" s="179" t="s">
        <v>7</v>
      </c>
      <c r="D306" s="179" t="s">
        <v>10</v>
      </c>
      <c r="E306" s="179" t="s">
        <v>513</v>
      </c>
      <c r="F306" s="179" t="s">
        <v>158</v>
      </c>
      <c r="G306" s="180"/>
      <c r="H306" s="181"/>
      <c r="I306" s="180"/>
      <c r="J306" s="257">
        <v>25.21479</v>
      </c>
      <c r="K306" s="257">
        <v>25.21479</v>
      </c>
      <c r="L306" s="257">
        <f t="shared" si="39"/>
        <v>100</v>
      </c>
      <c r="M306" s="182"/>
      <c r="N306" s="183"/>
    </row>
    <row r="307" spans="1:14" s="177" customFormat="1" ht="25.5" customHeight="1" hidden="1">
      <c r="A307" s="214" t="s">
        <v>522</v>
      </c>
      <c r="B307" s="179" t="s">
        <v>279</v>
      </c>
      <c r="C307" s="179" t="s">
        <v>7</v>
      </c>
      <c r="D307" s="179" t="s">
        <v>10</v>
      </c>
      <c r="E307" s="179" t="s">
        <v>513</v>
      </c>
      <c r="F307" s="179" t="s">
        <v>517</v>
      </c>
      <c r="G307" s="180"/>
      <c r="H307" s="181"/>
      <c r="I307" s="180"/>
      <c r="J307" s="257">
        <v>0</v>
      </c>
      <c r="K307" s="257"/>
      <c r="L307" s="257" t="e">
        <f t="shared" si="39"/>
        <v>#DIV/0!</v>
      </c>
      <c r="M307" s="182"/>
      <c r="N307" s="183"/>
    </row>
    <row r="308" spans="1:14" s="121" customFormat="1" ht="14.25" customHeight="1">
      <c r="A308" s="218" t="s">
        <v>11</v>
      </c>
      <c r="B308" s="23" t="s">
        <v>279</v>
      </c>
      <c r="C308" s="23" t="s">
        <v>7</v>
      </c>
      <c r="D308" s="23" t="s">
        <v>12</v>
      </c>
      <c r="E308" s="23"/>
      <c r="F308" s="23"/>
      <c r="G308" s="17"/>
      <c r="H308" s="20">
        <f>H309</f>
        <v>0</v>
      </c>
      <c r="I308" s="20">
        <f aca="true" t="shared" si="42" ref="I308:N309">I309</f>
        <v>0</v>
      </c>
      <c r="J308" s="272">
        <f t="shared" si="42"/>
        <v>11.7</v>
      </c>
      <c r="K308" s="256">
        <f t="shared" si="42"/>
        <v>8.893</v>
      </c>
      <c r="L308" s="256">
        <f t="shared" si="39"/>
        <v>76.00854700854703</v>
      </c>
      <c r="M308" s="133">
        <f t="shared" si="42"/>
        <v>0</v>
      </c>
      <c r="N308" s="134" t="e">
        <f t="shared" si="42"/>
        <v>#DIV/0!</v>
      </c>
    </row>
    <row r="309" spans="1:14" ht="36.75">
      <c r="A309" s="219" t="s">
        <v>289</v>
      </c>
      <c r="B309" s="18" t="s">
        <v>279</v>
      </c>
      <c r="C309" s="18" t="s">
        <v>7</v>
      </c>
      <c r="D309" s="18" t="s">
        <v>12</v>
      </c>
      <c r="E309" s="18" t="s">
        <v>290</v>
      </c>
      <c r="F309" s="18"/>
      <c r="G309" s="17"/>
      <c r="H309" s="24">
        <f>H310</f>
        <v>0</v>
      </c>
      <c r="I309" s="24">
        <f t="shared" si="42"/>
        <v>0</v>
      </c>
      <c r="J309" s="257">
        <f>J310+J311</f>
        <v>11.7</v>
      </c>
      <c r="K309" s="257">
        <f>K310+K311</f>
        <v>8.893</v>
      </c>
      <c r="L309" s="257">
        <f t="shared" si="39"/>
        <v>76.00854700854703</v>
      </c>
      <c r="M309" s="26">
        <f t="shared" si="42"/>
        <v>0</v>
      </c>
      <c r="N309" s="27" t="e">
        <f t="shared" si="42"/>
        <v>#DIV/0!</v>
      </c>
    </row>
    <row r="310" spans="1:15" ht="15" hidden="1">
      <c r="A310" s="214" t="s">
        <v>100</v>
      </c>
      <c r="B310" s="18" t="s">
        <v>279</v>
      </c>
      <c r="C310" s="18" t="s">
        <v>7</v>
      </c>
      <c r="D310" s="18" t="s">
        <v>12</v>
      </c>
      <c r="E310" s="18" t="s">
        <v>290</v>
      </c>
      <c r="F310" s="18" t="s">
        <v>161</v>
      </c>
      <c r="G310" s="30"/>
      <c r="H310" s="24"/>
      <c r="I310" s="30"/>
      <c r="J310" s="273"/>
      <c r="K310" s="257"/>
      <c r="L310" s="257" t="e">
        <f t="shared" si="39"/>
        <v>#DIV/0!</v>
      </c>
      <c r="M310" s="70"/>
      <c r="N310" s="69" t="e">
        <f>L310+M310</f>
        <v>#DIV/0!</v>
      </c>
      <c r="O310" s="16">
        <v>6.8</v>
      </c>
    </row>
    <row r="311" spans="1:14" ht="31.5" customHeight="1">
      <c r="A311" s="215" t="s">
        <v>156</v>
      </c>
      <c r="B311" s="18" t="s">
        <v>279</v>
      </c>
      <c r="C311" s="18" t="s">
        <v>7</v>
      </c>
      <c r="D311" s="18" t="s">
        <v>12</v>
      </c>
      <c r="E311" s="18" t="s">
        <v>290</v>
      </c>
      <c r="F311" s="18" t="s">
        <v>158</v>
      </c>
      <c r="G311" s="30"/>
      <c r="H311" s="24"/>
      <c r="I311" s="30"/>
      <c r="J311" s="273">
        <v>11.7</v>
      </c>
      <c r="K311" s="257">
        <v>8.893</v>
      </c>
      <c r="L311" s="257">
        <f t="shared" si="39"/>
        <v>76.00854700854703</v>
      </c>
      <c r="M311" s="70"/>
      <c r="N311" s="69"/>
    </row>
    <row r="312" spans="1:14" ht="25.5" customHeight="1">
      <c r="A312" s="226" t="s">
        <v>204</v>
      </c>
      <c r="B312" s="23" t="s">
        <v>279</v>
      </c>
      <c r="C312" s="23" t="s">
        <v>7</v>
      </c>
      <c r="D312" s="23" t="s">
        <v>13</v>
      </c>
      <c r="E312" s="23"/>
      <c r="F312" s="23"/>
      <c r="G312" s="17" t="e">
        <f>G313</f>
        <v>#REF!</v>
      </c>
      <c r="H312" s="17" t="e">
        <f>H313</f>
        <v>#REF!</v>
      </c>
      <c r="I312" s="17" t="e">
        <f>I313</f>
        <v>#REF!</v>
      </c>
      <c r="J312" s="256">
        <f>J313</f>
        <v>757.604</v>
      </c>
      <c r="K312" s="256">
        <f>K313</f>
        <v>757.604</v>
      </c>
      <c r="L312" s="256">
        <f t="shared" si="39"/>
        <v>100</v>
      </c>
      <c r="M312" s="70"/>
      <c r="N312" s="69"/>
    </row>
    <row r="313" spans="1:14" ht="36.75">
      <c r="A313" s="211" t="s">
        <v>205</v>
      </c>
      <c r="B313" s="18" t="s">
        <v>279</v>
      </c>
      <c r="C313" s="18" t="s">
        <v>7</v>
      </c>
      <c r="D313" s="18" t="s">
        <v>13</v>
      </c>
      <c r="E313" s="18" t="s">
        <v>124</v>
      </c>
      <c r="F313" s="18"/>
      <c r="G313" s="30" t="e">
        <f>#REF!+#REF!</f>
        <v>#REF!</v>
      </c>
      <c r="H313" s="30" t="e">
        <f>#REF!+#REF!</f>
        <v>#REF!</v>
      </c>
      <c r="I313" s="30" t="e">
        <f>#REF!+#REF!</f>
        <v>#REF!</v>
      </c>
      <c r="J313" s="257">
        <f>J314+J315+J316+J317</f>
        <v>757.604</v>
      </c>
      <c r="K313" s="257">
        <f>K314+K315+K316+K317</f>
        <v>757.604</v>
      </c>
      <c r="L313" s="257">
        <f t="shared" si="39"/>
        <v>100</v>
      </c>
      <c r="M313" s="70"/>
      <c r="N313" s="69"/>
    </row>
    <row r="314" spans="1:14" ht="15">
      <c r="A314" s="223" t="s">
        <v>373</v>
      </c>
      <c r="B314" s="18" t="s">
        <v>279</v>
      </c>
      <c r="C314" s="18" t="s">
        <v>7</v>
      </c>
      <c r="D314" s="18" t="s">
        <v>13</v>
      </c>
      <c r="E314" s="18" t="s">
        <v>126</v>
      </c>
      <c r="F314" s="18" t="s">
        <v>163</v>
      </c>
      <c r="G314" s="30"/>
      <c r="H314" s="24"/>
      <c r="I314" s="30"/>
      <c r="J314" s="257">
        <v>675.604</v>
      </c>
      <c r="K314" s="257">
        <v>675.604</v>
      </c>
      <c r="L314" s="257">
        <f t="shared" si="39"/>
        <v>100</v>
      </c>
      <c r="M314" s="70"/>
      <c r="N314" s="69"/>
    </row>
    <row r="315" spans="1:14" s="310" customFormat="1" ht="24.75">
      <c r="A315" s="223" t="s">
        <v>241</v>
      </c>
      <c r="B315" s="304" t="s">
        <v>279</v>
      </c>
      <c r="C315" s="304" t="s">
        <v>7</v>
      </c>
      <c r="D315" s="304" t="s">
        <v>13</v>
      </c>
      <c r="E315" s="304" t="s">
        <v>126</v>
      </c>
      <c r="F315" s="304" t="s">
        <v>166</v>
      </c>
      <c r="G315" s="305"/>
      <c r="H315" s="306"/>
      <c r="I315" s="305"/>
      <c r="J315" s="307"/>
      <c r="K315" s="307"/>
      <c r="L315" s="307" t="e">
        <f t="shared" si="39"/>
        <v>#DIV/0!</v>
      </c>
      <c r="M315" s="308"/>
      <c r="N315" s="309"/>
    </row>
    <row r="316" spans="1:14" s="310" customFormat="1" ht="26.25" customHeight="1">
      <c r="A316" s="303" t="s">
        <v>554</v>
      </c>
      <c r="B316" s="304" t="s">
        <v>279</v>
      </c>
      <c r="C316" s="304" t="s">
        <v>7</v>
      </c>
      <c r="D316" s="304" t="s">
        <v>13</v>
      </c>
      <c r="E316" s="304" t="s">
        <v>126</v>
      </c>
      <c r="F316" s="304" t="s">
        <v>170</v>
      </c>
      <c r="G316" s="305"/>
      <c r="H316" s="306"/>
      <c r="I316" s="305"/>
      <c r="J316" s="307">
        <v>30</v>
      </c>
      <c r="K316" s="307">
        <v>30</v>
      </c>
      <c r="L316" s="307">
        <f t="shared" si="39"/>
        <v>100</v>
      </c>
      <c r="M316" s="308"/>
      <c r="N316" s="309"/>
    </row>
    <row r="317" spans="1:14" ht="24.75">
      <c r="A317" s="223" t="s">
        <v>242</v>
      </c>
      <c r="B317" s="18" t="s">
        <v>279</v>
      </c>
      <c r="C317" s="18" t="s">
        <v>7</v>
      </c>
      <c r="D317" s="18" t="s">
        <v>13</v>
      </c>
      <c r="E317" s="18" t="s">
        <v>126</v>
      </c>
      <c r="F317" s="18" t="s">
        <v>158</v>
      </c>
      <c r="G317" s="30"/>
      <c r="H317" s="24"/>
      <c r="I317" s="30"/>
      <c r="J317" s="257">
        <v>52</v>
      </c>
      <c r="K317" s="257">
        <v>52</v>
      </c>
      <c r="L317" s="257">
        <f t="shared" si="39"/>
        <v>100</v>
      </c>
      <c r="M317" s="70"/>
      <c r="N317" s="69"/>
    </row>
    <row r="318" spans="1:14" s="121" customFormat="1" ht="24" hidden="1">
      <c r="A318" s="217" t="s">
        <v>291</v>
      </c>
      <c r="B318" s="23" t="s">
        <v>279</v>
      </c>
      <c r="C318" s="23" t="s">
        <v>7</v>
      </c>
      <c r="D318" s="23" t="s">
        <v>15</v>
      </c>
      <c r="E318" s="23"/>
      <c r="F318" s="23"/>
      <c r="G318" s="17">
        <f aca="true" t="shared" si="43" ref="G318:N320">G319</f>
        <v>0</v>
      </c>
      <c r="H318" s="17">
        <f t="shared" si="43"/>
        <v>20</v>
      </c>
      <c r="I318" s="17">
        <f t="shared" si="43"/>
        <v>0</v>
      </c>
      <c r="J318" s="272">
        <f t="shared" si="43"/>
        <v>0</v>
      </c>
      <c r="K318" s="256">
        <f t="shared" si="43"/>
        <v>0</v>
      </c>
      <c r="L318" s="257" t="e">
        <f t="shared" si="39"/>
        <v>#DIV/0!</v>
      </c>
      <c r="M318" s="38">
        <f t="shared" si="43"/>
        <v>0</v>
      </c>
      <c r="N318" s="53" t="e">
        <f t="shared" si="43"/>
        <v>#DIV/0!</v>
      </c>
    </row>
    <row r="319" spans="1:14" ht="18" customHeight="1" hidden="1">
      <c r="A319" s="214" t="s">
        <v>292</v>
      </c>
      <c r="B319" s="18" t="s">
        <v>279</v>
      </c>
      <c r="C319" s="18" t="s">
        <v>7</v>
      </c>
      <c r="D319" s="18" t="s">
        <v>15</v>
      </c>
      <c r="E319" s="18" t="s">
        <v>293</v>
      </c>
      <c r="F319" s="18"/>
      <c r="G319" s="30">
        <f t="shared" si="43"/>
        <v>0</v>
      </c>
      <c r="H319" s="30">
        <f t="shared" si="43"/>
        <v>20</v>
      </c>
      <c r="I319" s="30">
        <f t="shared" si="43"/>
        <v>0</v>
      </c>
      <c r="J319" s="273">
        <f t="shared" si="43"/>
        <v>0</v>
      </c>
      <c r="K319" s="257">
        <f t="shared" si="43"/>
        <v>0</v>
      </c>
      <c r="L319" s="257" t="e">
        <f t="shared" si="39"/>
        <v>#DIV/0!</v>
      </c>
      <c r="M319" s="26">
        <f t="shared" si="43"/>
        <v>0</v>
      </c>
      <c r="N319" s="27" t="e">
        <f t="shared" si="43"/>
        <v>#DIV/0!</v>
      </c>
    </row>
    <row r="320" spans="1:14" ht="31.5" customHeight="1" hidden="1">
      <c r="A320" s="214" t="s">
        <v>294</v>
      </c>
      <c r="B320" s="18" t="s">
        <v>279</v>
      </c>
      <c r="C320" s="18" t="s">
        <v>7</v>
      </c>
      <c r="D320" s="18" t="s">
        <v>15</v>
      </c>
      <c r="E320" s="18" t="s">
        <v>295</v>
      </c>
      <c r="F320" s="18"/>
      <c r="G320" s="30">
        <f t="shared" si="43"/>
        <v>0</v>
      </c>
      <c r="H320" s="30">
        <f t="shared" si="43"/>
        <v>20</v>
      </c>
      <c r="I320" s="30">
        <f t="shared" si="43"/>
        <v>0</v>
      </c>
      <c r="J320" s="257">
        <f>J321+J322</f>
        <v>0</v>
      </c>
      <c r="K320" s="257">
        <f>K321+K322</f>
        <v>0</v>
      </c>
      <c r="L320" s="257" t="e">
        <f t="shared" si="39"/>
        <v>#DIV/0!</v>
      </c>
      <c r="M320" s="26">
        <f t="shared" si="43"/>
        <v>0</v>
      </c>
      <c r="N320" s="27" t="e">
        <f t="shared" si="43"/>
        <v>#DIV/0!</v>
      </c>
    </row>
    <row r="321" spans="1:14" ht="30" customHeight="1" hidden="1">
      <c r="A321" s="214" t="s">
        <v>102</v>
      </c>
      <c r="B321" s="18" t="s">
        <v>279</v>
      </c>
      <c r="C321" s="18" t="s">
        <v>7</v>
      </c>
      <c r="D321" s="18" t="s">
        <v>15</v>
      </c>
      <c r="E321" s="18" t="s">
        <v>295</v>
      </c>
      <c r="F321" s="18" t="s">
        <v>101</v>
      </c>
      <c r="G321" s="30"/>
      <c r="H321" s="30">
        <v>20</v>
      </c>
      <c r="I321" s="30"/>
      <c r="J321" s="273"/>
      <c r="K321" s="257"/>
      <c r="L321" s="257" t="e">
        <f t="shared" si="39"/>
        <v>#DIV/0!</v>
      </c>
      <c r="M321" s="26"/>
      <c r="N321" s="27" t="e">
        <f>L321+M321</f>
        <v>#DIV/0!</v>
      </c>
    </row>
    <row r="322" spans="1:14" ht="30" customHeight="1" hidden="1">
      <c r="A322" s="215" t="s">
        <v>156</v>
      </c>
      <c r="B322" s="18" t="s">
        <v>279</v>
      </c>
      <c r="C322" s="18" t="s">
        <v>7</v>
      </c>
      <c r="D322" s="18" t="s">
        <v>15</v>
      </c>
      <c r="E322" s="18" t="s">
        <v>295</v>
      </c>
      <c r="F322" s="18" t="s">
        <v>158</v>
      </c>
      <c r="G322" s="30"/>
      <c r="H322" s="30"/>
      <c r="I322" s="30"/>
      <c r="J322" s="273"/>
      <c r="K322" s="257"/>
      <c r="L322" s="257" t="e">
        <f t="shared" si="39"/>
        <v>#DIV/0!</v>
      </c>
      <c r="M322" s="26"/>
      <c r="N322" s="27"/>
    </row>
    <row r="323" spans="1:14" ht="19.5" customHeight="1">
      <c r="A323" s="217" t="s">
        <v>20</v>
      </c>
      <c r="B323" s="23" t="s">
        <v>279</v>
      </c>
      <c r="C323" s="23" t="s">
        <v>7</v>
      </c>
      <c r="D323" s="23" t="s">
        <v>19</v>
      </c>
      <c r="E323" s="23"/>
      <c r="F323" s="23"/>
      <c r="G323" s="17">
        <f>G335+G324</f>
        <v>0</v>
      </c>
      <c r="H323" s="17">
        <f>H335+H324</f>
        <v>265.4</v>
      </c>
      <c r="I323" s="17">
        <f>I335+I324</f>
        <v>0</v>
      </c>
      <c r="J323" s="256">
        <f>J324+J326+J335+J339+J331</f>
        <v>1444.1</v>
      </c>
      <c r="K323" s="256">
        <f>K324+K326+K335+K339+K331</f>
        <v>1440.58296</v>
      </c>
      <c r="L323" s="256">
        <f t="shared" si="39"/>
        <v>99.75645453915935</v>
      </c>
      <c r="M323" s="38">
        <f>M324+M326+M335+M339</f>
        <v>0</v>
      </c>
      <c r="N323" s="38">
        <f>N324+N326+N335+N339</f>
        <v>0</v>
      </c>
    </row>
    <row r="324" spans="1:14" ht="31.5" customHeight="1">
      <c r="A324" s="233" t="s">
        <v>286</v>
      </c>
      <c r="B324" s="18" t="s">
        <v>279</v>
      </c>
      <c r="C324" s="18" t="s">
        <v>7</v>
      </c>
      <c r="D324" s="18" t="s">
        <v>19</v>
      </c>
      <c r="E324" s="18" t="s">
        <v>287</v>
      </c>
      <c r="F324" s="18"/>
      <c r="G324" s="30">
        <f>G327</f>
        <v>195</v>
      </c>
      <c r="H324" s="30">
        <f>H327</f>
        <v>0</v>
      </c>
      <c r="I324" s="30">
        <f>I327</f>
        <v>0</v>
      </c>
      <c r="J324" s="257">
        <f>J325</f>
        <v>54.3</v>
      </c>
      <c r="K324" s="257">
        <f>K325</f>
        <v>54.3</v>
      </c>
      <c r="L324" s="257">
        <f t="shared" si="39"/>
        <v>100</v>
      </c>
      <c r="M324" s="26"/>
      <c r="N324" s="27"/>
    </row>
    <row r="325" spans="1:14" ht="27.75" customHeight="1">
      <c r="A325" s="223" t="s">
        <v>242</v>
      </c>
      <c r="B325" s="18" t="s">
        <v>279</v>
      </c>
      <c r="C325" s="18" t="s">
        <v>7</v>
      </c>
      <c r="D325" s="18" t="s">
        <v>19</v>
      </c>
      <c r="E325" s="18" t="s">
        <v>287</v>
      </c>
      <c r="F325" s="18" t="s">
        <v>158</v>
      </c>
      <c r="G325" s="30"/>
      <c r="H325" s="30"/>
      <c r="I325" s="30"/>
      <c r="J325" s="273">
        <v>54.3</v>
      </c>
      <c r="K325" s="257">
        <v>54.3</v>
      </c>
      <c r="L325" s="257">
        <f t="shared" si="39"/>
        <v>100</v>
      </c>
      <c r="M325" s="26"/>
      <c r="N325" s="27"/>
    </row>
    <row r="326" spans="1:14" ht="28.5" customHeight="1">
      <c r="A326" s="233" t="s">
        <v>296</v>
      </c>
      <c r="B326" s="18" t="s">
        <v>279</v>
      </c>
      <c r="C326" s="18" t="s">
        <v>7</v>
      </c>
      <c r="D326" s="18" t="s">
        <v>19</v>
      </c>
      <c r="E326" s="18" t="s">
        <v>297</v>
      </c>
      <c r="F326" s="18"/>
      <c r="G326" s="30"/>
      <c r="H326" s="30"/>
      <c r="I326" s="30"/>
      <c r="J326" s="257">
        <f>J327+J328+J329+J330</f>
        <v>543.3</v>
      </c>
      <c r="K326" s="257">
        <f>K327+K328+K329+K330</f>
        <v>542.89</v>
      </c>
      <c r="L326" s="257">
        <f t="shared" si="39"/>
        <v>99.92453524756121</v>
      </c>
      <c r="M326" s="26"/>
      <c r="N326" s="27"/>
    </row>
    <row r="327" spans="1:17" ht="28.5" customHeight="1" hidden="1">
      <c r="A327" s="214" t="s">
        <v>104</v>
      </c>
      <c r="B327" s="18" t="s">
        <v>279</v>
      </c>
      <c r="C327" s="18" t="s">
        <v>7</v>
      </c>
      <c r="D327" s="18" t="s">
        <v>19</v>
      </c>
      <c r="E327" s="18" t="s">
        <v>297</v>
      </c>
      <c r="F327" s="18" t="s">
        <v>105</v>
      </c>
      <c r="G327" s="30">
        <v>195</v>
      </c>
      <c r="H327" s="24"/>
      <c r="I327" s="30"/>
      <c r="J327" s="273"/>
      <c r="K327" s="257"/>
      <c r="L327" s="257" t="e">
        <f t="shared" si="39"/>
        <v>#DIV/0!</v>
      </c>
      <c r="M327" s="26"/>
      <c r="N327" s="27"/>
      <c r="O327" s="136"/>
      <c r="Q327" s="74"/>
    </row>
    <row r="328" spans="1:17" ht="14.25" customHeight="1">
      <c r="A328" s="215" t="s">
        <v>162</v>
      </c>
      <c r="B328" s="18" t="s">
        <v>279</v>
      </c>
      <c r="C328" s="18" t="s">
        <v>7</v>
      </c>
      <c r="D328" s="18" t="s">
        <v>19</v>
      </c>
      <c r="E328" s="18" t="s">
        <v>297</v>
      </c>
      <c r="F328" s="18" t="s">
        <v>163</v>
      </c>
      <c r="G328" s="30"/>
      <c r="H328" s="24"/>
      <c r="I328" s="30"/>
      <c r="J328" s="257">
        <v>403.662</v>
      </c>
      <c r="K328" s="257">
        <v>403.662</v>
      </c>
      <c r="L328" s="257">
        <f t="shared" si="39"/>
        <v>100</v>
      </c>
      <c r="M328" s="26"/>
      <c r="N328" s="27"/>
      <c r="O328" s="136"/>
      <c r="Q328" s="74"/>
    </row>
    <row r="329" spans="1:17" ht="28.5" customHeight="1">
      <c r="A329" s="215" t="s">
        <v>165</v>
      </c>
      <c r="B329" s="18" t="s">
        <v>279</v>
      </c>
      <c r="C329" s="18" t="s">
        <v>7</v>
      </c>
      <c r="D329" s="18" t="s">
        <v>19</v>
      </c>
      <c r="E329" s="18" t="s">
        <v>297</v>
      </c>
      <c r="F329" s="18" t="s">
        <v>166</v>
      </c>
      <c r="G329" s="30"/>
      <c r="H329" s="24"/>
      <c r="I329" s="30"/>
      <c r="J329" s="257">
        <v>1.3</v>
      </c>
      <c r="K329" s="257">
        <v>1.3</v>
      </c>
      <c r="L329" s="257">
        <f t="shared" si="39"/>
        <v>100</v>
      </c>
      <c r="M329" s="26"/>
      <c r="N329" s="27"/>
      <c r="O329" s="136"/>
      <c r="Q329" s="74"/>
    </row>
    <row r="330" spans="1:17" ht="28.5" customHeight="1">
      <c r="A330" s="215" t="s">
        <v>156</v>
      </c>
      <c r="B330" s="18" t="s">
        <v>279</v>
      </c>
      <c r="C330" s="18" t="s">
        <v>7</v>
      </c>
      <c r="D330" s="18" t="s">
        <v>19</v>
      </c>
      <c r="E330" s="18" t="s">
        <v>297</v>
      </c>
      <c r="F330" s="18" t="s">
        <v>158</v>
      </c>
      <c r="G330" s="30"/>
      <c r="H330" s="24"/>
      <c r="I330" s="30"/>
      <c r="J330" s="257">
        <v>138.338</v>
      </c>
      <c r="K330" s="257">
        <v>137.928</v>
      </c>
      <c r="L330" s="257">
        <f t="shared" si="39"/>
        <v>99.70362445604245</v>
      </c>
      <c r="M330" s="26"/>
      <c r="N330" s="27"/>
      <c r="O330" s="136"/>
      <c r="Q330" s="74"/>
    </row>
    <row r="331" spans="1:17" ht="60">
      <c r="A331" s="228" t="s">
        <v>216</v>
      </c>
      <c r="B331" s="60" t="s">
        <v>279</v>
      </c>
      <c r="C331" s="60" t="s">
        <v>7</v>
      </c>
      <c r="D331" s="60" t="s">
        <v>19</v>
      </c>
      <c r="E331" s="60" t="s">
        <v>217</v>
      </c>
      <c r="F331" s="18"/>
      <c r="G331" s="30"/>
      <c r="H331" s="24"/>
      <c r="I331" s="30"/>
      <c r="J331" s="257">
        <f>J332+J333+J334</f>
        <v>212.3</v>
      </c>
      <c r="K331" s="257">
        <f>K332+K333+K334</f>
        <v>210.66750000000002</v>
      </c>
      <c r="L331" s="257">
        <f t="shared" si="39"/>
        <v>99.23104097974564</v>
      </c>
      <c r="M331" s="26"/>
      <c r="N331" s="27"/>
      <c r="O331" s="136"/>
      <c r="Q331" s="74"/>
    </row>
    <row r="332" spans="1:17" ht="24" hidden="1">
      <c r="A332" s="215" t="s">
        <v>162</v>
      </c>
      <c r="B332" s="60" t="s">
        <v>279</v>
      </c>
      <c r="C332" s="60" t="s">
        <v>7</v>
      </c>
      <c r="D332" s="60" t="s">
        <v>19</v>
      </c>
      <c r="E332" s="60" t="s">
        <v>217</v>
      </c>
      <c r="F332" s="18" t="s">
        <v>163</v>
      </c>
      <c r="G332" s="30"/>
      <c r="H332" s="24"/>
      <c r="I332" s="30"/>
      <c r="J332" s="257"/>
      <c r="K332" s="257"/>
      <c r="L332" s="257" t="e">
        <f t="shared" si="39"/>
        <v>#DIV/0!</v>
      </c>
      <c r="M332" s="26"/>
      <c r="N332" s="27"/>
      <c r="O332" s="136"/>
      <c r="Q332" s="74"/>
    </row>
    <row r="333" spans="1:17" ht="36">
      <c r="A333" s="215" t="s">
        <v>169</v>
      </c>
      <c r="B333" s="18" t="s">
        <v>279</v>
      </c>
      <c r="C333" s="18" t="s">
        <v>7</v>
      </c>
      <c r="D333" s="18" t="s">
        <v>19</v>
      </c>
      <c r="E333" s="18" t="s">
        <v>509</v>
      </c>
      <c r="F333" s="18" t="s">
        <v>170</v>
      </c>
      <c r="G333" s="30"/>
      <c r="H333" s="24"/>
      <c r="I333" s="30"/>
      <c r="J333" s="257">
        <v>112.3</v>
      </c>
      <c r="K333" s="257">
        <v>112.3</v>
      </c>
      <c r="L333" s="257">
        <f t="shared" si="39"/>
        <v>100</v>
      </c>
      <c r="M333" s="26"/>
      <c r="N333" s="27"/>
      <c r="O333" s="136"/>
      <c r="Q333" s="74"/>
    </row>
    <row r="334" spans="1:17" ht="36">
      <c r="A334" s="215" t="s">
        <v>156</v>
      </c>
      <c r="B334" s="18" t="s">
        <v>279</v>
      </c>
      <c r="C334" s="18" t="s">
        <v>7</v>
      </c>
      <c r="D334" s="18" t="s">
        <v>19</v>
      </c>
      <c r="E334" s="18" t="s">
        <v>509</v>
      </c>
      <c r="F334" s="18" t="s">
        <v>158</v>
      </c>
      <c r="G334" s="30"/>
      <c r="H334" s="24"/>
      <c r="I334" s="30"/>
      <c r="J334" s="257">
        <v>100</v>
      </c>
      <c r="K334" s="257">
        <v>98.3675</v>
      </c>
      <c r="L334" s="257">
        <f t="shared" si="39"/>
        <v>98.3675</v>
      </c>
      <c r="M334" s="26"/>
      <c r="N334" s="27"/>
      <c r="O334" s="136"/>
      <c r="Q334" s="74"/>
    </row>
    <row r="335" spans="1:14" ht="43.5" customHeight="1">
      <c r="A335" s="214" t="s">
        <v>298</v>
      </c>
      <c r="B335" s="18" t="s">
        <v>279</v>
      </c>
      <c r="C335" s="18" t="s">
        <v>7</v>
      </c>
      <c r="D335" s="18" t="s">
        <v>19</v>
      </c>
      <c r="E335" s="18" t="s">
        <v>299</v>
      </c>
      <c r="F335" s="18"/>
      <c r="G335" s="30">
        <f aca="true" t="shared" si="44" ref="G335:J336">G336</f>
        <v>-195</v>
      </c>
      <c r="H335" s="30">
        <f t="shared" si="44"/>
        <v>265.4</v>
      </c>
      <c r="I335" s="30">
        <f t="shared" si="44"/>
        <v>0</v>
      </c>
      <c r="J335" s="273">
        <f t="shared" si="44"/>
        <v>134.2</v>
      </c>
      <c r="K335" s="257">
        <f>K336</f>
        <v>132.7264</v>
      </c>
      <c r="L335" s="257">
        <f t="shared" si="39"/>
        <v>98.90193740685545</v>
      </c>
      <c r="M335" s="26"/>
      <c r="N335" s="27"/>
    </row>
    <row r="336" spans="1:14" ht="27.75" customHeight="1">
      <c r="A336" s="214" t="s">
        <v>106</v>
      </c>
      <c r="B336" s="18" t="s">
        <v>279</v>
      </c>
      <c r="C336" s="18" t="s">
        <v>7</v>
      </c>
      <c r="D336" s="18" t="s">
        <v>19</v>
      </c>
      <c r="E336" s="18" t="s">
        <v>300</v>
      </c>
      <c r="F336" s="18"/>
      <c r="G336" s="30">
        <f t="shared" si="44"/>
        <v>-195</v>
      </c>
      <c r="H336" s="30">
        <f t="shared" si="44"/>
        <v>265.4</v>
      </c>
      <c r="I336" s="30">
        <f t="shared" si="44"/>
        <v>0</v>
      </c>
      <c r="J336" s="257">
        <f>J337+J338</f>
        <v>134.2</v>
      </c>
      <c r="K336" s="257">
        <f>K337+K338</f>
        <v>132.7264</v>
      </c>
      <c r="L336" s="257">
        <f t="shared" si="39"/>
        <v>98.90193740685545</v>
      </c>
      <c r="M336" s="26"/>
      <c r="N336" s="27"/>
    </row>
    <row r="337" spans="1:14" ht="27.75" customHeight="1" hidden="1">
      <c r="A337" s="214" t="s">
        <v>104</v>
      </c>
      <c r="B337" s="18" t="s">
        <v>279</v>
      </c>
      <c r="C337" s="18" t="s">
        <v>7</v>
      </c>
      <c r="D337" s="18" t="s">
        <v>19</v>
      </c>
      <c r="E337" s="18" t="s">
        <v>300</v>
      </c>
      <c r="F337" s="18" t="s">
        <v>105</v>
      </c>
      <c r="G337" s="30">
        <v>-195</v>
      </c>
      <c r="H337" s="30">
        <f>204.4+61</f>
        <v>265.4</v>
      </c>
      <c r="I337" s="30"/>
      <c r="J337" s="273"/>
      <c r="K337" s="257"/>
      <c r="L337" s="257" t="e">
        <f t="shared" si="39"/>
        <v>#DIV/0!</v>
      </c>
      <c r="M337" s="26"/>
      <c r="N337" s="27"/>
    </row>
    <row r="338" spans="1:15" ht="27" customHeight="1">
      <c r="A338" s="215" t="s">
        <v>156</v>
      </c>
      <c r="B338" s="18" t="s">
        <v>279</v>
      </c>
      <c r="C338" s="18" t="s">
        <v>7</v>
      </c>
      <c r="D338" s="18" t="s">
        <v>19</v>
      </c>
      <c r="E338" s="18" t="s">
        <v>300</v>
      </c>
      <c r="F338" s="18" t="s">
        <v>158</v>
      </c>
      <c r="G338" s="30"/>
      <c r="H338" s="30"/>
      <c r="I338" s="30"/>
      <c r="J338" s="273">
        <v>134.2</v>
      </c>
      <c r="K338" s="257">
        <v>132.7264</v>
      </c>
      <c r="L338" s="257">
        <f t="shared" si="39"/>
        <v>98.90193740685545</v>
      </c>
      <c r="M338" s="26"/>
      <c r="N338" s="27"/>
      <c r="O338" s="139"/>
    </row>
    <row r="339" spans="1:15" ht="27" customHeight="1">
      <c r="A339" s="221" t="s">
        <v>301</v>
      </c>
      <c r="B339" s="18" t="s">
        <v>279</v>
      </c>
      <c r="C339" s="18" t="s">
        <v>7</v>
      </c>
      <c r="D339" s="18" t="s">
        <v>19</v>
      </c>
      <c r="E339" s="18" t="s">
        <v>302</v>
      </c>
      <c r="F339" s="18"/>
      <c r="G339" s="30"/>
      <c r="H339" s="30"/>
      <c r="I339" s="30"/>
      <c r="J339" s="273">
        <f>J340</f>
        <v>500</v>
      </c>
      <c r="K339" s="273">
        <f>K340</f>
        <v>499.99906</v>
      </c>
      <c r="L339" s="257">
        <f t="shared" si="39"/>
        <v>99.999812</v>
      </c>
      <c r="M339" s="77">
        <f>M340</f>
        <v>0</v>
      </c>
      <c r="N339" s="77">
        <f>N340</f>
        <v>0</v>
      </c>
      <c r="O339" s="139"/>
    </row>
    <row r="340" spans="1:15" ht="27" customHeight="1">
      <c r="A340" s="215" t="s">
        <v>156</v>
      </c>
      <c r="B340" s="18" t="s">
        <v>279</v>
      </c>
      <c r="C340" s="18" t="s">
        <v>7</v>
      </c>
      <c r="D340" s="18" t="s">
        <v>19</v>
      </c>
      <c r="E340" s="18" t="s">
        <v>302</v>
      </c>
      <c r="F340" s="18" t="s">
        <v>158</v>
      </c>
      <c r="G340" s="30"/>
      <c r="H340" s="30"/>
      <c r="I340" s="30"/>
      <c r="J340" s="273">
        <v>500</v>
      </c>
      <c r="K340" s="257">
        <v>499.99906</v>
      </c>
      <c r="L340" s="257">
        <f t="shared" si="39"/>
        <v>99.999812</v>
      </c>
      <c r="M340" s="26"/>
      <c r="N340" s="27"/>
      <c r="O340" s="139"/>
    </row>
    <row r="341" spans="1:14" s="143" customFormat="1" ht="24">
      <c r="A341" s="217" t="s">
        <v>25</v>
      </c>
      <c r="B341" s="23" t="s">
        <v>279</v>
      </c>
      <c r="C341" s="23" t="s">
        <v>9</v>
      </c>
      <c r="D341" s="23"/>
      <c r="E341" s="23"/>
      <c r="F341" s="23"/>
      <c r="G341" s="17">
        <f aca="true" t="shared" si="45" ref="G341:N344">G342</f>
        <v>0</v>
      </c>
      <c r="H341" s="17">
        <f t="shared" si="45"/>
        <v>57.6</v>
      </c>
      <c r="I341" s="17">
        <f t="shared" si="45"/>
        <v>0</v>
      </c>
      <c r="J341" s="272">
        <f>J342+J348</f>
        <v>456.8</v>
      </c>
      <c r="K341" s="272">
        <f>K342+K348</f>
        <v>456.8</v>
      </c>
      <c r="L341" s="256">
        <f t="shared" si="39"/>
        <v>100</v>
      </c>
      <c r="M341" s="78">
        <f>M342+M348</f>
        <v>0</v>
      </c>
      <c r="N341" s="78" t="e">
        <f>N342+N348</f>
        <v>#DIV/0!</v>
      </c>
    </row>
    <row r="342" spans="1:14" s="121" customFormat="1" ht="36">
      <c r="A342" s="217" t="s">
        <v>303</v>
      </c>
      <c r="B342" s="23" t="s">
        <v>279</v>
      </c>
      <c r="C342" s="23" t="s">
        <v>9</v>
      </c>
      <c r="D342" s="23" t="s">
        <v>29</v>
      </c>
      <c r="E342" s="23"/>
      <c r="F342" s="23"/>
      <c r="G342" s="17">
        <f t="shared" si="45"/>
        <v>0</v>
      </c>
      <c r="H342" s="17">
        <f t="shared" si="45"/>
        <v>57.6</v>
      </c>
      <c r="I342" s="17">
        <f t="shared" si="45"/>
        <v>0</v>
      </c>
      <c r="J342" s="272">
        <f t="shared" si="45"/>
        <v>412.8</v>
      </c>
      <c r="K342" s="256">
        <f>K343</f>
        <v>412.8</v>
      </c>
      <c r="L342" s="256">
        <f t="shared" si="39"/>
        <v>100</v>
      </c>
      <c r="M342" s="38">
        <f t="shared" si="45"/>
        <v>0</v>
      </c>
      <c r="N342" s="53" t="e">
        <f t="shared" si="45"/>
        <v>#DIV/0!</v>
      </c>
    </row>
    <row r="343" spans="1:14" ht="36.75">
      <c r="A343" s="214" t="s">
        <v>304</v>
      </c>
      <c r="B343" s="18" t="s">
        <v>279</v>
      </c>
      <c r="C343" s="18" t="s">
        <v>9</v>
      </c>
      <c r="D343" s="18" t="s">
        <v>29</v>
      </c>
      <c r="E343" s="18" t="s">
        <v>305</v>
      </c>
      <c r="F343" s="18"/>
      <c r="G343" s="30">
        <f t="shared" si="45"/>
        <v>0</v>
      </c>
      <c r="H343" s="30">
        <f t="shared" si="45"/>
        <v>57.6</v>
      </c>
      <c r="I343" s="30">
        <f t="shared" si="45"/>
        <v>0</v>
      </c>
      <c r="J343" s="273">
        <f t="shared" si="45"/>
        <v>412.8</v>
      </c>
      <c r="K343" s="257">
        <f>K344</f>
        <v>412.8</v>
      </c>
      <c r="L343" s="257">
        <f t="shared" si="39"/>
        <v>100</v>
      </c>
      <c r="M343" s="26">
        <f t="shared" si="45"/>
        <v>0</v>
      </c>
      <c r="N343" s="27" t="e">
        <f t="shared" si="45"/>
        <v>#DIV/0!</v>
      </c>
    </row>
    <row r="344" spans="1:14" ht="36.75">
      <c r="A344" s="214" t="s">
        <v>306</v>
      </c>
      <c r="B344" s="18" t="s">
        <v>279</v>
      </c>
      <c r="C344" s="18" t="s">
        <v>9</v>
      </c>
      <c r="D344" s="18" t="s">
        <v>29</v>
      </c>
      <c r="E344" s="18" t="s">
        <v>307</v>
      </c>
      <c r="F344" s="18"/>
      <c r="G344" s="30">
        <f t="shared" si="45"/>
        <v>0</v>
      </c>
      <c r="H344" s="30">
        <f t="shared" si="45"/>
        <v>57.6</v>
      </c>
      <c r="I344" s="30">
        <f t="shared" si="45"/>
        <v>0</v>
      </c>
      <c r="J344" s="257">
        <f>J345+J346+J347</f>
        <v>412.8</v>
      </c>
      <c r="K344" s="257">
        <f>K345+K346+K347</f>
        <v>412.8</v>
      </c>
      <c r="L344" s="257">
        <f t="shared" si="39"/>
        <v>100</v>
      </c>
      <c r="M344" s="202">
        <f>M345+M346+M347</f>
        <v>0</v>
      </c>
      <c r="N344" s="202" t="e">
        <f>N345+N346+N347</f>
        <v>#DIV/0!</v>
      </c>
    </row>
    <row r="345" spans="1:14" ht="36.75" hidden="1">
      <c r="A345" s="214" t="s">
        <v>308</v>
      </c>
      <c r="B345" s="18" t="s">
        <v>279</v>
      </c>
      <c r="C345" s="18" t="s">
        <v>9</v>
      </c>
      <c r="D345" s="18" t="s">
        <v>29</v>
      </c>
      <c r="E345" s="18" t="s">
        <v>307</v>
      </c>
      <c r="F345" s="18" t="s">
        <v>309</v>
      </c>
      <c r="G345" s="30"/>
      <c r="H345" s="30">
        <v>57.6</v>
      </c>
      <c r="I345" s="30"/>
      <c r="J345" s="273"/>
      <c r="K345" s="257"/>
      <c r="L345" s="257" t="e">
        <f t="shared" si="39"/>
        <v>#DIV/0!</v>
      </c>
      <c r="M345" s="26"/>
      <c r="N345" s="27" t="e">
        <f>L345+M345</f>
        <v>#DIV/0!</v>
      </c>
    </row>
    <row r="346" spans="1:14" ht="24.75" customHeight="1">
      <c r="A346" s="215" t="s">
        <v>156</v>
      </c>
      <c r="B346" s="18" t="s">
        <v>279</v>
      </c>
      <c r="C346" s="18" t="s">
        <v>9</v>
      </c>
      <c r="D346" s="18" t="s">
        <v>29</v>
      </c>
      <c r="E346" s="18" t="s">
        <v>307</v>
      </c>
      <c r="F346" s="18" t="s">
        <v>158</v>
      </c>
      <c r="G346" s="30"/>
      <c r="H346" s="30"/>
      <c r="I346" s="30"/>
      <c r="J346" s="273">
        <v>60</v>
      </c>
      <c r="K346" s="257">
        <v>60</v>
      </c>
      <c r="L346" s="257">
        <f t="shared" si="39"/>
        <v>100</v>
      </c>
      <c r="M346" s="26"/>
      <c r="N346" s="27"/>
    </row>
    <row r="347" spans="1:14" ht="18" customHeight="1">
      <c r="A347" s="215" t="s">
        <v>522</v>
      </c>
      <c r="B347" s="18" t="s">
        <v>279</v>
      </c>
      <c r="C347" s="18" t="s">
        <v>9</v>
      </c>
      <c r="D347" s="18" t="s">
        <v>29</v>
      </c>
      <c r="E347" s="18" t="s">
        <v>307</v>
      </c>
      <c r="F347" s="18" t="s">
        <v>517</v>
      </c>
      <c r="G347" s="30"/>
      <c r="H347" s="30"/>
      <c r="I347" s="30"/>
      <c r="J347" s="273">
        <v>352.8</v>
      </c>
      <c r="K347" s="257">
        <v>352.8</v>
      </c>
      <c r="L347" s="257">
        <f aca="true" t="shared" si="46" ref="L347:L410">K347/J347*100</f>
        <v>100</v>
      </c>
      <c r="M347" s="26"/>
      <c r="N347" s="31"/>
    </row>
    <row r="348" spans="1:14" s="121" customFormat="1" ht="24">
      <c r="A348" s="234" t="s">
        <v>30</v>
      </c>
      <c r="B348" s="23" t="s">
        <v>279</v>
      </c>
      <c r="C348" s="23" t="s">
        <v>9</v>
      </c>
      <c r="D348" s="23" t="s">
        <v>21</v>
      </c>
      <c r="E348" s="23"/>
      <c r="F348" s="23"/>
      <c r="G348" s="17"/>
      <c r="H348" s="17"/>
      <c r="I348" s="17"/>
      <c r="J348" s="272">
        <f>J352+J349</f>
        <v>44</v>
      </c>
      <c r="K348" s="272">
        <f>K352+K349</f>
        <v>44</v>
      </c>
      <c r="L348" s="256">
        <f t="shared" si="46"/>
        <v>100</v>
      </c>
      <c r="M348" s="79">
        <f>M353+M355</f>
        <v>0</v>
      </c>
      <c r="N348" s="79">
        <f>N353+N355</f>
        <v>0</v>
      </c>
    </row>
    <row r="349" spans="1:14" ht="36.75">
      <c r="A349" s="235" t="s">
        <v>528</v>
      </c>
      <c r="B349" s="18" t="s">
        <v>279</v>
      </c>
      <c r="C349" s="18" t="s">
        <v>9</v>
      </c>
      <c r="D349" s="18" t="s">
        <v>21</v>
      </c>
      <c r="E349" s="18" t="s">
        <v>527</v>
      </c>
      <c r="F349" s="18"/>
      <c r="G349" s="30"/>
      <c r="H349" s="30"/>
      <c r="I349" s="30"/>
      <c r="J349" s="273">
        <f>J351+J350</f>
        <v>17.1</v>
      </c>
      <c r="K349" s="273">
        <f>K351+K350</f>
        <v>17.1</v>
      </c>
      <c r="L349" s="257">
        <f t="shared" si="46"/>
        <v>100</v>
      </c>
      <c r="M349" s="206">
        <f>M351</f>
        <v>0</v>
      </c>
      <c r="N349" s="206">
        <f>N351</f>
        <v>0</v>
      </c>
    </row>
    <row r="350" spans="1:14" ht="27" customHeight="1">
      <c r="A350" s="215" t="s">
        <v>156</v>
      </c>
      <c r="B350" s="18" t="s">
        <v>279</v>
      </c>
      <c r="C350" s="18" t="s">
        <v>9</v>
      </c>
      <c r="D350" s="18" t="s">
        <v>21</v>
      </c>
      <c r="E350" s="18" t="s">
        <v>527</v>
      </c>
      <c r="F350" s="18" t="s">
        <v>158</v>
      </c>
      <c r="G350" s="30"/>
      <c r="H350" s="30"/>
      <c r="I350" s="30"/>
      <c r="J350" s="273">
        <v>17.1</v>
      </c>
      <c r="K350" s="273">
        <v>17.1</v>
      </c>
      <c r="L350" s="257">
        <f t="shared" si="46"/>
        <v>100</v>
      </c>
      <c r="M350" s="244"/>
      <c r="N350" s="244"/>
    </row>
    <row r="351" spans="1:14" ht="15" hidden="1">
      <c r="A351" s="215" t="s">
        <v>522</v>
      </c>
      <c r="B351" s="18" t="s">
        <v>279</v>
      </c>
      <c r="C351" s="18" t="s">
        <v>9</v>
      </c>
      <c r="D351" s="18" t="s">
        <v>21</v>
      </c>
      <c r="E351" s="18" t="s">
        <v>527</v>
      </c>
      <c r="F351" s="18" t="s">
        <v>517</v>
      </c>
      <c r="G351" s="30"/>
      <c r="H351" s="30"/>
      <c r="I351" s="30"/>
      <c r="J351" s="273">
        <v>0</v>
      </c>
      <c r="K351" s="273">
        <v>0</v>
      </c>
      <c r="L351" s="257" t="e">
        <f t="shared" si="46"/>
        <v>#DIV/0!</v>
      </c>
      <c r="M351" s="77"/>
      <c r="N351" s="77"/>
    </row>
    <row r="352" spans="1:14" s="121" customFormat="1" ht="14.25">
      <c r="A352" s="214" t="s">
        <v>340</v>
      </c>
      <c r="B352" s="18" t="s">
        <v>279</v>
      </c>
      <c r="C352" s="18" t="s">
        <v>9</v>
      </c>
      <c r="D352" s="18" t="s">
        <v>21</v>
      </c>
      <c r="E352" s="18" t="s">
        <v>269</v>
      </c>
      <c r="F352" s="18"/>
      <c r="G352" s="30"/>
      <c r="H352" s="30"/>
      <c r="I352" s="30"/>
      <c r="J352" s="273">
        <f>J353+J355</f>
        <v>26.9</v>
      </c>
      <c r="K352" s="273">
        <f>K353+K355</f>
        <v>26.9</v>
      </c>
      <c r="L352" s="257">
        <f t="shared" si="46"/>
        <v>100</v>
      </c>
      <c r="M352" s="79"/>
      <c r="N352" s="79"/>
    </row>
    <row r="353" spans="1:14" ht="48">
      <c r="A353" s="221" t="s">
        <v>310</v>
      </c>
      <c r="B353" s="18" t="s">
        <v>279</v>
      </c>
      <c r="C353" s="18" t="s">
        <v>9</v>
      </c>
      <c r="D353" s="18" t="s">
        <v>21</v>
      </c>
      <c r="E353" s="18" t="s">
        <v>311</v>
      </c>
      <c r="F353" s="18"/>
      <c r="G353" s="30"/>
      <c r="H353" s="30"/>
      <c r="I353" s="30"/>
      <c r="J353" s="273">
        <f>J354</f>
        <v>15</v>
      </c>
      <c r="K353" s="273">
        <f>K354</f>
        <v>15</v>
      </c>
      <c r="L353" s="257">
        <f t="shared" si="46"/>
        <v>100</v>
      </c>
      <c r="M353" s="77">
        <f>M354</f>
        <v>0</v>
      </c>
      <c r="N353" s="77">
        <f>N354</f>
        <v>0</v>
      </c>
    </row>
    <row r="354" spans="1:14" ht="24.75" customHeight="1">
      <c r="A354" s="215" t="s">
        <v>156</v>
      </c>
      <c r="B354" s="18" t="s">
        <v>279</v>
      </c>
      <c r="C354" s="18" t="s">
        <v>9</v>
      </c>
      <c r="D354" s="18" t="s">
        <v>21</v>
      </c>
      <c r="E354" s="18" t="s">
        <v>311</v>
      </c>
      <c r="F354" s="18" t="s">
        <v>158</v>
      </c>
      <c r="G354" s="30"/>
      <c r="H354" s="30"/>
      <c r="I354" s="30"/>
      <c r="J354" s="273">
        <v>15</v>
      </c>
      <c r="K354" s="273">
        <v>15</v>
      </c>
      <c r="L354" s="257">
        <f t="shared" si="46"/>
        <v>100</v>
      </c>
      <c r="M354" s="77"/>
      <c r="N354" s="77"/>
    </row>
    <row r="355" spans="1:14" ht="36">
      <c r="A355" s="215" t="s">
        <v>312</v>
      </c>
      <c r="B355" s="18" t="s">
        <v>279</v>
      </c>
      <c r="C355" s="18" t="s">
        <v>9</v>
      </c>
      <c r="D355" s="18" t="s">
        <v>21</v>
      </c>
      <c r="E355" s="18" t="s">
        <v>313</v>
      </c>
      <c r="F355" s="18"/>
      <c r="G355" s="30"/>
      <c r="H355" s="30"/>
      <c r="I355" s="30"/>
      <c r="J355" s="273">
        <f>J356+J357</f>
        <v>11.9</v>
      </c>
      <c r="K355" s="273">
        <f>K356+K357</f>
        <v>11.9</v>
      </c>
      <c r="L355" s="257">
        <f t="shared" si="46"/>
        <v>100</v>
      </c>
      <c r="M355" s="77">
        <f>M356</f>
        <v>0</v>
      </c>
      <c r="N355" s="77">
        <f>N356</f>
        <v>0</v>
      </c>
    </row>
    <row r="356" spans="1:14" ht="26.25" customHeight="1">
      <c r="A356" s="215" t="s">
        <v>156</v>
      </c>
      <c r="B356" s="18" t="s">
        <v>279</v>
      </c>
      <c r="C356" s="18" t="s">
        <v>9</v>
      </c>
      <c r="D356" s="18" t="s">
        <v>21</v>
      </c>
      <c r="E356" s="18" t="s">
        <v>313</v>
      </c>
      <c r="F356" s="18" t="s">
        <v>158</v>
      </c>
      <c r="G356" s="30"/>
      <c r="H356" s="30"/>
      <c r="I356" s="30"/>
      <c r="J356" s="273">
        <v>11.9</v>
      </c>
      <c r="K356" s="257">
        <v>11.9</v>
      </c>
      <c r="L356" s="257">
        <f t="shared" si="46"/>
        <v>100</v>
      </c>
      <c r="M356" s="26"/>
      <c r="N356" s="27"/>
    </row>
    <row r="357" spans="1:14" ht="15" hidden="1">
      <c r="A357" s="215" t="s">
        <v>522</v>
      </c>
      <c r="B357" s="18" t="s">
        <v>279</v>
      </c>
      <c r="C357" s="18" t="s">
        <v>9</v>
      </c>
      <c r="D357" s="18" t="s">
        <v>21</v>
      </c>
      <c r="E357" s="18" t="s">
        <v>313</v>
      </c>
      <c r="F357" s="18" t="s">
        <v>517</v>
      </c>
      <c r="G357" s="30"/>
      <c r="H357" s="30"/>
      <c r="I357" s="30"/>
      <c r="J357" s="273">
        <v>0</v>
      </c>
      <c r="K357" s="257"/>
      <c r="L357" s="257" t="e">
        <f t="shared" si="46"/>
        <v>#DIV/0!</v>
      </c>
      <c r="M357" s="26"/>
      <c r="N357" s="27"/>
    </row>
    <row r="358" spans="1:14" s="143" customFormat="1" ht="14.25">
      <c r="A358" s="217" t="s">
        <v>31</v>
      </c>
      <c r="B358" s="23" t="s">
        <v>279</v>
      </c>
      <c r="C358" s="23" t="s">
        <v>10</v>
      </c>
      <c r="D358" s="23"/>
      <c r="E358" s="23"/>
      <c r="F358" s="23"/>
      <c r="G358" s="17" t="e">
        <f>G359+G364+#REF!</f>
        <v>#REF!</v>
      </c>
      <c r="H358" s="20" t="e">
        <f>H359+H364+#REF!+#REF!</f>
        <v>#REF!</v>
      </c>
      <c r="I358" s="20" t="e">
        <f>I359+I364+#REF!+#REF!</f>
        <v>#REF!</v>
      </c>
      <c r="J358" s="272">
        <f>J359+J364</f>
        <v>7412.177000000001</v>
      </c>
      <c r="K358" s="272">
        <f>K359+K364</f>
        <v>7336.088580000001</v>
      </c>
      <c r="L358" s="256">
        <f t="shared" si="46"/>
        <v>98.9734673092669</v>
      </c>
      <c r="M358" s="28" t="e">
        <f>M359+M364+#REF!+#REF!</f>
        <v>#REF!</v>
      </c>
      <c r="N358" s="29" t="e">
        <f>N359+N364+#REF!+#REF!</f>
        <v>#DIV/0!</v>
      </c>
    </row>
    <row r="359" spans="1:14" s="121" customFormat="1" ht="14.25">
      <c r="A359" s="217" t="s">
        <v>34</v>
      </c>
      <c r="B359" s="23" t="s">
        <v>279</v>
      </c>
      <c r="C359" s="23" t="s">
        <v>10</v>
      </c>
      <c r="D359" s="23" t="s">
        <v>12</v>
      </c>
      <c r="E359" s="23"/>
      <c r="F359" s="23"/>
      <c r="G359" s="17">
        <f>G361</f>
        <v>0</v>
      </c>
      <c r="H359" s="17">
        <f>H361</f>
        <v>167.68</v>
      </c>
      <c r="I359" s="17">
        <f>I361</f>
        <v>0</v>
      </c>
      <c r="J359" s="272">
        <f>J360</f>
        <v>445</v>
      </c>
      <c r="K359" s="272">
        <f>K360</f>
        <v>445</v>
      </c>
      <c r="L359" s="256">
        <f t="shared" si="46"/>
        <v>100</v>
      </c>
      <c r="M359" s="38">
        <f>M361</f>
        <v>0</v>
      </c>
      <c r="N359" s="53" t="e">
        <f>N361</f>
        <v>#DIV/0!</v>
      </c>
    </row>
    <row r="360" spans="1:14" ht="15">
      <c r="A360" s="214" t="s">
        <v>340</v>
      </c>
      <c r="B360" s="18" t="s">
        <v>279</v>
      </c>
      <c r="C360" s="18" t="s">
        <v>10</v>
      </c>
      <c r="D360" s="18" t="s">
        <v>12</v>
      </c>
      <c r="E360" s="18" t="s">
        <v>269</v>
      </c>
      <c r="F360" s="18"/>
      <c r="G360" s="30"/>
      <c r="H360" s="30"/>
      <c r="I360" s="30"/>
      <c r="J360" s="273">
        <f>J361</f>
        <v>445</v>
      </c>
      <c r="K360" s="273">
        <f>K361</f>
        <v>445</v>
      </c>
      <c r="L360" s="257">
        <f t="shared" si="46"/>
        <v>100</v>
      </c>
      <c r="M360" s="26"/>
      <c r="N360" s="27"/>
    </row>
    <row r="361" spans="1:14" ht="24.75">
      <c r="A361" s="214" t="s">
        <v>314</v>
      </c>
      <c r="B361" s="18" t="s">
        <v>279</v>
      </c>
      <c r="C361" s="18" t="s">
        <v>10</v>
      </c>
      <c r="D361" s="18" t="s">
        <v>12</v>
      </c>
      <c r="E361" s="18" t="s">
        <v>315</v>
      </c>
      <c r="F361" s="18"/>
      <c r="G361" s="30">
        <f aca="true" t="shared" si="47" ref="G361:N361">G362</f>
        <v>0</v>
      </c>
      <c r="H361" s="30">
        <f t="shared" si="47"/>
        <v>167.68</v>
      </c>
      <c r="I361" s="30">
        <f t="shared" si="47"/>
        <v>0</v>
      </c>
      <c r="J361" s="257">
        <f>J362+J363</f>
        <v>445</v>
      </c>
      <c r="K361" s="257">
        <f>K362+K363</f>
        <v>445</v>
      </c>
      <c r="L361" s="257">
        <f t="shared" si="46"/>
        <v>100</v>
      </c>
      <c r="M361" s="26">
        <f t="shared" si="47"/>
        <v>0</v>
      </c>
      <c r="N361" s="27" t="e">
        <f t="shared" si="47"/>
        <v>#DIV/0!</v>
      </c>
    </row>
    <row r="362" spans="1:14" ht="30.75" customHeight="1" hidden="1">
      <c r="A362" s="214" t="s">
        <v>316</v>
      </c>
      <c r="B362" s="18" t="s">
        <v>279</v>
      </c>
      <c r="C362" s="18" t="s">
        <v>10</v>
      </c>
      <c r="D362" s="18" t="s">
        <v>12</v>
      </c>
      <c r="E362" s="18" t="s">
        <v>315</v>
      </c>
      <c r="F362" s="18" t="s">
        <v>317</v>
      </c>
      <c r="G362" s="30"/>
      <c r="H362" s="24">
        <v>167.68</v>
      </c>
      <c r="I362" s="30"/>
      <c r="J362" s="273"/>
      <c r="K362" s="257"/>
      <c r="L362" s="257" t="e">
        <f t="shared" si="46"/>
        <v>#DIV/0!</v>
      </c>
      <c r="M362" s="26"/>
      <c r="N362" s="27" t="e">
        <f>L362+M362</f>
        <v>#DIV/0!</v>
      </c>
    </row>
    <row r="363" spans="1:14" ht="30" customHeight="1">
      <c r="A363" s="215" t="s">
        <v>156</v>
      </c>
      <c r="B363" s="18" t="s">
        <v>279</v>
      </c>
      <c r="C363" s="18" t="s">
        <v>10</v>
      </c>
      <c r="D363" s="18" t="s">
        <v>12</v>
      </c>
      <c r="E363" s="18" t="s">
        <v>315</v>
      </c>
      <c r="F363" s="18" t="s">
        <v>158</v>
      </c>
      <c r="G363" s="30"/>
      <c r="H363" s="24"/>
      <c r="I363" s="30"/>
      <c r="J363" s="273">
        <v>445</v>
      </c>
      <c r="K363" s="257">
        <v>445</v>
      </c>
      <c r="L363" s="257">
        <f t="shared" si="46"/>
        <v>100</v>
      </c>
      <c r="M363" s="26"/>
      <c r="N363" s="27"/>
    </row>
    <row r="364" spans="1:14" s="121" customFormat="1" ht="14.25">
      <c r="A364" s="214" t="s">
        <v>318</v>
      </c>
      <c r="B364" s="23" t="s">
        <v>279</v>
      </c>
      <c r="C364" s="23" t="s">
        <v>10</v>
      </c>
      <c r="D364" s="23" t="s">
        <v>18</v>
      </c>
      <c r="E364" s="23"/>
      <c r="F364" s="23"/>
      <c r="G364" s="17" t="e">
        <f>G365+G370+#REF!</f>
        <v>#REF!</v>
      </c>
      <c r="H364" s="17" t="e">
        <f>H365+H370+#REF!</f>
        <v>#REF!</v>
      </c>
      <c r="I364" s="17" t="e">
        <f>I365+I370+#REF!</f>
        <v>#REF!</v>
      </c>
      <c r="J364" s="272">
        <f>J365+J370+J368+J377</f>
        <v>6967.177000000001</v>
      </c>
      <c r="K364" s="272">
        <f>K365+K370+K368+K377</f>
        <v>6891.088580000001</v>
      </c>
      <c r="L364" s="256">
        <f t="shared" si="46"/>
        <v>98.90790172260587</v>
      </c>
      <c r="M364" s="79" t="e">
        <f>M365+M370+#REF!+M368</f>
        <v>#REF!</v>
      </c>
      <c r="N364" s="79" t="e">
        <f>N365+N370+#REF!+N368</f>
        <v>#DIV/0!</v>
      </c>
    </row>
    <row r="365" spans="1:14" ht="24.75">
      <c r="A365" s="214" t="s">
        <v>323</v>
      </c>
      <c r="B365" s="18" t="s">
        <v>279</v>
      </c>
      <c r="C365" s="18" t="s">
        <v>10</v>
      </c>
      <c r="D365" s="18" t="s">
        <v>18</v>
      </c>
      <c r="E365" s="18" t="s">
        <v>324</v>
      </c>
      <c r="F365" s="18"/>
      <c r="G365" s="25">
        <f>G366+G367</f>
        <v>2750</v>
      </c>
      <c r="H365" s="25">
        <f>H366+H367</f>
        <v>1620.1</v>
      </c>
      <c r="I365" s="25">
        <f>I366+I367</f>
        <v>0</v>
      </c>
      <c r="J365" s="257">
        <f>J366+J367</f>
        <v>4400.94</v>
      </c>
      <c r="K365" s="257">
        <f>K366+K367</f>
        <v>4400.939</v>
      </c>
      <c r="L365" s="257">
        <f t="shared" si="46"/>
        <v>99.99997727758162</v>
      </c>
      <c r="M365" s="26">
        <f>M366</f>
        <v>0</v>
      </c>
      <c r="N365" s="27" t="e">
        <f>N366</f>
        <v>#DIV/0!</v>
      </c>
    </row>
    <row r="366" spans="1:14" ht="24.75" hidden="1">
      <c r="A366" s="214" t="s">
        <v>102</v>
      </c>
      <c r="B366" s="18" t="s">
        <v>279</v>
      </c>
      <c r="C366" s="18" t="s">
        <v>10</v>
      </c>
      <c r="D366" s="18" t="s">
        <v>18</v>
      </c>
      <c r="E366" s="18" t="s">
        <v>324</v>
      </c>
      <c r="F366" s="18" t="s">
        <v>101</v>
      </c>
      <c r="G366" s="30">
        <f>2377+151+222</f>
        <v>2750</v>
      </c>
      <c r="H366" s="30">
        <f>1358.1+262</f>
        <v>1620.1</v>
      </c>
      <c r="I366" s="30"/>
      <c r="J366" s="273"/>
      <c r="K366" s="257"/>
      <c r="L366" s="257" t="e">
        <f t="shared" si="46"/>
        <v>#DIV/0!</v>
      </c>
      <c r="M366" s="26"/>
      <c r="N366" s="27" t="e">
        <f>L366+M366</f>
        <v>#DIV/0!</v>
      </c>
    </row>
    <row r="367" spans="1:14" ht="36">
      <c r="A367" s="215" t="s">
        <v>156</v>
      </c>
      <c r="B367" s="18" t="s">
        <v>279</v>
      </c>
      <c r="C367" s="18" t="s">
        <v>10</v>
      </c>
      <c r="D367" s="18" t="s">
        <v>18</v>
      </c>
      <c r="E367" s="18" t="s">
        <v>324</v>
      </c>
      <c r="F367" s="18" t="s">
        <v>158</v>
      </c>
      <c r="G367" s="30"/>
      <c r="H367" s="30"/>
      <c r="I367" s="30"/>
      <c r="J367" s="273">
        <v>4400.94</v>
      </c>
      <c r="K367" s="257">
        <v>4400.939</v>
      </c>
      <c r="L367" s="257">
        <f t="shared" si="46"/>
        <v>99.99997727758162</v>
      </c>
      <c r="M367" s="26"/>
      <c r="N367" s="27"/>
    </row>
    <row r="368" spans="1:14" ht="15">
      <c r="A368" s="215" t="s">
        <v>325</v>
      </c>
      <c r="B368" s="18" t="s">
        <v>279</v>
      </c>
      <c r="C368" s="18" t="s">
        <v>10</v>
      </c>
      <c r="D368" s="18" t="s">
        <v>18</v>
      </c>
      <c r="E368" s="18" t="s">
        <v>326</v>
      </c>
      <c r="F368" s="18"/>
      <c r="G368" s="30"/>
      <c r="H368" s="30"/>
      <c r="I368" s="30"/>
      <c r="J368" s="273">
        <f>J369</f>
        <v>882.041</v>
      </c>
      <c r="K368" s="273">
        <f>K369</f>
        <v>882.041</v>
      </c>
      <c r="L368" s="257">
        <f t="shared" si="46"/>
        <v>100</v>
      </c>
      <c r="M368" s="77">
        <f>M369</f>
        <v>0</v>
      </c>
      <c r="N368" s="77">
        <f>N369</f>
        <v>0</v>
      </c>
    </row>
    <row r="369" spans="1:14" ht="48.75" customHeight="1">
      <c r="A369" s="215" t="s">
        <v>134</v>
      </c>
      <c r="B369" s="18" t="s">
        <v>279</v>
      </c>
      <c r="C369" s="18" t="s">
        <v>10</v>
      </c>
      <c r="D369" s="18" t="s">
        <v>18</v>
      </c>
      <c r="E369" s="18" t="s">
        <v>326</v>
      </c>
      <c r="F369" s="18" t="s">
        <v>135</v>
      </c>
      <c r="G369" s="30"/>
      <c r="H369" s="30"/>
      <c r="I369" s="30"/>
      <c r="J369" s="273">
        <v>882.041</v>
      </c>
      <c r="K369" s="257">
        <v>882.041</v>
      </c>
      <c r="L369" s="257">
        <f t="shared" si="46"/>
        <v>100</v>
      </c>
      <c r="M369" s="26"/>
      <c r="N369" s="27"/>
    </row>
    <row r="370" spans="1:14" ht="30" customHeight="1">
      <c r="A370" s="214" t="s">
        <v>327</v>
      </c>
      <c r="B370" s="18" t="s">
        <v>279</v>
      </c>
      <c r="C370" s="18" t="s">
        <v>10</v>
      </c>
      <c r="D370" s="18" t="s">
        <v>18</v>
      </c>
      <c r="E370" s="18" t="s">
        <v>328</v>
      </c>
      <c r="F370" s="18"/>
      <c r="G370" s="30">
        <f>G373</f>
        <v>550</v>
      </c>
      <c r="H370" s="30">
        <f>H373</f>
        <v>314.4</v>
      </c>
      <c r="I370" s="30">
        <f>I373</f>
        <v>0</v>
      </c>
      <c r="J370" s="273">
        <f>J373+J371</f>
        <v>1664.096</v>
      </c>
      <c r="K370" s="273">
        <f>K373+K371</f>
        <v>1608.10858</v>
      </c>
      <c r="L370" s="257">
        <f t="shared" si="46"/>
        <v>96.63556549622137</v>
      </c>
      <c r="M370" s="26">
        <f>M373</f>
        <v>0</v>
      </c>
      <c r="N370" s="27">
        <f>N373</f>
        <v>100</v>
      </c>
    </row>
    <row r="371" spans="1:14" ht="15">
      <c r="A371" s="215" t="s">
        <v>501</v>
      </c>
      <c r="B371" s="18" t="s">
        <v>279</v>
      </c>
      <c r="C371" s="18" t="s">
        <v>10</v>
      </c>
      <c r="D371" s="18" t="s">
        <v>18</v>
      </c>
      <c r="E371" s="18" t="s">
        <v>500</v>
      </c>
      <c r="F371" s="18"/>
      <c r="G371" s="30"/>
      <c r="H371" s="30"/>
      <c r="I371" s="30"/>
      <c r="J371" s="273">
        <f>J372</f>
        <v>800</v>
      </c>
      <c r="K371" s="273">
        <f>K372</f>
        <v>800</v>
      </c>
      <c r="L371" s="257">
        <f t="shared" si="46"/>
        <v>100</v>
      </c>
      <c r="M371" s="26"/>
      <c r="N371" s="27"/>
    </row>
    <row r="372" spans="1:14" ht="15">
      <c r="A372" s="215" t="s">
        <v>173</v>
      </c>
      <c r="B372" s="18" t="s">
        <v>279</v>
      </c>
      <c r="C372" s="18" t="s">
        <v>10</v>
      </c>
      <c r="D372" s="18" t="s">
        <v>18</v>
      </c>
      <c r="E372" s="18" t="s">
        <v>500</v>
      </c>
      <c r="F372" s="18" t="s">
        <v>174</v>
      </c>
      <c r="G372" s="30"/>
      <c r="H372" s="30"/>
      <c r="I372" s="30"/>
      <c r="J372" s="273">
        <v>800</v>
      </c>
      <c r="K372" s="257">
        <v>800</v>
      </c>
      <c r="L372" s="257">
        <f t="shared" si="46"/>
        <v>100</v>
      </c>
      <c r="M372" s="26"/>
      <c r="N372" s="27"/>
    </row>
    <row r="373" spans="1:14" ht="24.75">
      <c r="A373" s="214" t="s">
        <v>329</v>
      </c>
      <c r="B373" s="18" t="s">
        <v>279</v>
      </c>
      <c r="C373" s="18" t="s">
        <v>10</v>
      </c>
      <c r="D373" s="18" t="s">
        <v>18</v>
      </c>
      <c r="E373" s="18" t="s">
        <v>330</v>
      </c>
      <c r="F373" s="18"/>
      <c r="G373" s="30">
        <f aca="true" t="shared" si="48" ref="G373:N373">G374</f>
        <v>550</v>
      </c>
      <c r="H373" s="30">
        <f t="shared" si="48"/>
        <v>314.4</v>
      </c>
      <c r="I373" s="30">
        <f t="shared" si="48"/>
        <v>0</v>
      </c>
      <c r="J373" s="257">
        <f>J374+J375+J376</f>
        <v>864.096</v>
      </c>
      <c r="K373" s="257">
        <f>K374+K375+K376</f>
        <v>808.1085800000001</v>
      </c>
      <c r="L373" s="257">
        <f t="shared" si="46"/>
        <v>93.52069445987485</v>
      </c>
      <c r="M373" s="26">
        <f t="shared" si="48"/>
        <v>0</v>
      </c>
      <c r="N373" s="27">
        <f t="shared" si="48"/>
        <v>100</v>
      </c>
    </row>
    <row r="374" spans="1:14" ht="36">
      <c r="A374" s="215" t="s">
        <v>169</v>
      </c>
      <c r="B374" s="18" t="s">
        <v>279</v>
      </c>
      <c r="C374" s="18" t="s">
        <v>10</v>
      </c>
      <c r="D374" s="18" t="s">
        <v>18</v>
      </c>
      <c r="E374" s="18" t="s">
        <v>330</v>
      </c>
      <c r="F374" s="18" t="s">
        <v>170</v>
      </c>
      <c r="G374" s="30">
        <v>550</v>
      </c>
      <c r="H374" s="30">
        <v>314.4</v>
      </c>
      <c r="I374" s="30"/>
      <c r="J374" s="273">
        <v>353.831</v>
      </c>
      <c r="K374" s="257">
        <v>353.831</v>
      </c>
      <c r="L374" s="257">
        <f t="shared" si="46"/>
        <v>100</v>
      </c>
      <c r="M374" s="26"/>
      <c r="N374" s="27">
        <f>L374+M374</f>
        <v>100</v>
      </c>
    </row>
    <row r="375" spans="1:14" ht="25.5" customHeight="1">
      <c r="A375" s="215" t="s">
        <v>156</v>
      </c>
      <c r="B375" s="18" t="s">
        <v>279</v>
      </c>
      <c r="C375" s="18" t="s">
        <v>10</v>
      </c>
      <c r="D375" s="18" t="s">
        <v>18</v>
      </c>
      <c r="E375" s="18" t="s">
        <v>330</v>
      </c>
      <c r="F375" s="18" t="s">
        <v>158</v>
      </c>
      <c r="G375" s="30"/>
      <c r="H375" s="30"/>
      <c r="I375" s="30"/>
      <c r="J375" s="273">
        <v>494.765</v>
      </c>
      <c r="K375" s="257">
        <v>438.77758</v>
      </c>
      <c r="L375" s="257">
        <f t="shared" si="46"/>
        <v>88.68403787656767</v>
      </c>
      <c r="M375" s="26"/>
      <c r="N375" s="27"/>
    </row>
    <row r="376" spans="1:14" ht="25.5" customHeight="1">
      <c r="A376" s="223" t="s">
        <v>173</v>
      </c>
      <c r="B376" s="18" t="s">
        <v>279</v>
      </c>
      <c r="C376" s="18" t="s">
        <v>10</v>
      </c>
      <c r="D376" s="18" t="s">
        <v>18</v>
      </c>
      <c r="E376" s="18" t="s">
        <v>330</v>
      </c>
      <c r="F376" s="18" t="s">
        <v>174</v>
      </c>
      <c r="G376" s="30"/>
      <c r="H376" s="30"/>
      <c r="I376" s="30"/>
      <c r="J376" s="273">
        <v>15.5</v>
      </c>
      <c r="K376" s="257">
        <v>15.5</v>
      </c>
      <c r="L376" s="257">
        <f t="shared" si="46"/>
        <v>100</v>
      </c>
      <c r="M376" s="26"/>
      <c r="N376" s="31"/>
    </row>
    <row r="377" spans="1:14" ht="15">
      <c r="A377" s="215" t="s">
        <v>340</v>
      </c>
      <c r="B377" s="18" t="s">
        <v>279</v>
      </c>
      <c r="C377" s="18" t="s">
        <v>10</v>
      </c>
      <c r="D377" s="18" t="s">
        <v>18</v>
      </c>
      <c r="E377" s="18" t="s">
        <v>269</v>
      </c>
      <c r="F377" s="18"/>
      <c r="G377" s="30"/>
      <c r="H377" s="30"/>
      <c r="I377" s="30"/>
      <c r="J377" s="273">
        <f>J380</f>
        <v>20.1</v>
      </c>
      <c r="K377" s="273">
        <f>K380</f>
        <v>0</v>
      </c>
      <c r="L377" s="257">
        <f t="shared" si="46"/>
        <v>0</v>
      </c>
      <c r="M377" s="26"/>
      <c r="N377" s="31"/>
    </row>
    <row r="378" spans="1:14" ht="36.75" hidden="1">
      <c r="A378" s="231" t="s">
        <v>471</v>
      </c>
      <c r="B378" s="18" t="s">
        <v>279</v>
      </c>
      <c r="C378" s="18" t="s">
        <v>10</v>
      </c>
      <c r="D378" s="18" t="s">
        <v>18</v>
      </c>
      <c r="E378" s="18" t="s">
        <v>470</v>
      </c>
      <c r="F378" s="18"/>
      <c r="G378" s="30"/>
      <c r="H378" s="30"/>
      <c r="I378" s="30"/>
      <c r="J378" s="273">
        <f>J379</f>
        <v>0</v>
      </c>
      <c r="K378" s="273">
        <f>K379</f>
        <v>0</v>
      </c>
      <c r="L378" s="257" t="e">
        <f t="shared" si="46"/>
        <v>#DIV/0!</v>
      </c>
      <c r="M378" s="26"/>
      <c r="N378" s="31"/>
    </row>
    <row r="379" spans="1:14" ht="24.75" customHeight="1" hidden="1">
      <c r="A379" s="215" t="s">
        <v>156</v>
      </c>
      <c r="B379" s="18" t="s">
        <v>279</v>
      </c>
      <c r="C379" s="18" t="s">
        <v>10</v>
      </c>
      <c r="D379" s="18" t="s">
        <v>18</v>
      </c>
      <c r="E379" s="18" t="s">
        <v>470</v>
      </c>
      <c r="F379" s="18" t="s">
        <v>158</v>
      </c>
      <c r="G379" s="30"/>
      <c r="H379" s="30"/>
      <c r="I379" s="30"/>
      <c r="J379" s="273">
        <v>0</v>
      </c>
      <c r="K379" s="257"/>
      <c r="L379" s="257" t="e">
        <f t="shared" si="46"/>
        <v>#DIV/0!</v>
      </c>
      <c r="M379" s="26"/>
      <c r="N379" s="31"/>
    </row>
    <row r="380" spans="1:14" ht="24.75">
      <c r="A380" s="289" t="s">
        <v>478</v>
      </c>
      <c r="B380" s="18" t="s">
        <v>279</v>
      </c>
      <c r="C380" s="18" t="s">
        <v>10</v>
      </c>
      <c r="D380" s="18" t="s">
        <v>161</v>
      </c>
      <c r="E380" s="18" t="s">
        <v>479</v>
      </c>
      <c r="F380" s="18"/>
      <c r="G380" s="30"/>
      <c r="H380" s="30"/>
      <c r="I380" s="30"/>
      <c r="J380" s="273">
        <f>J381</f>
        <v>20.1</v>
      </c>
      <c r="K380" s="273">
        <f>K381</f>
        <v>0</v>
      </c>
      <c r="L380" s="257">
        <f t="shared" si="46"/>
        <v>0</v>
      </c>
      <c r="M380" s="26"/>
      <c r="N380" s="31"/>
    </row>
    <row r="381" spans="1:14" ht="29.25" customHeight="1">
      <c r="A381" s="215" t="s">
        <v>156</v>
      </c>
      <c r="B381" s="18" t="s">
        <v>279</v>
      </c>
      <c r="C381" s="18" t="s">
        <v>10</v>
      </c>
      <c r="D381" s="18" t="s">
        <v>161</v>
      </c>
      <c r="E381" s="18" t="s">
        <v>479</v>
      </c>
      <c r="F381" s="18" t="s">
        <v>158</v>
      </c>
      <c r="G381" s="30"/>
      <c r="H381" s="30"/>
      <c r="I381" s="30"/>
      <c r="J381" s="273">
        <v>20.1</v>
      </c>
      <c r="K381" s="257">
        <v>0</v>
      </c>
      <c r="L381" s="257">
        <f t="shared" si="46"/>
        <v>0</v>
      </c>
      <c r="M381" s="26"/>
      <c r="N381" s="31"/>
    </row>
    <row r="382" spans="1:14" s="143" customFormat="1" ht="14.25">
      <c r="A382" s="217" t="s">
        <v>237</v>
      </c>
      <c r="B382" s="23" t="s">
        <v>279</v>
      </c>
      <c r="C382" s="23" t="s">
        <v>12</v>
      </c>
      <c r="D382" s="23"/>
      <c r="E382" s="23"/>
      <c r="F382" s="23"/>
      <c r="G382" s="17" t="e">
        <f>G383+G396+G420+#REF!</f>
        <v>#REF!</v>
      </c>
      <c r="H382" s="17" t="e">
        <f>H383+H396+H420+#REF!</f>
        <v>#REF!</v>
      </c>
      <c r="I382" s="17" t="e">
        <f>I383+I396+I420+#REF!</f>
        <v>#REF!</v>
      </c>
      <c r="J382" s="256">
        <f>J383+J396+J420</f>
        <v>35408.9103</v>
      </c>
      <c r="K382" s="256">
        <f>K383+K396+K420</f>
        <v>35047.56558</v>
      </c>
      <c r="L382" s="257">
        <f t="shared" si="46"/>
        <v>98.9795090644176</v>
      </c>
      <c r="M382" s="28" t="e">
        <f>M383+M396+M420+#REF!</f>
        <v>#REF!</v>
      </c>
      <c r="N382" s="80" t="e">
        <f>N383+N396+N420+#REF!</f>
        <v>#REF!</v>
      </c>
    </row>
    <row r="383" spans="1:14" s="121" customFormat="1" ht="15" customHeight="1">
      <c r="A383" s="217" t="s">
        <v>39</v>
      </c>
      <c r="B383" s="23" t="s">
        <v>279</v>
      </c>
      <c r="C383" s="23" t="s">
        <v>12</v>
      </c>
      <c r="D383" s="23" t="s">
        <v>7</v>
      </c>
      <c r="E383" s="23"/>
      <c r="F383" s="23"/>
      <c r="G383" s="17">
        <f>G391</f>
        <v>-40</v>
      </c>
      <c r="H383" s="20" t="e">
        <f>H391+#REF!+#REF!</f>
        <v>#REF!</v>
      </c>
      <c r="I383" s="20" t="e">
        <f>I391+#REF!+#REF!</f>
        <v>#REF!</v>
      </c>
      <c r="J383" s="272">
        <f>J390+J387+J384</f>
        <v>14347.462</v>
      </c>
      <c r="K383" s="272">
        <f>K390+K387+K384</f>
        <v>14337.462</v>
      </c>
      <c r="L383" s="257">
        <f t="shared" si="46"/>
        <v>99.93030126164474</v>
      </c>
      <c r="M383" s="38" t="e">
        <f>M391+#REF!+#REF!</f>
        <v>#REF!</v>
      </c>
      <c r="N383" s="53" t="e">
        <f>N391+#REF!+#REF!</f>
        <v>#REF!</v>
      </c>
    </row>
    <row r="384" spans="1:14" s="121" customFormat="1" ht="29.25" customHeight="1">
      <c r="A384" s="214" t="s">
        <v>472</v>
      </c>
      <c r="B384" s="18" t="s">
        <v>279</v>
      </c>
      <c r="C384" s="18" t="s">
        <v>12</v>
      </c>
      <c r="D384" s="18" t="s">
        <v>7</v>
      </c>
      <c r="E384" s="18" t="s">
        <v>482</v>
      </c>
      <c r="F384" s="18"/>
      <c r="G384" s="17"/>
      <c r="H384" s="20"/>
      <c r="I384" s="20"/>
      <c r="J384" s="272">
        <f>J385+J386</f>
        <v>10906.508</v>
      </c>
      <c r="K384" s="272">
        <f>K385+K386</f>
        <v>10906.508</v>
      </c>
      <c r="L384" s="256">
        <f t="shared" si="46"/>
        <v>100</v>
      </c>
      <c r="M384" s="38"/>
      <c r="N384" s="53"/>
    </row>
    <row r="385" spans="1:14" s="121" customFormat="1" ht="27" customHeight="1" hidden="1">
      <c r="A385" s="215" t="s">
        <v>156</v>
      </c>
      <c r="B385" s="18" t="s">
        <v>279</v>
      </c>
      <c r="C385" s="18" t="s">
        <v>12</v>
      </c>
      <c r="D385" s="18" t="s">
        <v>7</v>
      </c>
      <c r="E385" s="18" t="s">
        <v>482</v>
      </c>
      <c r="F385" s="18" t="s">
        <v>158</v>
      </c>
      <c r="G385" s="17"/>
      <c r="H385" s="20"/>
      <c r="I385" s="20"/>
      <c r="J385" s="273">
        <v>0</v>
      </c>
      <c r="K385" s="273"/>
      <c r="L385" s="257" t="e">
        <f t="shared" si="46"/>
        <v>#DIV/0!</v>
      </c>
      <c r="M385" s="38"/>
      <c r="N385" s="53"/>
    </row>
    <row r="386" spans="1:14" s="121" customFormat="1" ht="16.5" customHeight="1">
      <c r="A386" s="215" t="s">
        <v>481</v>
      </c>
      <c r="B386" s="18" t="s">
        <v>279</v>
      </c>
      <c r="C386" s="18" t="s">
        <v>12</v>
      </c>
      <c r="D386" s="18" t="s">
        <v>7</v>
      </c>
      <c r="E386" s="18" t="s">
        <v>482</v>
      </c>
      <c r="F386" s="18" t="s">
        <v>480</v>
      </c>
      <c r="G386" s="30"/>
      <c r="H386" s="24"/>
      <c r="I386" s="24"/>
      <c r="J386" s="273">
        <v>10906.508</v>
      </c>
      <c r="K386" s="273">
        <v>10906.508</v>
      </c>
      <c r="L386" s="257">
        <f t="shared" si="46"/>
        <v>100</v>
      </c>
      <c r="M386" s="38"/>
      <c r="N386" s="53"/>
    </row>
    <row r="387" spans="1:14" s="121" customFormat="1" ht="24" customHeight="1">
      <c r="A387" s="214" t="s">
        <v>473</v>
      </c>
      <c r="B387" s="18" t="s">
        <v>279</v>
      </c>
      <c r="C387" s="18" t="s">
        <v>12</v>
      </c>
      <c r="D387" s="18" t="s">
        <v>7</v>
      </c>
      <c r="E387" s="18" t="s">
        <v>449</v>
      </c>
      <c r="F387" s="18"/>
      <c r="G387" s="30"/>
      <c r="H387" s="24"/>
      <c r="I387" s="24"/>
      <c r="J387" s="273">
        <f>J388+J389</f>
        <v>3087.859</v>
      </c>
      <c r="K387" s="273">
        <f>K388+K389</f>
        <v>3087.859</v>
      </c>
      <c r="L387" s="257">
        <f t="shared" si="46"/>
        <v>100</v>
      </c>
      <c r="M387" s="38"/>
      <c r="N387" s="53"/>
    </row>
    <row r="388" spans="1:14" s="121" customFormat="1" ht="26.25" customHeight="1" hidden="1">
      <c r="A388" s="215" t="s">
        <v>156</v>
      </c>
      <c r="B388" s="18" t="s">
        <v>279</v>
      </c>
      <c r="C388" s="18" t="s">
        <v>12</v>
      </c>
      <c r="D388" s="18" t="s">
        <v>7</v>
      </c>
      <c r="E388" s="18" t="s">
        <v>449</v>
      </c>
      <c r="F388" s="18" t="s">
        <v>158</v>
      </c>
      <c r="G388" s="30"/>
      <c r="H388" s="24"/>
      <c r="I388" s="24"/>
      <c r="J388" s="273">
        <v>0</v>
      </c>
      <c r="K388" s="273"/>
      <c r="L388" s="257" t="e">
        <f t="shared" si="46"/>
        <v>#DIV/0!</v>
      </c>
      <c r="M388" s="38"/>
      <c r="N388" s="53"/>
    </row>
    <row r="389" spans="1:14" s="121" customFormat="1" ht="18" customHeight="1">
      <c r="A389" s="215" t="s">
        <v>481</v>
      </c>
      <c r="B389" s="18" t="s">
        <v>279</v>
      </c>
      <c r="C389" s="18" t="s">
        <v>12</v>
      </c>
      <c r="D389" s="18" t="s">
        <v>7</v>
      </c>
      <c r="E389" s="18" t="s">
        <v>449</v>
      </c>
      <c r="F389" s="18" t="s">
        <v>480</v>
      </c>
      <c r="G389" s="30"/>
      <c r="H389" s="24"/>
      <c r="I389" s="24"/>
      <c r="J389" s="273">
        <v>3087.859</v>
      </c>
      <c r="K389" s="273">
        <v>3087.859</v>
      </c>
      <c r="L389" s="257">
        <f t="shared" si="46"/>
        <v>100</v>
      </c>
      <c r="M389" s="38"/>
      <c r="N389" s="53"/>
    </row>
    <row r="390" spans="1:14" ht="15" customHeight="1">
      <c r="A390" s="214" t="s">
        <v>340</v>
      </c>
      <c r="B390" s="18" t="s">
        <v>279</v>
      </c>
      <c r="C390" s="18" t="s">
        <v>12</v>
      </c>
      <c r="D390" s="18" t="s">
        <v>7</v>
      </c>
      <c r="E390" s="18" t="s">
        <v>269</v>
      </c>
      <c r="F390" s="18"/>
      <c r="G390" s="30"/>
      <c r="H390" s="24"/>
      <c r="I390" s="24"/>
      <c r="J390" s="273">
        <f>J391+J393</f>
        <v>353.095</v>
      </c>
      <c r="K390" s="273">
        <f>K391+K393</f>
        <v>343.095</v>
      </c>
      <c r="L390" s="257">
        <f t="shared" si="46"/>
        <v>97.1679009898186</v>
      </c>
      <c r="M390" s="26"/>
      <c r="N390" s="27"/>
    </row>
    <row r="391" spans="1:14" ht="30" customHeight="1">
      <c r="A391" s="221" t="s">
        <v>331</v>
      </c>
      <c r="B391" s="18" t="s">
        <v>279</v>
      </c>
      <c r="C391" s="18" t="s">
        <v>12</v>
      </c>
      <c r="D391" s="18" t="s">
        <v>7</v>
      </c>
      <c r="E391" s="18" t="s">
        <v>332</v>
      </c>
      <c r="F391" s="18"/>
      <c r="G391" s="30">
        <f aca="true" t="shared" si="49" ref="G391:N391">G392</f>
        <v>-40</v>
      </c>
      <c r="H391" s="30">
        <f t="shared" si="49"/>
        <v>0</v>
      </c>
      <c r="I391" s="30">
        <f t="shared" si="49"/>
        <v>0</v>
      </c>
      <c r="J391" s="273">
        <f t="shared" si="49"/>
        <v>10</v>
      </c>
      <c r="K391" s="257">
        <f t="shared" si="49"/>
        <v>0</v>
      </c>
      <c r="L391" s="257">
        <f t="shared" si="46"/>
        <v>0</v>
      </c>
      <c r="M391" s="26">
        <f t="shared" si="49"/>
        <v>0</v>
      </c>
      <c r="N391" s="27">
        <f t="shared" si="49"/>
        <v>0</v>
      </c>
    </row>
    <row r="392" spans="1:14" ht="30" customHeight="1">
      <c r="A392" s="215" t="s">
        <v>156</v>
      </c>
      <c r="B392" s="18" t="s">
        <v>279</v>
      </c>
      <c r="C392" s="18" t="s">
        <v>12</v>
      </c>
      <c r="D392" s="18" t="s">
        <v>7</v>
      </c>
      <c r="E392" s="18" t="s">
        <v>332</v>
      </c>
      <c r="F392" s="18" t="s">
        <v>158</v>
      </c>
      <c r="G392" s="30">
        <v>-40</v>
      </c>
      <c r="H392" s="24"/>
      <c r="I392" s="30"/>
      <c r="J392" s="273">
        <v>10</v>
      </c>
      <c r="K392" s="257">
        <v>0</v>
      </c>
      <c r="L392" s="257">
        <f t="shared" si="46"/>
        <v>0</v>
      </c>
      <c r="M392" s="26"/>
      <c r="N392" s="27">
        <f>L392+M392</f>
        <v>0</v>
      </c>
    </row>
    <row r="393" spans="1:14" ht="38.25" customHeight="1">
      <c r="A393" s="219" t="s">
        <v>468</v>
      </c>
      <c r="B393" s="18" t="s">
        <v>279</v>
      </c>
      <c r="C393" s="18" t="s">
        <v>12</v>
      </c>
      <c r="D393" s="18" t="s">
        <v>7</v>
      </c>
      <c r="E393" s="18" t="s">
        <v>467</v>
      </c>
      <c r="F393" s="18"/>
      <c r="G393" s="30"/>
      <c r="H393" s="24"/>
      <c r="I393" s="30"/>
      <c r="J393" s="273">
        <f>J394+J395</f>
        <v>343.095</v>
      </c>
      <c r="K393" s="273">
        <f>K394+K395</f>
        <v>343.095</v>
      </c>
      <c r="L393" s="257">
        <f t="shared" si="46"/>
        <v>100</v>
      </c>
      <c r="M393" s="31"/>
      <c r="N393" s="31"/>
    </row>
    <row r="394" spans="1:14" ht="30" customHeight="1" hidden="1">
      <c r="A394" s="215" t="s">
        <v>156</v>
      </c>
      <c r="B394" s="18" t="s">
        <v>279</v>
      </c>
      <c r="C394" s="18" t="s">
        <v>12</v>
      </c>
      <c r="D394" s="18" t="s">
        <v>7</v>
      </c>
      <c r="E394" s="18" t="s">
        <v>467</v>
      </c>
      <c r="F394" s="18" t="s">
        <v>158</v>
      </c>
      <c r="G394" s="30">
        <v>0</v>
      </c>
      <c r="H394" s="24"/>
      <c r="I394" s="30"/>
      <c r="J394" s="273">
        <v>0</v>
      </c>
      <c r="K394" s="257"/>
      <c r="L394" s="257" t="e">
        <f t="shared" si="46"/>
        <v>#DIV/0!</v>
      </c>
      <c r="M394" s="31"/>
      <c r="N394" s="31"/>
    </row>
    <row r="395" spans="1:14" ht="18" customHeight="1">
      <c r="A395" s="215" t="s">
        <v>481</v>
      </c>
      <c r="B395" s="18" t="s">
        <v>279</v>
      </c>
      <c r="C395" s="18" t="s">
        <v>12</v>
      </c>
      <c r="D395" s="18" t="s">
        <v>7</v>
      </c>
      <c r="E395" s="18" t="s">
        <v>467</v>
      </c>
      <c r="F395" s="18" t="s">
        <v>480</v>
      </c>
      <c r="G395" s="30"/>
      <c r="H395" s="24"/>
      <c r="I395" s="30"/>
      <c r="J395" s="273">
        <v>343.095</v>
      </c>
      <c r="K395" s="257">
        <v>343.095</v>
      </c>
      <c r="L395" s="257">
        <f t="shared" si="46"/>
        <v>100</v>
      </c>
      <c r="M395" s="31"/>
      <c r="N395" s="31"/>
    </row>
    <row r="396" spans="1:14" s="121" customFormat="1" ht="14.25">
      <c r="A396" s="214" t="s">
        <v>40</v>
      </c>
      <c r="B396" s="23" t="s">
        <v>279</v>
      </c>
      <c r="C396" s="23" t="s">
        <v>12</v>
      </c>
      <c r="D396" s="23" t="s">
        <v>8</v>
      </c>
      <c r="E396" s="23"/>
      <c r="F396" s="23"/>
      <c r="G396" s="17" t="e">
        <f>#REF!+G414+#REF!+#REF!</f>
        <v>#REF!</v>
      </c>
      <c r="H396" s="20" t="e">
        <f>#REF!+H414+#REF!+#REF!+#REF!+#REF!+H405</f>
        <v>#REF!</v>
      </c>
      <c r="I396" s="20" t="e">
        <f>#REF!+I414+#REF!+#REF!+#REF!+#REF!+I405</f>
        <v>#REF!</v>
      </c>
      <c r="J396" s="272">
        <f>J402+J405+J414+J408+J400+J397+J411</f>
        <v>20247.158300000003</v>
      </c>
      <c r="K396" s="272">
        <f>K402+K405+K414+K408+K400+K397+K411</f>
        <v>20013.103580000003</v>
      </c>
      <c r="L396" s="256">
        <f t="shared" si="46"/>
        <v>98.84401200142739</v>
      </c>
      <c r="M396" s="81" t="e">
        <f>#REF!+#REF!+#REF!+#REF!+#REF!+M405+M402+M414+#REF!</f>
        <v>#REF!</v>
      </c>
      <c r="N396" s="82" t="e">
        <f>#REF!+#REF!+#REF!+#REF!+#REF!+N405+N402+N414+#REF!</f>
        <v>#REF!</v>
      </c>
    </row>
    <row r="397" spans="1:14" s="121" customFormat="1" ht="36">
      <c r="A397" s="214" t="s">
        <v>319</v>
      </c>
      <c r="B397" s="18" t="s">
        <v>279</v>
      </c>
      <c r="C397" s="18" t="s">
        <v>12</v>
      </c>
      <c r="D397" s="18" t="s">
        <v>8</v>
      </c>
      <c r="E397" s="18" t="s">
        <v>510</v>
      </c>
      <c r="F397" s="18"/>
      <c r="G397" s="30"/>
      <c r="H397" s="24"/>
      <c r="I397" s="24"/>
      <c r="J397" s="273">
        <f>J399+J398</f>
        <v>5364.42</v>
      </c>
      <c r="K397" s="273">
        <f>K399+K398</f>
        <v>5364.42</v>
      </c>
      <c r="L397" s="257">
        <f t="shared" si="46"/>
        <v>100</v>
      </c>
      <c r="M397" s="81"/>
      <c r="N397" s="81"/>
    </row>
    <row r="398" spans="1:14" s="121" customFormat="1" ht="36">
      <c r="A398" s="214" t="s">
        <v>536</v>
      </c>
      <c r="B398" s="18" t="s">
        <v>279</v>
      </c>
      <c r="C398" s="18" t="s">
        <v>12</v>
      </c>
      <c r="D398" s="18" t="s">
        <v>8</v>
      </c>
      <c r="E398" s="18" t="s">
        <v>510</v>
      </c>
      <c r="F398" s="18" t="s">
        <v>535</v>
      </c>
      <c r="G398" s="30"/>
      <c r="H398" s="24"/>
      <c r="I398" s="24"/>
      <c r="J398" s="273">
        <v>5364.42</v>
      </c>
      <c r="K398" s="273">
        <v>5364.42</v>
      </c>
      <c r="L398" s="257">
        <f t="shared" si="46"/>
        <v>100</v>
      </c>
      <c r="M398" s="81"/>
      <c r="N398" s="81"/>
    </row>
    <row r="399" spans="1:14" s="121" customFormat="1" ht="36" hidden="1">
      <c r="A399" s="214" t="s">
        <v>336</v>
      </c>
      <c r="B399" s="18" t="s">
        <v>279</v>
      </c>
      <c r="C399" s="18" t="s">
        <v>12</v>
      </c>
      <c r="D399" s="18" t="s">
        <v>8</v>
      </c>
      <c r="E399" s="18" t="s">
        <v>510</v>
      </c>
      <c r="F399" s="18" t="s">
        <v>337</v>
      </c>
      <c r="G399" s="30"/>
      <c r="H399" s="24"/>
      <c r="I399" s="24"/>
      <c r="J399" s="273">
        <v>0</v>
      </c>
      <c r="K399" s="273"/>
      <c r="L399" s="257" t="e">
        <f t="shared" si="46"/>
        <v>#DIV/0!</v>
      </c>
      <c r="M399" s="81"/>
      <c r="N399" s="81"/>
    </row>
    <row r="400" spans="1:14" s="121" customFormat="1" ht="39" customHeight="1" hidden="1">
      <c r="A400" s="214" t="s">
        <v>319</v>
      </c>
      <c r="B400" s="18" t="s">
        <v>279</v>
      </c>
      <c r="C400" s="18" t="s">
        <v>12</v>
      </c>
      <c r="D400" s="18" t="s">
        <v>8</v>
      </c>
      <c r="E400" s="18" t="s">
        <v>493</v>
      </c>
      <c r="F400" s="18"/>
      <c r="G400" s="30"/>
      <c r="H400" s="24"/>
      <c r="I400" s="24"/>
      <c r="J400" s="273">
        <f>J401</f>
        <v>0</v>
      </c>
      <c r="K400" s="273">
        <f>K401</f>
        <v>0</v>
      </c>
      <c r="L400" s="257" t="e">
        <f t="shared" si="46"/>
        <v>#DIV/0!</v>
      </c>
      <c r="M400" s="77" t="e">
        <f>#REF!+#REF!</f>
        <v>#REF!</v>
      </c>
      <c r="N400" s="77" t="e">
        <f>#REF!+#REF!</f>
        <v>#REF!</v>
      </c>
    </row>
    <row r="401" spans="1:17" ht="36.75" hidden="1">
      <c r="A401" s="214" t="s">
        <v>336</v>
      </c>
      <c r="B401" s="18" t="s">
        <v>279</v>
      </c>
      <c r="C401" s="18" t="s">
        <v>12</v>
      </c>
      <c r="D401" s="18" t="s">
        <v>8</v>
      </c>
      <c r="E401" s="18" t="s">
        <v>510</v>
      </c>
      <c r="F401" s="18" t="s">
        <v>337</v>
      </c>
      <c r="G401" s="30"/>
      <c r="H401" s="30"/>
      <c r="I401" s="30"/>
      <c r="J401" s="273">
        <v>0</v>
      </c>
      <c r="K401" s="257"/>
      <c r="L401" s="257" t="e">
        <f t="shared" si="46"/>
        <v>#DIV/0!</v>
      </c>
      <c r="M401" s="26"/>
      <c r="N401" s="27"/>
      <c r="Q401" s="136"/>
    </row>
    <row r="402" spans="1:14" s="121" customFormat="1" ht="39" customHeight="1">
      <c r="A402" s="214" t="s">
        <v>319</v>
      </c>
      <c r="B402" s="18" t="s">
        <v>279</v>
      </c>
      <c r="C402" s="18" t="s">
        <v>12</v>
      </c>
      <c r="D402" s="18" t="s">
        <v>8</v>
      </c>
      <c r="E402" s="18" t="s">
        <v>320</v>
      </c>
      <c r="F402" s="18"/>
      <c r="G402" s="30"/>
      <c r="H402" s="24"/>
      <c r="I402" s="24"/>
      <c r="J402" s="273">
        <f>J404+J403</f>
        <v>2350.3993</v>
      </c>
      <c r="K402" s="273">
        <f>K404+K403</f>
        <v>2119.87242</v>
      </c>
      <c r="L402" s="257">
        <f t="shared" si="46"/>
        <v>90.19201205514314</v>
      </c>
      <c r="M402" s="77" t="e">
        <f>#REF!+#REF!</f>
        <v>#REF!</v>
      </c>
      <c r="N402" s="77" t="e">
        <f>#REF!+#REF!</f>
        <v>#REF!</v>
      </c>
    </row>
    <row r="403" spans="1:14" s="121" customFormat="1" ht="39" customHeight="1">
      <c r="A403" s="214" t="s">
        <v>536</v>
      </c>
      <c r="B403" s="18" t="s">
        <v>279</v>
      </c>
      <c r="C403" s="18" t="s">
        <v>12</v>
      </c>
      <c r="D403" s="18" t="s">
        <v>8</v>
      </c>
      <c r="E403" s="18" t="s">
        <v>320</v>
      </c>
      <c r="F403" s="18" t="s">
        <v>535</v>
      </c>
      <c r="G403" s="30"/>
      <c r="H403" s="24"/>
      <c r="I403" s="24"/>
      <c r="J403" s="273">
        <v>2350.3993</v>
      </c>
      <c r="K403" s="273">
        <v>2119.87242</v>
      </c>
      <c r="L403" s="257">
        <f t="shared" si="46"/>
        <v>90.19201205514314</v>
      </c>
      <c r="M403" s="77"/>
      <c r="N403" s="210"/>
    </row>
    <row r="404" spans="1:17" ht="36.75" hidden="1">
      <c r="A404" s="214" t="s">
        <v>336</v>
      </c>
      <c r="B404" s="18" t="s">
        <v>279</v>
      </c>
      <c r="C404" s="18" t="s">
        <v>12</v>
      </c>
      <c r="D404" s="18" t="s">
        <v>8</v>
      </c>
      <c r="E404" s="18" t="s">
        <v>320</v>
      </c>
      <c r="F404" s="18" t="s">
        <v>337</v>
      </c>
      <c r="G404" s="30"/>
      <c r="H404" s="30"/>
      <c r="I404" s="30"/>
      <c r="J404" s="273">
        <v>0</v>
      </c>
      <c r="K404" s="257"/>
      <c r="L404" s="257" t="e">
        <f t="shared" si="46"/>
        <v>#DIV/0!</v>
      </c>
      <c r="M404" s="26"/>
      <c r="N404" s="27"/>
      <c r="Q404" s="136"/>
    </row>
    <row r="405" spans="1:14" ht="15">
      <c r="A405" s="219" t="s">
        <v>338</v>
      </c>
      <c r="B405" s="18" t="s">
        <v>279</v>
      </c>
      <c r="C405" s="18" t="s">
        <v>12</v>
      </c>
      <c r="D405" s="18" t="s">
        <v>8</v>
      </c>
      <c r="E405" s="18" t="s">
        <v>339</v>
      </c>
      <c r="F405" s="18"/>
      <c r="G405" s="30"/>
      <c r="H405" s="24">
        <f aca="true" t="shared" si="50" ref="H405:N405">H406</f>
        <v>0</v>
      </c>
      <c r="I405" s="24">
        <f t="shared" si="50"/>
        <v>0</v>
      </c>
      <c r="J405" s="257">
        <f>J406+J407</f>
        <v>11.11</v>
      </c>
      <c r="K405" s="257">
        <f>K406+K407</f>
        <v>11.11</v>
      </c>
      <c r="L405" s="257">
        <f t="shared" si="46"/>
        <v>100</v>
      </c>
      <c r="M405" s="26">
        <f t="shared" si="50"/>
        <v>0</v>
      </c>
      <c r="N405" s="27" t="e">
        <f t="shared" si="50"/>
        <v>#DIV/0!</v>
      </c>
    </row>
    <row r="406" spans="1:14" ht="26.25" customHeight="1" hidden="1">
      <c r="A406" s="214" t="s">
        <v>102</v>
      </c>
      <c r="B406" s="18" t="s">
        <v>279</v>
      </c>
      <c r="C406" s="18" t="s">
        <v>12</v>
      </c>
      <c r="D406" s="18" t="s">
        <v>8</v>
      </c>
      <c r="E406" s="18" t="s">
        <v>339</v>
      </c>
      <c r="F406" s="18" t="s">
        <v>101</v>
      </c>
      <c r="G406" s="30"/>
      <c r="H406" s="24"/>
      <c r="I406" s="30"/>
      <c r="J406" s="273"/>
      <c r="K406" s="257"/>
      <c r="L406" s="257" t="e">
        <f t="shared" si="46"/>
        <v>#DIV/0!</v>
      </c>
      <c r="M406" s="26"/>
      <c r="N406" s="27" t="e">
        <f>L406+M406</f>
        <v>#DIV/0!</v>
      </c>
    </row>
    <row r="407" spans="1:14" ht="26.25" customHeight="1">
      <c r="A407" s="215" t="s">
        <v>156</v>
      </c>
      <c r="B407" s="18" t="s">
        <v>279</v>
      </c>
      <c r="C407" s="18" t="s">
        <v>12</v>
      </c>
      <c r="D407" s="18" t="s">
        <v>8</v>
      </c>
      <c r="E407" s="18" t="s">
        <v>339</v>
      </c>
      <c r="F407" s="18" t="s">
        <v>158</v>
      </c>
      <c r="G407" s="30"/>
      <c r="H407" s="24"/>
      <c r="I407" s="30"/>
      <c r="J407" s="273">
        <v>11.11</v>
      </c>
      <c r="K407" s="257">
        <v>11.11</v>
      </c>
      <c r="L407" s="257">
        <f t="shared" si="46"/>
        <v>100</v>
      </c>
      <c r="M407" s="26"/>
      <c r="N407" s="27"/>
    </row>
    <row r="408" spans="1:14" ht="39" customHeight="1">
      <c r="A408" s="215" t="s">
        <v>450</v>
      </c>
      <c r="B408" s="18" t="s">
        <v>279</v>
      </c>
      <c r="C408" s="18" t="s">
        <v>12</v>
      </c>
      <c r="D408" s="18" t="s">
        <v>8</v>
      </c>
      <c r="E408" s="18" t="s">
        <v>351</v>
      </c>
      <c r="F408" s="18"/>
      <c r="G408" s="30"/>
      <c r="H408" s="24"/>
      <c r="I408" s="30"/>
      <c r="J408" s="273">
        <f>J410+J409</f>
        <v>10025.2</v>
      </c>
      <c r="K408" s="273">
        <f>K410+K409</f>
        <v>10025.2</v>
      </c>
      <c r="L408" s="257">
        <f t="shared" si="46"/>
        <v>100</v>
      </c>
      <c r="M408" s="26"/>
      <c r="N408" s="27"/>
    </row>
    <row r="409" spans="1:14" ht="39" customHeight="1">
      <c r="A409" s="214" t="s">
        <v>536</v>
      </c>
      <c r="B409" s="18" t="s">
        <v>279</v>
      </c>
      <c r="C409" s="18" t="s">
        <v>12</v>
      </c>
      <c r="D409" s="18" t="s">
        <v>8</v>
      </c>
      <c r="E409" s="18" t="s">
        <v>351</v>
      </c>
      <c r="F409" s="18" t="s">
        <v>535</v>
      </c>
      <c r="G409" s="30"/>
      <c r="H409" s="24"/>
      <c r="I409" s="30"/>
      <c r="J409" s="273">
        <v>10025.2</v>
      </c>
      <c r="K409" s="273">
        <v>10025.2</v>
      </c>
      <c r="L409" s="257">
        <f t="shared" si="46"/>
        <v>100</v>
      </c>
      <c r="M409" s="26"/>
      <c r="N409" s="27"/>
    </row>
    <row r="410" spans="1:14" ht="36.75" hidden="1">
      <c r="A410" s="214" t="s">
        <v>336</v>
      </c>
      <c r="B410" s="18" t="s">
        <v>279</v>
      </c>
      <c r="C410" s="18" t="s">
        <v>12</v>
      </c>
      <c r="D410" s="18" t="s">
        <v>8</v>
      </c>
      <c r="E410" s="18" t="s">
        <v>351</v>
      </c>
      <c r="F410" s="18" t="s">
        <v>337</v>
      </c>
      <c r="G410" s="30"/>
      <c r="H410" s="24"/>
      <c r="I410" s="30"/>
      <c r="J410" s="273"/>
      <c r="K410" s="257"/>
      <c r="L410" s="257" t="e">
        <f t="shared" si="46"/>
        <v>#DIV/0!</v>
      </c>
      <c r="M410" s="26"/>
      <c r="N410" s="27"/>
    </row>
    <row r="411" spans="1:14" ht="24.75">
      <c r="A411" s="211" t="s">
        <v>519</v>
      </c>
      <c r="B411" s="18" t="s">
        <v>279</v>
      </c>
      <c r="C411" s="18" t="s">
        <v>12</v>
      </c>
      <c r="D411" s="18" t="s">
        <v>8</v>
      </c>
      <c r="E411" s="18" t="s">
        <v>520</v>
      </c>
      <c r="F411" s="18"/>
      <c r="G411" s="30"/>
      <c r="H411" s="24"/>
      <c r="I411" s="30"/>
      <c r="J411" s="273">
        <f>J412+J413</f>
        <v>1000</v>
      </c>
      <c r="K411" s="273">
        <f>K412+K413</f>
        <v>1000</v>
      </c>
      <c r="L411" s="257">
        <f aca="true" t="shared" si="51" ref="L411:L474">K411/J411*100</f>
        <v>100</v>
      </c>
      <c r="M411" s="26"/>
      <c r="N411" s="27"/>
    </row>
    <row r="412" spans="1:14" ht="24.75">
      <c r="A412" s="219" t="s">
        <v>495</v>
      </c>
      <c r="B412" s="18" t="s">
        <v>279</v>
      </c>
      <c r="C412" s="18" t="s">
        <v>12</v>
      </c>
      <c r="D412" s="18" t="s">
        <v>8</v>
      </c>
      <c r="E412" s="18" t="s">
        <v>520</v>
      </c>
      <c r="F412" s="18" t="s">
        <v>494</v>
      </c>
      <c r="G412" s="30"/>
      <c r="H412" s="24"/>
      <c r="I412" s="30"/>
      <c r="J412" s="273">
        <v>900</v>
      </c>
      <c r="K412" s="257">
        <v>900</v>
      </c>
      <c r="L412" s="257">
        <f t="shared" si="51"/>
        <v>100</v>
      </c>
      <c r="M412" s="26"/>
      <c r="N412" s="27"/>
    </row>
    <row r="413" spans="1:14" ht="36">
      <c r="A413" s="215" t="s">
        <v>156</v>
      </c>
      <c r="B413" s="18" t="s">
        <v>279</v>
      </c>
      <c r="C413" s="18" t="s">
        <v>12</v>
      </c>
      <c r="D413" s="18" t="s">
        <v>8</v>
      </c>
      <c r="E413" s="18" t="s">
        <v>520</v>
      </c>
      <c r="F413" s="18" t="s">
        <v>158</v>
      </c>
      <c r="G413" s="30"/>
      <c r="H413" s="24"/>
      <c r="I413" s="30"/>
      <c r="J413" s="273">
        <v>100</v>
      </c>
      <c r="K413" s="257">
        <v>100</v>
      </c>
      <c r="L413" s="257">
        <f t="shared" si="51"/>
        <v>100</v>
      </c>
      <c r="M413" s="26"/>
      <c r="N413" s="27"/>
    </row>
    <row r="414" spans="1:14" ht="15" customHeight="1">
      <c r="A414" s="214" t="s">
        <v>340</v>
      </c>
      <c r="B414" s="18" t="s">
        <v>279</v>
      </c>
      <c r="C414" s="18" t="s">
        <v>12</v>
      </c>
      <c r="D414" s="18" t="s">
        <v>8</v>
      </c>
      <c r="E414" s="18" t="s">
        <v>269</v>
      </c>
      <c r="F414" s="18"/>
      <c r="G414" s="30" t="e">
        <f>G415+#REF!</f>
        <v>#REF!</v>
      </c>
      <c r="H414" s="30"/>
      <c r="I414" s="30" t="e">
        <f>I415+#REF!</f>
        <v>#REF!</v>
      </c>
      <c r="J414" s="273">
        <f>J415+J418</f>
        <v>1496.029</v>
      </c>
      <c r="K414" s="273">
        <f>K415+K418</f>
        <v>1492.50116</v>
      </c>
      <c r="L414" s="257">
        <f t="shared" si="51"/>
        <v>99.76418638943497</v>
      </c>
      <c r="M414" s="26" t="e">
        <f>M415+#REF!</f>
        <v>#REF!</v>
      </c>
      <c r="N414" s="27" t="e">
        <f>N415+#REF!</f>
        <v>#REF!</v>
      </c>
    </row>
    <row r="415" spans="1:14" ht="28.5" customHeight="1">
      <c r="A415" s="224" t="s">
        <v>341</v>
      </c>
      <c r="B415" s="18" t="s">
        <v>279</v>
      </c>
      <c r="C415" s="18" t="s">
        <v>12</v>
      </c>
      <c r="D415" s="18" t="s">
        <v>8</v>
      </c>
      <c r="E415" s="18" t="s">
        <v>342</v>
      </c>
      <c r="F415" s="18"/>
      <c r="G415" s="30">
        <f aca="true" t="shared" si="52" ref="G415:N415">G416</f>
        <v>-1750</v>
      </c>
      <c r="H415" s="30">
        <f t="shared" si="52"/>
        <v>0</v>
      </c>
      <c r="I415" s="30">
        <f t="shared" si="52"/>
        <v>0</v>
      </c>
      <c r="J415" s="273">
        <f>J416+J417</f>
        <v>1407.099</v>
      </c>
      <c r="K415" s="273">
        <f>K416+K417</f>
        <v>1403.57116</v>
      </c>
      <c r="L415" s="257">
        <f t="shared" si="51"/>
        <v>99.74928274414239</v>
      </c>
      <c r="M415" s="26">
        <f t="shared" si="52"/>
        <v>0</v>
      </c>
      <c r="N415" s="27">
        <f t="shared" si="52"/>
        <v>99.69511338269241</v>
      </c>
    </row>
    <row r="416" spans="1:14" ht="12.75" customHeight="1">
      <c r="A416" s="215" t="s">
        <v>156</v>
      </c>
      <c r="B416" s="18" t="s">
        <v>279</v>
      </c>
      <c r="C416" s="18" t="s">
        <v>12</v>
      </c>
      <c r="D416" s="18" t="s">
        <v>8</v>
      </c>
      <c r="E416" s="18" t="s">
        <v>342</v>
      </c>
      <c r="F416" s="18" t="s">
        <v>158</v>
      </c>
      <c r="G416" s="30">
        <v>-1750</v>
      </c>
      <c r="H416" s="24"/>
      <c r="I416" s="30"/>
      <c r="J416" s="273">
        <v>1157.099</v>
      </c>
      <c r="K416" s="257">
        <v>1153.57116</v>
      </c>
      <c r="L416" s="257">
        <f t="shared" si="51"/>
        <v>99.69511338269241</v>
      </c>
      <c r="M416" s="26"/>
      <c r="N416" s="27">
        <f>L416+M416</f>
        <v>99.69511338269241</v>
      </c>
    </row>
    <row r="417" spans="1:14" ht="12.75" customHeight="1">
      <c r="A417" s="223" t="s">
        <v>173</v>
      </c>
      <c r="B417" s="18" t="s">
        <v>279</v>
      </c>
      <c r="C417" s="18" t="s">
        <v>12</v>
      </c>
      <c r="D417" s="18" t="s">
        <v>8</v>
      </c>
      <c r="E417" s="18" t="s">
        <v>342</v>
      </c>
      <c r="F417" s="18" t="s">
        <v>174</v>
      </c>
      <c r="G417" s="30"/>
      <c r="H417" s="24"/>
      <c r="I417" s="30"/>
      <c r="J417" s="273">
        <v>250</v>
      </c>
      <c r="K417" s="257">
        <v>250</v>
      </c>
      <c r="L417" s="257">
        <f t="shared" si="51"/>
        <v>100</v>
      </c>
      <c r="M417" s="26"/>
      <c r="N417" s="27"/>
    </row>
    <row r="418" spans="1:14" s="205" customFormat="1" ht="42" customHeight="1">
      <c r="A418" s="236" t="s">
        <v>471</v>
      </c>
      <c r="B418" s="18" t="s">
        <v>279</v>
      </c>
      <c r="C418" s="18" t="s">
        <v>12</v>
      </c>
      <c r="D418" s="18" t="s">
        <v>8</v>
      </c>
      <c r="E418" s="18" t="s">
        <v>470</v>
      </c>
      <c r="F418" s="18"/>
      <c r="G418" s="30"/>
      <c r="H418" s="24"/>
      <c r="I418" s="30"/>
      <c r="J418" s="273">
        <f>J419</f>
        <v>88.93</v>
      </c>
      <c r="K418" s="273">
        <f>K419</f>
        <v>88.93</v>
      </c>
      <c r="L418" s="257">
        <f t="shared" si="51"/>
        <v>100</v>
      </c>
      <c r="M418" s="203"/>
      <c r="N418" s="204"/>
    </row>
    <row r="419" spans="1:14" s="205" customFormat="1" ht="25.5" customHeight="1">
      <c r="A419" s="219" t="s">
        <v>495</v>
      </c>
      <c r="B419" s="18" t="s">
        <v>279</v>
      </c>
      <c r="C419" s="18" t="s">
        <v>12</v>
      </c>
      <c r="D419" s="18" t="s">
        <v>8</v>
      </c>
      <c r="E419" s="18" t="s">
        <v>470</v>
      </c>
      <c r="F419" s="18" t="s">
        <v>494</v>
      </c>
      <c r="G419" s="30"/>
      <c r="H419" s="24"/>
      <c r="I419" s="30"/>
      <c r="J419" s="273">
        <v>88.93</v>
      </c>
      <c r="K419" s="257">
        <v>88.93</v>
      </c>
      <c r="L419" s="257">
        <f t="shared" si="51"/>
        <v>100</v>
      </c>
      <c r="M419" s="203"/>
      <c r="N419" s="204"/>
    </row>
    <row r="420" spans="1:14" s="121" customFormat="1" ht="14.25" customHeight="1">
      <c r="A420" s="217" t="s">
        <v>343</v>
      </c>
      <c r="B420" s="23" t="s">
        <v>279</v>
      </c>
      <c r="C420" s="23" t="s">
        <v>12</v>
      </c>
      <c r="D420" s="23" t="s">
        <v>9</v>
      </c>
      <c r="E420" s="23"/>
      <c r="F420" s="23"/>
      <c r="G420" s="17">
        <f>G423</f>
        <v>-786.5</v>
      </c>
      <c r="H420" s="17">
        <f>H423</f>
        <v>0</v>
      </c>
      <c r="I420" s="17">
        <f>I423</f>
        <v>0</v>
      </c>
      <c r="J420" s="272">
        <f>J423+J426+J421</f>
        <v>814.29</v>
      </c>
      <c r="K420" s="272">
        <f>K423+K426+K421</f>
        <v>697</v>
      </c>
      <c r="L420" s="256">
        <f t="shared" si="51"/>
        <v>85.59604072259269</v>
      </c>
      <c r="M420" s="38">
        <f>M423</f>
        <v>0</v>
      </c>
      <c r="N420" s="53">
        <f>N423</f>
        <v>100</v>
      </c>
    </row>
    <row r="421" spans="1:14" s="121" customFormat="1" ht="14.25" customHeight="1">
      <c r="A421" s="219" t="s">
        <v>338</v>
      </c>
      <c r="B421" s="18" t="s">
        <v>279</v>
      </c>
      <c r="C421" s="18" t="s">
        <v>12</v>
      </c>
      <c r="D421" s="18" t="s">
        <v>9</v>
      </c>
      <c r="E421" s="18" t="s">
        <v>339</v>
      </c>
      <c r="F421" s="23"/>
      <c r="G421" s="17"/>
      <c r="H421" s="17"/>
      <c r="I421" s="17"/>
      <c r="J421" s="273">
        <f>J422</f>
        <v>214.29</v>
      </c>
      <c r="K421" s="273">
        <f>K422</f>
        <v>99</v>
      </c>
      <c r="L421" s="257">
        <f t="shared" si="51"/>
        <v>46.19907601847964</v>
      </c>
      <c r="M421" s="38"/>
      <c r="N421" s="53"/>
    </row>
    <row r="422" spans="1:14" s="121" customFormat="1" ht="14.25" customHeight="1">
      <c r="A422" s="215" t="s">
        <v>156</v>
      </c>
      <c r="B422" s="18" t="s">
        <v>279</v>
      </c>
      <c r="C422" s="18" t="s">
        <v>12</v>
      </c>
      <c r="D422" s="18" t="s">
        <v>9</v>
      </c>
      <c r="E422" s="18" t="s">
        <v>339</v>
      </c>
      <c r="F422" s="18" t="s">
        <v>158</v>
      </c>
      <c r="G422" s="17"/>
      <c r="H422" s="17"/>
      <c r="I422" s="17"/>
      <c r="J422" s="273">
        <v>214.29</v>
      </c>
      <c r="K422" s="273">
        <v>99</v>
      </c>
      <c r="L422" s="257">
        <f t="shared" si="51"/>
        <v>46.19907601847964</v>
      </c>
      <c r="M422" s="38"/>
      <c r="N422" s="53"/>
    </row>
    <row r="423" spans="1:14" ht="15" customHeight="1">
      <c r="A423" s="214" t="s">
        <v>41</v>
      </c>
      <c r="B423" s="18" t="s">
        <v>279</v>
      </c>
      <c r="C423" s="18" t="s">
        <v>12</v>
      </c>
      <c r="D423" s="18" t="s">
        <v>9</v>
      </c>
      <c r="E423" s="18" t="s">
        <v>344</v>
      </c>
      <c r="F423" s="18"/>
      <c r="G423" s="30">
        <f aca="true" t="shared" si="53" ref="G423:N424">G424</f>
        <v>-786.5</v>
      </c>
      <c r="H423" s="30">
        <f t="shared" si="53"/>
        <v>0</v>
      </c>
      <c r="I423" s="30">
        <f t="shared" si="53"/>
        <v>0</v>
      </c>
      <c r="J423" s="273">
        <f>J424</f>
        <v>100</v>
      </c>
      <c r="K423" s="257">
        <f t="shared" si="53"/>
        <v>100</v>
      </c>
      <c r="L423" s="257">
        <f t="shared" si="51"/>
        <v>100</v>
      </c>
      <c r="M423" s="26">
        <f t="shared" si="53"/>
        <v>0</v>
      </c>
      <c r="N423" s="27">
        <f t="shared" si="53"/>
        <v>100</v>
      </c>
    </row>
    <row r="424" spans="1:14" ht="17.25" customHeight="1">
      <c r="A424" s="221" t="s">
        <v>345</v>
      </c>
      <c r="B424" s="18" t="s">
        <v>279</v>
      </c>
      <c r="C424" s="18" t="s">
        <v>12</v>
      </c>
      <c r="D424" s="18" t="s">
        <v>9</v>
      </c>
      <c r="E424" s="18" t="s">
        <v>346</v>
      </c>
      <c r="F424" s="18"/>
      <c r="G424" s="30">
        <f t="shared" si="53"/>
        <v>-786.5</v>
      </c>
      <c r="H424" s="30">
        <f t="shared" si="53"/>
        <v>0</v>
      </c>
      <c r="I424" s="30">
        <f t="shared" si="53"/>
        <v>0</v>
      </c>
      <c r="J424" s="273">
        <f>J425</f>
        <v>100</v>
      </c>
      <c r="K424" s="257">
        <f t="shared" si="53"/>
        <v>100</v>
      </c>
      <c r="L424" s="257">
        <f t="shared" si="51"/>
        <v>100</v>
      </c>
      <c r="M424" s="26">
        <f t="shared" si="53"/>
        <v>0</v>
      </c>
      <c r="N424" s="27">
        <f t="shared" si="53"/>
        <v>100</v>
      </c>
    </row>
    <row r="425" spans="1:14" ht="30" customHeight="1">
      <c r="A425" s="215" t="s">
        <v>156</v>
      </c>
      <c r="B425" s="18" t="s">
        <v>279</v>
      </c>
      <c r="C425" s="18" t="s">
        <v>12</v>
      </c>
      <c r="D425" s="18" t="s">
        <v>9</v>
      </c>
      <c r="E425" s="18" t="s">
        <v>346</v>
      </c>
      <c r="F425" s="18" t="s">
        <v>158</v>
      </c>
      <c r="G425" s="30">
        <v>-786.5</v>
      </c>
      <c r="H425" s="24"/>
      <c r="I425" s="30"/>
      <c r="J425" s="273">
        <v>100</v>
      </c>
      <c r="K425" s="257">
        <v>100</v>
      </c>
      <c r="L425" s="257">
        <f t="shared" si="51"/>
        <v>100</v>
      </c>
      <c r="M425" s="26"/>
      <c r="N425" s="27">
        <f>L425+M425</f>
        <v>100</v>
      </c>
    </row>
    <row r="426" spans="1:14" ht="30" customHeight="1">
      <c r="A426" s="214" t="s">
        <v>511</v>
      </c>
      <c r="B426" s="18" t="s">
        <v>279</v>
      </c>
      <c r="C426" s="18" t="s">
        <v>12</v>
      </c>
      <c r="D426" s="18" t="s">
        <v>9</v>
      </c>
      <c r="E426" s="18" t="s">
        <v>512</v>
      </c>
      <c r="F426" s="18"/>
      <c r="G426" s="30"/>
      <c r="H426" s="24"/>
      <c r="I426" s="30"/>
      <c r="J426" s="273">
        <f>J427</f>
        <v>500</v>
      </c>
      <c r="K426" s="273">
        <f>K427</f>
        <v>498</v>
      </c>
      <c r="L426" s="257">
        <f t="shared" si="51"/>
        <v>99.6</v>
      </c>
      <c r="M426" s="26"/>
      <c r="N426" s="31"/>
    </row>
    <row r="427" spans="1:14" ht="30" customHeight="1">
      <c r="A427" s="215" t="s">
        <v>156</v>
      </c>
      <c r="B427" s="18" t="s">
        <v>279</v>
      </c>
      <c r="C427" s="18" t="s">
        <v>12</v>
      </c>
      <c r="D427" s="18" t="s">
        <v>9</v>
      </c>
      <c r="E427" s="18" t="s">
        <v>512</v>
      </c>
      <c r="F427" s="18" t="s">
        <v>158</v>
      </c>
      <c r="G427" s="30"/>
      <c r="H427" s="24"/>
      <c r="I427" s="30"/>
      <c r="J427" s="273">
        <v>500</v>
      </c>
      <c r="K427" s="257">
        <v>498</v>
      </c>
      <c r="L427" s="257">
        <f t="shared" si="51"/>
        <v>99.6</v>
      </c>
      <c r="M427" s="26"/>
      <c r="N427" s="31"/>
    </row>
    <row r="428" spans="1:14" s="143" customFormat="1" ht="14.25" customHeight="1">
      <c r="A428" s="217" t="s">
        <v>42</v>
      </c>
      <c r="B428" s="23" t="s">
        <v>279</v>
      </c>
      <c r="C428" s="23" t="s">
        <v>15</v>
      </c>
      <c r="D428" s="23"/>
      <c r="E428" s="23"/>
      <c r="F428" s="23"/>
      <c r="G428" s="17" t="e">
        <f>G459+#REF!+#REF!</f>
        <v>#REF!</v>
      </c>
      <c r="H428" s="19" t="e">
        <f>H459+#REF!+H429</f>
        <v>#REF!</v>
      </c>
      <c r="I428" s="19" t="e">
        <f>I459+#REF!+I429</f>
        <v>#REF!</v>
      </c>
      <c r="J428" s="256">
        <f>J434+J459+J465+J429</f>
        <v>74832.11597000001</v>
      </c>
      <c r="K428" s="256">
        <f>K434+K459+K465+K429</f>
        <v>74790.42796999999</v>
      </c>
      <c r="L428" s="256">
        <f t="shared" si="51"/>
        <v>99.94429129864945</v>
      </c>
      <c r="M428" s="28" t="e">
        <f>M429+M434+M459+#REF!+M465</f>
        <v>#REF!</v>
      </c>
      <c r="N428" s="80" t="e">
        <f>N429+N434+N459+#REF!+N465</f>
        <v>#DIV/0!</v>
      </c>
    </row>
    <row r="429" spans="1:14" ht="15" customHeight="1">
      <c r="A429" s="218" t="s">
        <v>44</v>
      </c>
      <c r="B429" s="23" t="s">
        <v>279</v>
      </c>
      <c r="C429" s="23" t="s">
        <v>15</v>
      </c>
      <c r="D429" s="23" t="s">
        <v>7</v>
      </c>
      <c r="E429" s="23"/>
      <c r="F429" s="23"/>
      <c r="G429" s="62"/>
      <c r="H429" s="62">
        <f>H430</f>
        <v>667</v>
      </c>
      <c r="I429" s="62">
        <f aca="true" t="shared" si="54" ref="I429:N430">I430</f>
        <v>0</v>
      </c>
      <c r="J429" s="272">
        <f t="shared" si="54"/>
        <v>201.7464</v>
      </c>
      <c r="K429" s="256">
        <f t="shared" si="54"/>
        <v>178.78</v>
      </c>
      <c r="L429" s="256">
        <f t="shared" si="51"/>
        <v>88.61620331267373</v>
      </c>
      <c r="M429" s="38">
        <f t="shared" si="54"/>
        <v>0</v>
      </c>
      <c r="N429" s="53" t="e">
        <f t="shared" si="54"/>
        <v>#DIV/0!</v>
      </c>
    </row>
    <row r="430" spans="1:14" ht="45" customHeight="1">
      <c r="A430" s="219" t="s">
        <v>333</v>
      </c>
      <c r="B430" s="18" t="s">
        <v>279</v>
      </c>
      <c r="C430" s="18" t="s">
        <v>15</v>
      </c>
      <c r="D430" s="18" t="s">
        <v>7</v>
      </c>
      <c r="E430" s="18" t="s">
        <v>334</v>
      </c>
      <c r="F430" s="18"/>
      <c r="G430" s="71"/>
      <c r="H430" s="71">
        <f>H431</f>
        <v>667</v>
      </c>
      <c r="I430" s="71">
        <f t="shared" si="54"/>
        <v>0</v>
      </c>
      <c r="J430" s="273">
        <f t="shared" si="54"/>
        <v>201.7464</v>
      </c>
      <c r="K430" s="257">
        <f t="shared" si="54"/>
        <v>178.78</v>
      </c>
      <c r="L430" s="257">
        <f t="shared" si="51"/>
        <v>88.61620331267373</v>
      </c>
      <c r="M430" s="26">
        <f t="shared" si="54"/>
        <v>0</v>
      </c>
      <c r="N430" s="27" t="e">
        <f t="shared" si="54"/>
        <v>#DIV/0!</v>
      </c>
    </row>
    <row r="431" spans="1:14" ht="40.5" customHeight="1">
      <c r="A431" s="219" t="s">
        <v>347</v>
      </c>
      <c r="B431" s="18" t="s">
        <v>279</v>
      </c>
      <c r="C431" s="18" t="s">
        <v>15</v>
      </c>
      <c r="D431" s="18" t="s">
        <v>7</v>
      </c>
      <c r="E431" s="18" t="s">
        <v>320</v>
      </c>
      <c r="F431" s="18"/>
      <c r="G431" s="71"/>
      <c r="H431" s="71">
        <f>H433</f>
        <v>667</v>
      </c>
      <c r="I431" s="71">
        <f>I433</f>
        <v>0</v>
      </c>
      <c r="J431" s="273">
        <f>J433+J432</f>
        <v>201.7464</v>
      </c>
      <c r="K431" s="273">
        <f>K433+K432</f>
        <v>178.78</v>
      </c>
      <c r="L431" s="257">
        <f t="shared" si="51"/>
        <v>88.61620331267373</v>
      </c>
      <c r="M431" s="26">
        <f>M433</f>
        <v>0</v>
      </c>
      <c r="N431" s="27" t="e">
        <f>N433</f>
        <v>#DIV/0!</v>
      </c>
    </row>
    <row r="432" spans="1:14" ht="40.5" customHeight="1">
      <c r="A432" s="214" t="s">
        <v>536</v>
      </c>
      <c r="B432" s="18" t="s">
        <v>279</v>
      </c>
      <c r="C432" s="18" t="s">
        <v>15</v>
      </c>
      <c r="D432" s="18" t="s">
        <v>7</v>
      </c>
      <c r="E432" s="18" t="s">
        <v>320</v>
      </c>
      <c r="F432" s="18" t="s">
        <v>535</v>
      </c>
      <c r="G432" s="71"/>
      <c r="H432" s="71"/>
      <c r="I432" s="71"/>
      <c r="J432" s="273">
        <v>201.7464</v>
      </c>
      <c r="K432" s="257">
        <v>178.78</v>
      </c>
      <c r="L432" s="257">
        <f t="shared" si="51"/>
        <v>88.61620331267373</v>
      </c>
      <c r="M432" s="26"/>
      <c r="N432" s="27"/>
    </row>
    <row r="433" spans="1:14" ht="15" customHeight="1" hidden="1">
      <c r="A433" s="219" t="s">
        <v>321</v>
      </c>
      <c r="B433" s="18" t="s">
        <v>279</v>
      </c>
      <c r="C433" s="18" t="s">
        <v>15</v>
      </c>
      <c r="D433" s="18" t="s">
        <v>7</v>
      </c>
      <c r="E433" s="18" t="s">
        <v>320</v>
      </c>
      <c r="F433" s="18" t="s">
        <v>337</v>
      </c>
      <c r="G433" s="71"/>
      <c r="H433" s="71">
        <v>667</v>
      </c>
      <c r="I433" s="71"/>
      <c r="J433" s="273">
        <v>0</v>
      </c>
      <c r="K433" s="257"/>
      <c r="L433" s="257" t="e">
        <f t="shared" si="51"/>
        <v>#DIV/0!</v>
      </c>
      <c r="M433" s="55"/>
      <c r="N433" s="27" t="e">
        <f>L433+M433</f>
        <v>#DIV/0!</v>
      </c>
    </row>
    <row r="434" spans="1:14" ht="18" customHeight="1">
      <c r="A434" s="218" t="s">
        <v>45</v>
      </c>
      <c r="B434" s="23" t="s">
        <v>279</v>
      </c>
      <c r="C434" s="23" t="s">
        <v>15</v>
      </c>
      <c r="D434" s="23" t="s">
        <v>8</v>
      </c>
      <c r="E434" s="18"/>
      <c r="F434" s="18"/>
      <c r="G434" s="71"/>
      <c r="H434" s="71"/>
      <c r="I434" s="71"/>
      <c r="J434" s="273">
        <f>J437+J440+J444+J450+J435</f>
        <v>74620.36957000001</v>
      </c>
      <c r="K434" s="273">
        <f>K437+K440+K444+K450+K435</f>
        <v>74601.64796999999</v>
      </c>
      <c r="L434" s="257">
        <f t="shared" si="51"/>
        <v>99.97491087204754</v>
      </c>
      <c r="M434" s="186" t="e">
        <f>M437+M440+M444+M450+M435</f>
        <v>#REF!</v>
      </c>
      <c r="N434" s="186" t="e">
        <f>N437+N440+N444+N450+N435</f>
        <v>#DIV/0!</v>
      </c>
    </row>
    <row r="435" spans="1:14" ht="21.75" customHeight="1">
      <c r="A435" s="219" t="s">
        <v>498</v>
      </c>
      <c r="B435" s="18" t="s">
        <v>279</v>
      </c>
      <c r="C435" s="18" t="s">
        <v>15</v>
      </c>
      <c r="D435" s="18" t="s">
        <v>8</v>
      </c>
      <c r="E435" s="18" t="s">
        <v>499</v>
      </c>
      <c r="F435" s="18"/>
      <c r="G435" s="71"/>
      <c r="H435" s="71"/>
      <c r="I435" s="71"/>
      <c r="J435" s="273">
        <f>J436</f>
        <v>11780</v>
      </c>
      <c r="K435" s="273">
        <f>K436</f>
        <v>11780</v>
      </c>
      <c r="L435" s="257">
        <f t="shared" si="51"/>
        <v>100</v>
      </c>
      <c r="M435" s="26"/>
      <c r="N435" s="27"/>
    </row>
    <row r="436" spans="1:14" ht="38.25" customHeight="1">
      <c r="A436" s="219" t="s">
        <v>495</v>
      </c>
      <c r="B436" s="18" t="s">
        <v>279</v>
      </c>
      <c r="C436" s="18" t="s">
        <v>15</v>
      </c>
      <c r="D436" s="18" t="s">
        <v>8</v>
      </c>
      <c r="E436" s="18" t="s">
        <v>499</v>
      </c>
      <c r="F436" s="18" t="s">
        <v>494</v>
      </c>
      <c r="G436" s="71"/>
      <c r="H436" s="71"/>
      <c r="I436" s="71"/>
      <c r="J436" s="273">
        <v>11780</v>
      </c>
      <c r="K436" s="273">
        <v>11780</v>
      </c>
      <c r="L436" s="257">
        <f t="shared" si="51"/>
        <v>100</v>
      </c>
      <c r="M436" s="26"/>
      <c r="N436" s="27"/>
    </row>
    <row r="437" spans="1:14" ht="46.5" customHeight="1">
      <c r="A437" s="214" t="s">
        <v>319</v>
      </c>
      <c r="B437" s="18" t="s">
        <v>279</v>
      </c>
      <c r="C437" s="18" t="s">
        <v>15</v>
      </c>
      <c r="D437" s="18" t="s">
        <v>8</v>
      </c>
      <c r="E437" s="18" t="s">
        <v>320</v>
      </c>
      <c r="F437" s="18"/>
      <c r="G437" s="71"/>
      <c r="H437" s="71"/>
      <c r="I437" s="71"/>
      <c r="J437" s="257">
        <f>J438+J439</f>
        <v>34597.3746</v>
      </c>
      <c r="K437" s="257">
        <f>K438+K439</f>
        <v>34578.653</v>
      </c>
      <c r="L437" s="257">
        <f t="shared" si="51"/>
        <v>99.94588722347734</v>
      </c>
      <c r="M437" s="26"/>
      <c r="N437" s="27"/>
    </row>
    <row r="438" spans="1:14" ht="16.5" customHeight="1">
      <c r="A438" s="214" t="s">
        <v>536</v>
      </c>
      <c r="B438" s="18" t="s">
        <v>279</v>
      </c>
      <c r="C438" s="18" t="s">
        <v>15</v>
      </c>
      <c r="D438" s="18" t="s">
        <v>8</v>
      </c>
      <c r="E438" s="18" t="s">
        <v>320</v>
      </c>
      <c r="F438" s="18" t="s">
        <v>535</v>
      </c>
      <c r="G438" s="71"/>
      <c r="H438" s="71"/>
      <c r="I438" s="71"/>
      <c r="J438" s="273">
        <v>34597.3746</v>
      </c>
      <c r="K438" s="257">
        <v>34578.653</v>
      </c>
      <c r="L438" s="257">
        <f t="shared" si="51"/>
        <v>99.94588722347734</v>
      </c>
      <c r="M438" s="26"/>
      <c r="N438" s="27"/>
    </row>
    <row r="439" spans="1:14" ht="36.75" hidden="1">
      <c r="A439" s="214" t="s">
        <v>336</v>
      </c>
      <c r="B439" s="18" t="s">
        <v>279</v>
      </c>
      <c r="C439" s="18" t="s">
        <v>15</v>
      </c>
      <c r="D439" s="18" t="s">
        <v>8</v>
      </c>
      <c r="E439" s="18" t="s">
        <v>320</v>
      </c>
      <c r="F439" s="18" t="s">
        <v>337</v>
      </c>
      <c r="G439" s="71"/>
      <c r="H439" s="71"/>
      <c r="I439" s="71"/>
      <c r="J439" s="273">
        <v>0</v>
      </c>
      <c r="K439" s="257"/>
      <c r="L439" s="257" t="e">
        <f t="shared" si="51"/>
        <v>#DIV/0!</v>
      </c>
      <c r="M439" s="26"/>
      <c r="N439" s="27"/>
    </row>
    <row r="440" spans="1:14" ht="24.75">
      <c r="A440" s="219" t="s">
        <v>131</v>
      </c>
      <c r="B440" s="18" t="s">
        <v>279</v>
      </c>
      <c r="C440" s="18" t="s">
        <v>15</v>
      </c>
      <c r="D440" s="18" t="s">
        <v>8</v>
      </c>
      <c r="E440" s="18" t="s">
        <v>132</v>
      </c>
      <c r="F440" s="18"/>
      <c r="G440" s="71"/>
      <c r="H440" s="71"/>
      <c r="I440" s="71"/>
      <c r="J440" s="273">
        <f>J441</f>
        <v>494.4497</v>
      </c>
      <c r="K440" s="273">
        <f>K441</f>
        <v>494.4497</v>
      </c>
      <c r="L440" s="257">
        <f t="shared" si="51"/>
        <v>100</v>
      </c>
      <c r="M440" s="128">
        <f>M441</f>
        <v>0</v>
      </c>
      <c r="N440" s="128">
        <f>N441</f>
        <v>0</v>
      </c>
    </row>
    <row r="441" spans="1:14" ht="24.75">
      <c r="A441" s="219" t="s">
        <v>106</v>
      </c>
      <c r="B441" s="18" t="s">
        <v>279</v>
      </c>
      <c r="C441" s="18" t="s">
        <v>15</v>
      </c>
      <c r="D441" s="18" t="s">
        <v>8</v>
      </c>
      <c r="E441" s="18" t="s">
        <v>133</v>
      </c>
      <c r="F441" s="18"/>
      <c r="G441" s="71"/>
      <c r="H441" s="71"/>
      <c r="I441" s="71"/>
      <c r="J441" s="273">
        <f>J443+J442</f>
        <v>494.4497</v>
      </c>
      <c r="K441" s="273">
        <f>K443+K442</f>
        <v>494.4497</v>
      </c>
      <c r="L441" s="257">
        <f t="shared" si="51"/>
        <v>100</v>
      </c>
      <c r="M441" s="186">
        <f>M443+M442</f>
        <v>0</v>
      </c>
      <c r="N441" s="186">
        <f>N443+N442</f>
        <v>0</v>
      </c>
    </row>
    <row r="442" spans="1:14" ht="24.75">
      <c r="A442" s="219" t="s">
        <v>495</v>
      </c>
      <c r="B442" s="18" t="s">
        <v>279</v>
      </c>
      <c r="C442" s="18" t="s">
        <v>15</v>
      </c>
      <c r="D442" s="18" t="s">
        <v>8</v>
      </c>
      <c r="E442" s="18" t="s">
        <v>133</v>
      </c>
      <c r="F442" s="18" t="s">
        <v>494</v>
      </c>
      <c r="G442" s="71"/>
      <c r="H442" s="71"/>
      <c r="I442" s="71"/>
      <c r="J442" s="273">
        <v>494.4497</v>
      </c>
      <c r="K442" s="273">
        <v>494.4497</v>
      </c>
      <c r="L442" s="257">
        <f t="shared" si="51"/>
        <v>100</v>
      </c>
      <c r="M442" s="198"/>
      <c r="N442" s="199"/>
    </row>
    <row r="443" spans="1:14" ht="36" hidden="1">
      <c r="A443" s="215" t="s">
        <v>156</v>
      </c>
      <c r="B443" s="18" t="s">
        <v>279</v>
      </c>
      <c r="C443" s="18" t="s">
        <v>15</v>
      </c>
      <c r="D443" s="18" t="s">
        <v>8</v>
      </c>
      <c r="E443" s="18" t="s">
        <v>133</v>
      </c>
      <c r="F443" s="18" t="s">
        <v>158</v>
      </c>
      <c r="G443" s="71"/>
      <c r="H443" s="71"/>
      <c r="I443" s="71"/>
      <c r="J443" s="273">
        <v>0</v>
      </c>
      <c r="K443" s="257"/>
      <c r="L443" s="257" t="e">
        <f t="shared" si="51"/>
        <v>#DIV/0!</v>
      </c>
      <c r="M443" s="26"/>
      <c r="N443" s="27"/>
    </row>
    <row r="444" spans="1:14" ht="24.75">
      <c r="A444" s="219" t="s">
        <v>508</v>
      </c>
      <c r="B444" s="18" t="s">
        <v>279</v>
      </c>
      <c r="C444" s="18" t="s">
        <v>15</v>
      </c>
      <c r="D444" s="18" t="s">
        <v>8</v>
      </c>
      <c r="E444" s="18" t="s">
        <v>148</v>
      </c>
      <c r="F444" s="18"/>
      <c r="G444" s="25"/>
      <c r="H444" s="24"/>
      <c r="I444" s="25"/>
      <c r="J444" s="273">
        <f>J445</f>
        <v>7748.54527</v>
      </c>
      <c r="K444" s="257">
        <f>K445</f>
        <v>7748.54527</v>
      </c>
      <c r="L444" s="257">
        <f t="shared" si="51"/>
        <v>100</v>
      </c>
      <c r="M444" s="26"/>
      <c r="N444" s="27"/>
    </row>
    <row r="445" spans="1:14" ht="28.5" customHeight="1">
      <c r="A445" s="219" t="s">
        <v>106</v>
      </c>
      <c r="B445" s="18" t="s">
        <v>279</v>
      </c>
      <c r="C445" s="18" t="s">
        <v>15</v>
      </c>
      <c r="D445" s="18" t="s">
        <v>8</v>
      </c>
      <c r="E445" s="18" t="s">
        <v>149</v>
      </c>
      <c r="F445" s="18"/>
      <c r="G445" s="30">
        <f aca="true" t="shared" si="55" ref="G445:N445">G446</f>
        <v>200</v>
      </c>
      <c r="H445" s="30">
        <f t="shared" si="55"/>
        <v>0</v>
      </c>
      <c r="I445" s="30">
        <f t="shared" si="55"/>
        <v>0</v>
      </c>
      <c r="J445" s="257">
        <f>J446+J447+J449+J448</f>
        <v>7748.54527</v>
      </c>
      <c r="K445" s="257">
        <f>K446+K447+K449+K448</f>
        <v>7748.54527</v>
      </c>
      <c r="L445" s="257">
        <f t="shared" si="51"/>
        <v>100</v>
      </c>
      <c r="M445" s="26">
        <f t="shared" si="55"/>
        <v>0</v>
      </c>
      <c r="N445" s="27">
        <f t="shared" si="55"/>
        <v>100</v>
      </c>
    </row>
    <row r="446" spans="1:14" ht="27" customHeight="1">
      <c r="A446" s="219" t="s">
        <v>495</v>
      </c>
      <c r="B446" s="18" t="s">
        <v>279</v>
      </c>
      <c r="C446" s="18" t="s">
        <v>15</v>
      </c>
      <c r="D446" s="18" t="s">
        <v>8</v>
      </c>
      <c r="E446" s="18" t="s">
        <v>149</v>
      </c>
      <c r="F446" s="18" t="s">
        <v>494</v>
      </c>
      <c r="G446" s="30">
        <v>200</v>
      </c>
      <c r="H446" s="24"/>
      <c r="I446" s="30"/>
      <c r="J446" s="273">
        <v>151.6906</v>
      </c>
      <c r="K446" s="257">
        <v>151.6906</v>
      </c>
      <c r="L446" s="257">
        <f t="shared" si="51"/>
        <v>100</v>
      </c>
      <c r="M446" s="26"/>
      <c r="N446" s="27">
        <f>L446+M446</f>
        <v>100</v>
      </c>
    </row>
    <row r="447" spans="1:14" ht="18" customHeight="1" hidden="1">
      <c r="A447" s="214" t="s">
        <v>355</v>
      </c>
      <c r="B447" s="18" t="s">
        <v>279</v>
      </c>
      <c r="C447" s="18" t="s">
        <v>15</v>
      </c>
      <c r="D447" s="18" t="s">
        <v>8</v>
      </c>
      <c r="E447" s="18" t="s">
        <v>149</v>
      </c>
      <c r="F447" s="18" t="s">
        <v>356</v>
      </c>
      <c r="G447" s="30"/>
      <c r="H447" s="24"/>
      <c r="I447" s="30"/>
      <c r="J447" s="273">
        <v>0</v>
      </c>
      <c r="K447" s="257"/>
      <c r="L447" s="257" t="e">
        <f t="shared" si="51"/>
        <v>#DIV/0!</v>
      </c>
      <c r="M447" s="26"/>
      <c r="N447" s="27"/>
    </row>
    <row r="448" spans="1:14" ht="27.75" customHeight="1">
      <c r="A448" s="214" t="s">
        <v>538</v>
      </c>
      <c r="B448" s="18" t="s">
        <v>279</v>
      </c>
      <c r="C448" s="18" t="s">
        <v>15</v>
      </c>
      <c r="D448" s="18" t="s">
        <v>8</v>
      </c>
      <c r="E448" s="18" t="s">
        <v>149</v>
      </c>
      <c r="F448" s="18" t="s">
        <v>537</v>
      </c>
      <c r="G448" s="30"/>
      <c r="H448" s="24"/>
      <c r="I448" s="30"/>
      <c r="J448" s="273">
        <v>7596.85467</v>
      </c>
      <c r="K448" s="257">
        <v>7596.85467</v>
      </c>
      <c r="L448" s="257">
        <f t="shared" si="51"/>
        <v>100</v>
      </c>
      <c r="M448" s="26"/>
      <c r="N448" s="31"/>
    </row>
    <row r="449" spans="1:14" ht="25.5" customHeight="1" hidden="1">
      <c r="A449" s="214" t="s">
        <v>525</v>
      </c>
      <c r="B449" s="18" t="s">
        <v>279</v>
      </c>
      <c r="C449" s="18" t="s">
        <v>15</v>
      </c>
      <c r="D449" s="18" t="s">
        <v>8</v>
      </c>
      <c r="E449" s="18" t="s">
        <v>149</v>
      </c>
      <c r="F449" s="18" t="s">
        <v>514</v>
      </c>
      <c r="G449" s="30"/>
      <c r="H449" s="24"/>
      <c r="I449" s="30"/>
      <c r="J449" s="273">
        <v>0</v>
      </c>
      <c r="K449" s="257"/>
      <c r="L449" s="257" t="e">
        <f t="shared" si="51"/>
        <v>#DIV/0!</v>
      </c>
      <c r="M449" s="26"/>
      <c r="N449" s="31"/>
    </row>
    <row r="450" spans="1:14" ht="17.25" customHeight="1">
      <c r="A450" s="214" t="s">
        <v>348</v>
      </c>
      <c r="B450" s="18" t="s">
        <v>279</v>
      </c>
      <c r="C450" s="18" t="s">
        <v>15</v>
      </c>
      <c r="D450" s="18" t="s">
        <v>8</v>
      </c>
      <c r="E450" s="18" t="s">
        <v>349</v>
      </c>
      <c r="F450" s="18"/>
      <c r="G450" s="71"/>
      <c r="H450" s="71"/>
      <c r="I450" s="71"/>
      <c r="J450" s="273">
        <f>J451+J453+J456</f>
        <v>20000</v>
      </c>
      <c r="K450" s="273">
        <f>K451+K453+K456</f>
        <v>20000</v>
      </c>
      <c r="L450" s="257">
        <f t="shared" si="51"/>
        <v>100</v>
      </c>
      <c r="M450" s="128" t="e">
        <f>M451+#REF!</f>
        <v>#REF!</v>
      </c>
      <c r="N450" s="128" t="e">
        <f>N451+#REF!</f>
        <v>#DIV/0!</v>
      </c>
    </row>
    <row r="451" spans="1:14" ht="24.75" hidden="1">
      <c r="A451" s="214" t="s">
        <v>350</v>
      </c>
      <c r="B451" s="18" t="s">
        <v>279</v>
      </c>
      <c r="C451" s="18" t="s">
        <v>15</v>
      </c>
      <c r="D451" s="18" t="s">
        <v>8</v>
      </c>
      <c r="E451" s="18" t="s">
        <v>351</v>
      </c>
      <c r="F451" s="18"/>
      <c r="G451" s="71"/>
      <c r="H451" s="71"/>
      <c r="I451" s="71"/>
      <c r="J451" s="257">
        <f>J452</f>
        <v>0</v>
      </c>
      <c r="K451" s="257">
        <f>K452</f>
        <v>0</v>
      </c>
      <c r="L451" s="257" t="e">
        <f t="shared" si="51"/>
        <v>#DIV/0!</v>
      </c>
      <c r="M451" s="55"/>
      <c r="N451" s="27" t="e">
        <f>L451+M451</f>
        <v>#DIV/0!</v>
      </c>
    </row>
    <row r="452" spans="1:14" ht="15" hidden="1">
      <c r="A452" s="214" t="s">
        <v>321</v>
      </c>
      <c r="B452" s="18" t="s">
        <v>279</v>
      </c>
      <c r="C452" s="18" t="s">
        <v>15</v>
      </c>
      <c r="D452" s="18" t="s">
        <v>8</v>
      </c>
      <c r="E452" s="18" t="s">
        <v>351</v>
      </c>
      <c r="F452" s="18" t="s">
        <v>322</v>
      </c>
      <c r="G452" s="71"/>
      <c r="H452" s="71"/>
      <c r="I452" s="71"/>
      <c r="J452" s="273"/>
      <c r="K452" s="257"/>
      <c r="L452" s="257" t="e">
        <f t="shared" si="51"/>
        <v>#DIV/0!</v>
      </c>
      <c r="M452" s="55"/>
      <c r="N452" s="27" t="e">
        <f>L452+M452</f>
        <v>#DIV/0!</v>
      </c>
    </row>
    <row r="453" spans="1:14" ht="24">
      <c r="A453" s="215" t="s">
        <v>450</v>
      </c>
      <c r="B453" s="18" t="s">
        <v>279</v>
      </c>
      <c r="C453" s="18" t="s">
        <v>15</v>
      </c>
      <c r="D453" s="18" t="s">
        <v>8</v>
      </c>
      <c r="E453" s="18" t="s">
        <v>451</v>
      </c>
      <c r="F453" s="18"/>
      <c r="G453" s="71"/>
      <c r="H453" s="71"/>
      <c r="I453" s="71"/>
      <c r="J453" s="273">
        <f>J455+J454</f>
        <v>10000</v>
      </c>
      <c r="K453" s="273">
        <f>K455+K454</f>
        <v>10000</v>
      </c>
      <c r="L453" s="257">
        <f t="shared" si="51"/>
        <v>100</v>
      </c>
      <c r="M453" s="55"/>
      <c r="N453" s="27"/>
    </row>
    <row r="454" spans="1:14" ht="36.75">
      <c r="A454" s="214" t="s">
        <v>536</v>
      </c>
      <c r="B454" s="18" t="s">
        <v>279</v>
      </c>
      <c r="C454" s="18" t="s">
        <v>15</v>
      </c>
      <c r="D454" s="18" t="s">
        <v>8</v>
      </c>
      <c r="E454" s="18" t="s">
        <v>451</v>
      </c>
      <c r="F454" s="18" t="s">
        <v>535</v>
      </c>
      <c r="G454" s="71"/>
      <c r="H454" s="71"/>
      <c r="I454" s="71"/>
      <c r="J454" s="273">
        <v>10000</v>
      </c>
      <c r="K454" s="273">
        <v>10000</v>
      </c>
      <c r="L454" s="257">
        <f t="shared" si="51"/>
        <v>100</v>
      </c>
      <c r="M454" s="55"/>
      <c r="N454" s="27"/>
    </row>
    <row r="455" spans="1:14" ht="36" hidden="1">
      <c r="A455" s="215" t="s">
        <v>352</v>
      </c>
      <c r="B455" s="18" t="s">
        <v>279</v>
      </c>
      <c r="C455" s="18" t="s">
        <v>15</v>
      </c>
      <c r="D455" s="18" t="s">
        <v>8</v>
      </c>
      <c r="E455" s="18" t="s">
        <v>451</v>
      </c>
      <c r="F455" s="18" t="s">
        <v>337</v>
      </c>
      <c r="G455" s="71"/>
      <c r="H455" s="71"/>
      <c r="I455" s="71"/>
      <c r="J455" s="273">
        <v>0</v>
      </c>
      <c r="K455" s="257"/>
      <c r="L455" s="257" t="e">
        <f t="shared" si="51"/>
        <v>#DIV/0!</v>
      </c>
      <c r="M455" s="55"/>
      <c r="N455" s="27"/>
    </row>
    <row r="456" spans="1:14" ht="24.75">
      <c r="A456" s="214" t="s">
        <v>353</v>
      </c>
      <c r="B456" s="18" t="s">
        <v>279</v>
      </c>
      <c r="C456" s="18" t="s">
        <v>15</v>
      </c>
      <c r="D456" s="18" t="s">
        <v>8</v>
      </c>
      <c r="E456" s="18" t="s">
        <v>354</v>
      </c>
      <c r="F456" s="18"/>
      <c r="G456" s="25">
        <f aca="true" t="shared" si="56" ref="G456:N456">G457</f>
        <v>52.672</v>
      </c>
      <c r="H456" s="25">
        <f t="shared" si="56"/>
        <v>778</v>
      </c>
      <c r="I456" s="25">
        <f t="shared" si="56"/>
        <v>0</v>
      </c>
      <c r="J456" s="257">
        <f>J457+J458</f>
        <v>10000</v>
      </c>
      <c r="K456" s="257">
        <f>K457+K458</f>
        <v>10000</v>
      </c>
      <c r="L456" s="257">
        <f t="shared" si="51"/>
        <v>100</v>
      </c>
      <c r="M456" s="26">
        <f t="shared" si="56"/>
        <v>0</v>
      </c>
      <c r="N456" s="27">
        <f t="shared" si="56"/>
        <v>100</v>
      </c>
    </row>
    <row r="457" spans="1:14" ht="16.5" customHeight="1">
      <c r="A457" s="214" t="s">
        <v>536</v>
      </c>
      <c r="B457" s="18" t="s">
        <v>279</v>
      </c>
      <c r="C457" s="18" t="s">
        <v>15</v>
      </c>
      <c r="D457" s="18" t="s">
        <v>8</v>
      </c>
      <c r="E457" s="18" t="s">
        <v>354</v>
      </c>
      <c r="F457" s="18" t="s">
        <v>535</v>
      </c>
      <c r="G457" s="25">
        <f>52.672</f>
        <v>52.672</v>
      </c>
      <c r="H457" s="24">
        <v>778</v>
      </c>
      <c r="I457" s="25"/>
      <c r="J457" s="273">
        <v>10000</v>
      </c>
      <c r="K457" s="257">
        <v>10000</v>
      </c>
      <c r="L457" s="257">
        <f t="shared" si="51"/>
        <v>100</v>
      </c>
      <c r="M457" s="26"/>
      <c r="N457" s="27">
        <f>L457+M457</f>
        <v>100</v>
      </c>
    </row>
    <row r="458" spans="1:14" ht="32.25" customHeight="1" hidden="1">
      <c r="A458" s="215" t="s">
        <v>352</v>
      </c>
      <c r="B458" s="18" t="s">
        <v>279</v>
      </c>
      <c r="C458" s="18" t="s">
        <v>15</v>
      </c>
      <c r="D458" s="18" t="s">
        <v>8</v>
      </c>
      <c r="E458" s="18" t="s">
        <v>354</v>
      </c>
      <c r="F458" s="18" t="s">
        <v>337</v>
      </c>
      <c r="G458" s="25"/>
      <c r="H458" s="24"/>
      <c r="I458" s="25"/>
      <c r="J458" s="273">
        <v>0</v>
      </c>
      <c r="K458" s="257"/>
      <c r="L458" s="257" t="e">
        <f t="shared" si="51"/>
        <v>#DIV/0!</v>
      </c>
      <c r="M458" s="26"/>
      <c r="N458" s="27"/>
    </row>
    <row r="459" spans="1:14" s="121" customFormat="1" ht="14.25" hidden="1">
      <c r="A459" s="214" t="s">
        <v>240</v>
      </c>
      <c r="B459" s="23" t="s">
        <v>279</v>
      </c>
      <c r="C459" s="23" t="s">
        <v>15</v>
      </c>
      <c r="D459" s="23" t="s">
        <v>12</v>
      </c>
      <c r="E459" s="23"/>
      <c r="F459" s="23"/>
      <c r="G459" s="20" t="e">
        <f>G460+#REF!</f>
        <v>#REF!</v>
      </c>
      <c r="H459" s="20" t="e">
        <f>H460+#REF!</f>
        <v>#REF!</v>
      </c>
      <c r="I459" s="20" t="e">
        <f>I460+#REF!</f>
        <v>#REF!</v>
      </c>
      <c r="J459" s="272">
        <f>J460</f>
        <v>0</v>
      </c>
      <c r="K459" s="272">
        <f>K460</f>
        <v>0</v>
      </c>
      <c r="L459" s="257" t="e">
        <f t="shared" si="51"/>
        <v>#DIV/0!</v>
      </c>
      <c r="M459" s="38" t="e">
        <f>M460+#REF!</f>
        <v>#REF!</v>
      </c>
      <c r="N459" s="53" t="e">
        <f>N460+#REF!</f>
        <v>#DIV/0!</v>
      </c>
    </row>
    <row r="460" spans="1:14" ht="15" hidden="1">
      <c r="A460" s="214" t="s">
        <v>96</v>
      </c>
      <c r="B460" s="18" t="s">
        <v>279</v>
      </c>
      <c r="C460" s="18" t="s">
        <v>15</v>
      </c>
      <c r="D460" s="18" t="s">
        <v>12</v>
      </c>
      <c r="E460" s="18" t="s">
        <v>97</v>
      </c>
      <c r="F460" s="18"/>
      <c r="G460" s="30">
        <f aca="true" t="shared" si="57" ref="G460:N461">G461</f>
        <v>-42.5</v>
      </c>
      <c r="H460" s="30">
        <f t="shared" si="57"/>
        <v>0</v>
      </c>
      <c r="I460" s="30">
        <f t="shared" si="57"/>
        <v>0</v>
      </c>
      <c r="J460" s="273">
        <f>J461</f>
        <v>0</v>
      </c>
      <c r="K460" s="257">
        <f t="shared" si="57"/>
        <v>0</v>
      </c>
      <c r="L460" s="257" t="e">
        <f t="shared" si="51"/>
        <v>#DIV/0!</v>
      </c>
      <c r="M460" s="26">
        <f t="shared" si="57"/>
        <v>0</v>
      </c>
      <c r="N460" s="27" t="e">
        <f t="shared" si="57"/>
        <v>#DIV/0!</v>
      </c>
    </row>
    <row r="461" spans="1:14" ht="15" hidden="1">
      <c r="A461" s="214" t="s">
        <v>98</v>
      </c>
      <c r="B461" s="18" t="s">
        <v>279</v>
      </c>
      <c r="C461" s="18" t="s">
        <v>15</v>
      </c>
      <c r="D461" s="18" t="s">
        <v>12</v>
      </c>
      <c r="E461" s="18" t="s">
        <v>99</v>
      </c>
      <c r="F461" s="18"/>
      <c r="G461" s="25">
        <f>G462+G464+G463</f>
        <v>-42.5</v>
      </c>
      <c r="H461" s="25">
        <f>H462+H464+H463</f>
        <v>0</v>
      </c>
      <c r="I461" s="25">
        <f>I462+I464+I463</f>
        <v>0</v>
      </c>
      <c r="J461" s="257">
        <f>J462+J464+J463</f>
        <v>0</v>
      </c>
      <c r="K461" s="257">
        <f>K462+K464+K463</f>
        <v>0</v>
      </c>
      <c r="L461" s="257" t="e">
        <f t="shared" si="51"/>
        <v>#DIV/0!</v>
      </c>
      <c r="M461" s="26">
        <f t="shared" si="57"/>
        <v>0</v>
      </c>
      <c r="N461" s="27" t="e">
        <f t="shared" si="57"/>
        <v>#DIV/0!</v>
      </c>
    </row>
    <row r="462" spans="1:15" ht="24.75" hidden="1">
      <c r="A462" s="214" t="s">
        <v>357</v>
      </c>
      <c r="B462" s="18" t="s">
        <v>279</v>
      </c>
      <c r="C462" s="18" t="s">
        <v>15</v>
      </c>
      <c r="D462" s="18" t="s">
        <v>12</v>
      </c>
      <c r="E462" s="18" t="s">
        <v>99</v>
      </c>
      <c r="F462" s="18" t="s">
        <v>101</v>
      </c>
      <c r="G462" s="30">
        <v>-42.5</v>
      </c>
      <c r="H462" s="24"/>
      <c r="I462" s="30"/>
      <c r="J462" s="273"/>
      <c r="K462" s="257"/>
      <c r="L462" s="257" t="e">
        <f t="shared" si="51"/>
        <v>#DIV/0!</v>
      </c>
      <c r="M462" s="26"/>
      <c r="N462" s="31" t="e">
        <f>L462+M462</f>
        <v>#DIV/0!</v>
      </c>
      <c r="O462" s="74"/>
    </row>
    <row r="463" spans="1:14" ht="30" customHeight="1" hidden="1">
      <c r="A463" s="215" t="s">
        <v>165</v>
      </c>
      <c r="B463" s="18" t="s">
        <v>279</v>
      </c>
      <c r="C463" s="18" t="s">
        <v>15</v>
      </c>
      <c r="D463" s="18" t="s">
        <v>12</v>
      </c>
      <c r="E463" s="18" t="s">
        <v>99</v>
      </c>
      <c r="F463" s="18" t="s">
        <v>166</v>
      </c>
      <c r="G463" s="30"/>
      <c r="H463" s="30"/>
      <c r="I463" s="30"/>
      <c r="J463" s="273"/>
      <c r="K463" s="257"/>
      <c r="L463" s="257" t="e">
        <f t="shared" si="51"/>
        <v>#DIV/0!</v>
      </c>
      <c r="M463" s="26"/>
      <c r="N463" s="27"/>
    </row>
    <row r="464" spans="1:14" ht="30" customHeight="1" hidden="1">
      <c r="A464" s="215" t="s">
        <v>156</v>
      </c>
      <c r="B464" s="18" t="s">
        <v>279</v>
      </c>
      <c r="C464" s="18" t="s">
        <v>15</v>
      </c>
      <c r="D464" s="18" t="s">
        <v>12</v>
      </c>
      <c r="E464" s="18" t="s">
        <v>99</v>
      </c>
      <c r="F464" s="18" t="s">
        <v>158</v>
      </c>
      <c r="G464" s="30"/>
      <c r="H464" s="30"/>
      <c r="I464" s="30"/>
      <c r="J464" s="273"/>
      <c r="K464" s="257"/>
      <c r="L464" s="257" t="e">
        <f t="shared" si="51"/>
        <v>#DIV/0!</v>
      </c>
      <c r="M464" s="26"/>
      <c r="N464" s="27"/>
    </row>
    <row r="465" spans="1:14" s="121" customFormat="1" ht="14.25">
      <c r="A465" s="217" t="s">
        <v>47</v>
      </c>
      <c r="B465" s="23" t="s">
        <v>279</v>
      </c>
      <c r="C465" s="23" t="s">
        <v>15</v>
      </c>
      <c r="D465" s="23" t="s">
        <v>15</v>
      </c>
      <c r="E465" s="23"/>
      <c r="F465" s="23"/>
      <c r="G465" s="17"/>
      <c r="H465" s="17"/>
      <c r="I465" s="17"/>
      <c r="J465" s="272">
        <f aca="true" t="shared" si="58" ref="J465:K467">J466</f>
        <v>10</v>
      </c>
      <c r="K465" s="272">
        <f t="shared" si="58"/>
        <v>10</v>
      </c>
      <c r="L465" s="256">
        <f t="shared" si="51"/>
        <v>100</v>
      </c>
      <c r="M465" s="79">
        <f>M467</f>
        <v>0</v>
      </c>
      <c r="N465" s="79">
        <f>N467</f>
        <v>0</v>
      </c>
    </row>
    <row r="466" spans="1:14" s="121" customFormat="1" ht="14.25">
      <c r="A466" s="214" t="s">
        <v>340</v>
      </c>
      <c r="B466" s="18" t="s">
        <v>279</v>
      </c>
      <c r="C466" s="18" t="s">
        <v>15</v>
      </c>
      <c r="D466" s="18" t="s">
        <v>15</v>
      </c>
      <c r="E466" s="18" t="s">
        <v>269</v>
      </c>
      <c r="F466" s="23"/>
      <c r="G466" s="17"/>
      <c r="H466" s="17"/>
      <c r="I466" s="17"/>
      <c r="J466" s="273">
        <f t="shared" si="58"/>
        <v>10</v>
      </c>
      <c r="K466" s="273">
        <f t="shared" si="58"/>
        <v>10</v>
      </c>
      <c r="L466" s="257">
        <f t="shared" si="51"/>
        <v>100</v>
      </c>
      <c r="M466" s="79"/>
      <c r="N466" s="79"/>
    </row>
    <row r="467" spans="1:17" ht="30" customHeight="1">
      <c r="A467" s="221" t="s">
        <v>358</v>
      </c>
      <c r="B467" s="18" t="s">
        <v>279</v>
      </c>
      <c r="C467" s="18" t="s">
        <v>15</v>
      </c>
      <c r="D467" s="18" t="s">
        <v>15</v>
      </c>
      <c r="E467" s="18" t="s">
        <v>359</v>
      </c>
      <c r="F467" s="18"/>
      <c r="G467" s="30"/>
      <c r="H467" s="30"/>
      <c r="I467" s="30"/>
      <c r="J467" s="273">
        <f t="shared" si="58"/>
        <v>10</v>
      </c>
      <c r="K467" s="273">
        <f t="shared" si="58"/>
        <v>10</v>
      </c>
      <c r="L467" s="257">
        <f t="shared" si="51"/>
        <v>100</v>
      </c>
      <c r="M467" s="77">
        <f>M468</f>
        <v>0</v>
      </c>
      <c r="N467" s="77">
        <f>N468</f>
        <v>0</v>
      </c>
      <c r="Q467" s="136"/>
    </row>
    <row r="468" spans="1:14" ht="30" customHeight="1">
      <c r="A468" s="215" t="s">
        <v>156</v>
      </c>
      <c r="B468" s="18" t="s">
        <v>279</v>
      </c>
      <c r="C468" s="18" t="s">
        <v>15</v>
      </c>
      <c r="D468" s="18" t="s">
        <v>15</v>
      </c>
      <c r="E468" s="18" t="s">
        <v>359</v>
      </c>
      <c r="F468" s="18" t="s">
        <v>158</v>
      </c>
      <c r="G468" s="30"/>
      <c r="H468" s="30"/>
      <c r="I468" s="30"/>
      <c r="J468" s="273">
        <v>10</v>
      </c>
      <c r="K468" s="257">
        <v>10</v>
      </c>
      <c r="L468" s="257">
        <f t="shared" si="51"/>
        <v>100</v>
      </c>
      <c r="M468" s="26"/>
      <c r="N468" s="27"/>
    </row>
    <row r="469" spans="1:14" s="143" customFormat="1" ht="14.25">
      <c r="A469" s="217" t="s">
        <v>458</v>
      </c>
      <c r="B469" s="23" t="s">
        <v>279</v>
      </c>
      <c r="C469" s="23" t="s">
        <v>35</v>
      </c>
      <c r="D469" s="23"/>
      <c r="E469" s="23"/>
      <c r="F469" s="23"/>
      <c r="G469" s="17" t="e">
        <f>#REF!+#REF!</f>
        <v>#REF!</v>
      </c>
      <c r="H469" s="17" t="e">
        <f>#REF!+#REF!</f>
        <v>#REF!</v>
      </c>
      <c r="I469" s="17" t="e">
        <f>#REF!+#REF!</f>
        <v>#REF!</v>
      </c>
      <c r="J469" s="272">
        <f>J470+J474</f>
        <v>1209.576</v>
      </c>
      <c r="K469" s="272">
        <f>K470+K474</f>
        <v>1206.92417</v>
      </c>
      <c r="L469" s="256">
        <f t="shared" si="51"/>
        <v>99.78076367255963</v>
      </c>
      <c r="M469" s="28" t="e">
        <f>#REF!+#REF!+M470</f>
        <v>#REF!</v>
      </c>
      <c r="N469" s="29" t="e">
        <f>#REF!+#REF!+N470</f>
        <v>#REF!</v>
      </c>
    </row>
    <row r="470" spans="1:14" s="143" customFormat="1" ht="15" customHeight="1">
      <c r="A470" s="214" t="s">
        <v>51</v>
      </c>
      <c r="B470" s="23" t="s">
        <v>279</v>
      </c>
      <c r="C470" s="23" t="s">
        <v>35</v>
      </c>
      <c r="D470" s="23" t="s">
        <v>7</v>
      </c>
      <c r="E470" s="23"/>
      <c r="F470" s="23"/>
      <c r="G470" s="17"/>
      <c r="H470" s="17"/>
      <c r="I470" s="17"/>
      <c r="J470" s="272">
        <f>J471</f>
        <v>800</v>
      </c>
      <c r="K470" s="272">
        <f>K471</f>
        <v>800</v>
      </c>
      <c r="L470" s="256">
        <f t="shared" si="51"/>
        <v>100</v>
      </c>
      <c r="M470" s="38">
        <f>M471</f>
        <v>0</v>
      </c>
      <c r="N470" s="53" t="e">
        <f>N471</f>
        <v>#DIV/0!</v>
      </c>
    </row>
    <row r="471" spans="1:14" s="143" customFormat="1" ht="43.5" customHeight="1">
      <c r="A471" s="214" t="s">
        <v>319</v>
      </c>
      <c r="B471" s="18" t="s">
        <v>279</v>
      </c>
      <c r="C471" s="18" t="s">
        <v>35</v>
      </c>
      <c r="D471" s="18" t="s">
        <v>7</v>
      </c>
      <c r="E471" s="18" t="s">
        <v>335</v>
      </c>
      <c r="F471" s="18"/>
      <c r="G471" s="30"/>
      <c r="H471" s="30"/>
      <c r="I471" s="30"/>
      <c r="J471" s="273">
        <f>J473+J472</f>
        <v>800</v>
      </c>
      <c r="K471" s="273">
        <f>K473+K472</f>
        <v>800</v>
      </c>
      <c r="L471" s="257">
        <f t="shared" si="51"/>
        <v>100</v>
      </c>
      <c r="M471" s="206">
        <f>M473+M472</f>
        <v>0</v>
      </c>
      <c r="N471" s="206" t="e">
        <f>N473+N472</f>
        <v>#DIV/0!</v>
      </c>
    </row>
    <row r="472" spans="1:14" s="143" customFormat="1" ht="43.5" customHeight="1">
      <c r="A472" s="214" t="s">
        <v>536</v>
      </c>
      <c r="B472" s="18" t="s">
        <v>279</v>
      </c>
      <c r="C472" s="18" t="s">
        <v>35</v>
      </c>
      <c r="D472" s="18" t="s">
        <v>7</v>
      </c>
      <c r="E472" s="18" t="s">
        <v>320</v>
      </c>
      <c r="F472" s="18" t="s">
        <v>535</v>
      </c>
      <c r="G472" s="30"/>
      <c r="H472" s="30"/>
      <c r="I472" s="30"/>
      <c r="J472" s="273">
        <v>800</v>
      </c>
      <c r="K472" s="273">
        <v>800</v>
      </c>
      <c r="L472" s="257">
        <f t="shared" si="51"/>
        <v>100</v>
      </c>
      <c r="M472" s="26"/>
      <c r="N472" s="27"/>
    </row>
    <row r="473" spans="1:14" s="143" customFormat="1" ht="37.5" customHeight="1" hidden="1">
      <c r="A473" s="214" t="s">
        <v>336</v>
      </c>
      <c r="B473" s="18" t="s">
        <v>279</v>
      </c>
      <c r="C473" s="18" t="s">
        <v>35</v>
      </c>
      <c r="D473" s="18" t="s">
        <v>7</v>
      </c>
      <c r="E473" s="18" t="s">
        <v>320</v>
      </c>
      <c r="F473" s="18" t="s">
        <v>337</v>
      </c>
      <c r="G473" s="30"/>
      <c r="H473" s="30"/>
      <c r="I473" s="30"/>
      <c r="J473" s="273"/>
      <c r="K473" s="257"/>
      <c r="L473" s="257" t="e">
        <f t="shared" si="51"/>
        <v>#DIV/0!</v>
      </c>
      <c r="M473" s="83"/>
      <c r="N473" s="84" t="e">
        <f>L473+M473</f>
        <v>#DIV/0!</v>
      </c>
    </row>
    <row r="474" spans="1:14" ht="24.75">
      <c r="A474" s="217" t="s">
        <v>364</v>
      </c>
      <c r="B474" s="23" t="s">
        <v>279</v>
      </c>
      <c r="C474" s="23" t="s">
        <v>35</v>
      </c>
      <c r="D474" s="23" t="s">
        <v>10</v>
      </c>
      <c r="E474" s="23"/>
      <c r="F474" s="23"/>
      <c r="G474" s="17">
        <f aca="true" t="shared" si="59" ref="G474:K476">G475</f>
        <v>50</v>
      </c>
      <c r="H474" s="17">
        <f t="shared" si="59"/>
        <v>44</v>
      </c>
      <c r="I474" s="17">
        <f t="shared" si="59"/>
        <v>0</v>
      </c>
      <c r="J474" s="272">
        <f t="shared" si="59"/>
        <v>409.576</v>
      </c>
      <c r="K474" s="256">
        <f t="shared" si="59"/>
        <v>406.92417</v>
      </c>
      <c r="L474" s="256">
        <f t="shared" si="51"/>
        <v>99.35254262945094</v>
      </c>
      <c r="M474" s="26"/>
      <c r="N474" s="27"/>
    </row>
    <row r="475" spans="1:14" ht="24.75">
      <c r="A475" s="214" t="s">
        <v>365</v>
      </c>
      <c r="B475" s="18" t="s">
        <v>279</v>
      </c>
      <c r="C475" s="18" t="s">
        <v>35</v>
      </c>
      <c r="D475" s="18" t="s">
        <v>10</v>
      </c>
      <c r="E475" s="18" t="s">
        <v>112</v>
      </c>
      <c r="F475" s="18"/>
      <c r="G475" s="30">
        <f t="shared" si="59"/>
        <v>50</v>
      </c>
      <c r="H475" s="30">
        <f t="shared" si="59"/>
        <v>44</v>
      </c>
      <c r="I475" s="30">
        <f t="shared" si="59"/>
        <v>0</v>
      </c>
      <c r="J475" s="273">
        <f t="shared" si="59"/>
        <v>409.576</v>
      </c>
      <c r="K475" s="257">
        <f t="shared" si="59"/>
        <v>406.92417</v>
      </c>
      <c r="L475" s="257">
        <f aca="true" t="shared" si="60" ref="L475:L538">K475/J475*100</f>
        <v>99.35254262945094</v>
      </c>
      <c r="M475" s="26"/>
      <c r="N475" s="27"/>
    </row>
    <row r="476" spans="1:14" ht="24.75">
      <c r="A476" s="214" t="s">
        <v>106</v>
      </c>
      <c r="B476" s="18" t="s">
        <v>279</v>
      </c>
      <c r="C476" s="18" t="s">
        <v>35</v>
      </c>
      <c r="D476" s="18" t="s">
        <v>10</v>
      </c>
      <c r="E476" s="18" t="s">
        <v>113</v>
      </c>
      <c r="F476" s="18"/>
      <c r="G476" s="30">
        <f t="shared" si="59"/>
        <v>50</v>
      </c>
      <c r="H476" s="30">
        <f t="shared" si="59"/>
        <v>44</v>
      </c>
      <c r="I476" s="30">
        <f t="shared" si="59"/>
        <v>0</v>
      </c>
      <c r="J476" s="257">
        <f>J477+J478</f>
        <v>409.576</v>
      </c>
      <c r="K476" s="257">
        <f>K477+K478</f>
        <v>406.92417</v>
      </c>
      <c r="L476" s="257">
        <f t="shared" si="60"/>
        <v>99.35254262945094</v>
      </c>
      <c r="M476" s="55" t="e">
        <f>M477+M478+#REF!</f>
        <v>#REF!</v>
      </c>
      <c r="N476" s="55" t="e">
        <f>N477+N478+#REF!</f>
        <v>#REF!</v>
      </c>
    </row>
    <row r="477" spans="1:14" ht="15" hidden="1">
      <c r="A477" s="214" t="s">
        <v>104</v>
      </c>
      <c r="B477" s="18" t="s">
        <v>279</v>
      </c>
      <c r="C477" s="18" t="s">
        <v>35</v>
      </c>
      <c r="D477" s="18" t="s">
        <v>10</v>
      </c>
      <c r="E477" s="18" t="s">
        <v>113</v>
      </c>
      <c r="F477" s="18" t="s">
        <v>105</v>
      </c>
      <c r="G477" s="30">
        <v>50</v>
      </c>
      <c r="H477" s="30">
        <v>44</v>
      </c>
      <c r="I477" s="30"/>
      <c r="J477" s="273"/>
      <c r="K477" s="257"/>
      <c r="L477" s="257" t="e">
        <f t="shared" si="60"/>
        <v>#DIV/0!</v>
      </c>
      <c r="M477" s="26"/>
      <c r="N477" s="27"/>
    </row>
    <row r="478" spans="1:14" ht="17.25" customHeight="1" thickBot="1">
      <c r="A478" s="215" t="s">
        <v>156</v>
      </c>
      <c r="B478" s="18" t="s">
        <v>279</v>
      </c>
      <c r="C478" s="18" t="s">
        <v>35</v>
      </c>
      <c r="D478" s="18" t="s">
        <v>10</v>
      </c>
      <c r="E478" s="18" t="s">
        <v>113</v>
      </c>
      <c r="F478" s="18" t="s">
        <v>158</v>
      </c>
      <c r="G478" s="30"/>
      <c r="H478" s="24"/>
      <c r="I478" s="30"/>
      <c r="J478" s="273">
        <v>409.576</v>
      </c>
      <c r="K478" s="257">
        <v>406.92417</v>
      </c>
      <c r="L478" s="257">
        <f t="shared" si="60"/>
        <v>99.35254262945094</v>
      </c>
      <c r="M478" s="47"/>
      <c r="N478" s="85"/>
    </row>
    <row r="479" spans="1:14" ht="17.25" customHeight="1">
      <c r="A479" s="215" t="s">
        <v>103</v>
      </c>
      <c r="B479" s="18" t="s">
        <v>279</v>
      </c>
      <c r="C479" s="18" t="s">
        <v>29</v>
      </c>
      <c r="D479" s="18"/>
      <c r="E479" s="18"/>
      <c r="F479" s="18"/>
      <c r="G479" s="30"/>
      <c r="H479" s="24"/>
      <c r="I479" s="30"/>
      <c r="J479" s="273">
        <f aca="true" t="shared" si="61" ref="J479:K481">J480</f>
        <v>490</v>
      </c>
      <c r="K479" s="273">
        <f t="shared" si="61"/>
        <v>490</v>
      </c>
      <c r="L479" s="257">
        <f t="shared" si="60"/>
        <v>100</v>
      </c>
      <c r="M479" s="49"/>
      <c r="N479" s="144"/>
    </row>
    <row r="480" spans="1:14" ht="17.25" customHeight="1">
      <c r="A480" s="218" t="s">
        <v>60</v>
      </c>
      <c r="B480" s="18" t="s">
        <v>279</v>
      </c>
      <c r="C480" s="18" t="s">
        <v>29</v>
      </c>
      <c r="D480" s="18" t="s">
        <v>29</v>
      </c>
      <c r="E480" s="18"/>
      <c r="F480" s="18"/>
      <c r="G480" s="30"/>
      <c r="H480" s="24"/>
      <c r="I480" s="30"/>
      <c r="J480" s="273">
        <f t="shared" si="61"/>
        <v>490</v>
      </c>
      <c r="K480" s="273">
        <f t="shared" si="61"/>
        <v>490</v>
      </c>
      <c r="L480" s="257">
        <f t="shared" si="60"/>
        <v>100</v>
      </c>
      <c r="M480" s="49"/>
      <c r="N480" s="144"/>
    </row>
    <row r="481" spans="1:14" ht="17.25" customHeight="1">
      <c r="A481" s="214" t="s">
        <v>340</v>
      </c>
      <c r="B481" s="18" t="s">
        <v>279</v>
      </c>
      <c r="C481" s="18" t="s">
        <v>29</v>
      </c>
      <c r="D481" s="18" t="s">
        <v>29</v>
      </c>
      <c r="E481" s="18" t="s">
        <v>269</v>
      </c>
      <c r="F481" s="18"/>
      <c r="G481" s="30"/>
      <c r="H481" s="24"/>
      <c r="I481" s="30"/>
      <c r="J481" s="273">
        <f t="shared" si="61"/>
        <v>490</v>
      </c>
      <c r="K481" s="273">
        <f t="shared" si="61"/>
        <v>490</v>
      </c>
      <c r="L481" s="257">
        <f t="shared" si="60"/>
        <v>100</v>
      </c>
      <c r="M481" s="49"/>
      <c r="N481" s="144"/>
    </row>
    <row r="482" spans="1:14" ht="42" customHeight="1">
      <c r="A482" s="215" t="s">
        <v>463</v>
      </c>
      <c r="B482" s="18" t="s">
        <v>279</v>
      </c>
      <c r="C482" s="18" t="s">
        <v>29</v>
      </c>
      <c r="D482" s="18" t="s">
        <v>29</v>
      </c>
      <c r="E482" s="18" t="s">
        <v>464</v>
      </c>
      <c r="F482" s="18"/>
      <c r="G482" s="30"/>
      <c r="H482" s="24"/>
      <c r="I482" s="30"/>
      <c r="J482" s="273">
        <f>J483+J484</f>
        <v>490</v>
      </c>
      <c r="K482" s="273">
        <f>K483+K484</f>
        <v>490</v>
      </c>
      <c r="L482" s="257">
        <f t="shared" si="60"/>
        <v>100</v>
      </c>
      <c r="M482" s="49"/>
      <c r="N482" s="144"/>
    </row>
    <row r="483" spans="1:14" ht="17.25" customHeight="1">
      <c r="A483" s="215" t="s">
        <v>156</v>
      </c>
      <c r="B483" s="18" t="s">
        <v>279</v>
      </c>
      <c r="C483" s="18" t="s">
        <v>29</v>
      </c>
      <c r="D483" s="18" t="s">
        <v>29</v>
      </c>
      <c r="E483" s="18" t="s">
        <v>464</v>
      </c>
      <c r="F483" s="18" t="s">
        <v>158</v>
      </c>
      <c r="G483" s="30"/>
      <c r="H483" s="24"/>
      <c r="I483" s="30"/>
      <c r="J483" s="273">
        <v>490</v>
      </c>
      <c r="K483" s="257">
        <v>490</v>
      </c>
      <c r="L483" s="257">
        <f t="shared" si="60"/>
        <v>100</v>
      </c>
      <c r="M483" s="49"/>
      <c r="N483" s="144"/>
    </row>
    <row r="484" spans="1:14" ht="38.25" customHeight="1" hidden="1">
      <c r="A484" s="215" t="s">
        <v>497</v>
      </c>
      <c r="B484" s="18" t="s">
        <v>279</v>
      </c>
      <c r="C484" s="18" t="s">
        <v>29</v>
      </c>
      <c r="D484" s="18" t="s">
        <v>29</v>
      </c>
      <c r="E484" s="18" t="s">
        <v>464</v>
      </c>
      <c r="F484" s="18" t="s">
        <v>496</v>
      </c>
      <c r="G484" s="30"/>
      <c r="H484" s="24"/>
      <c r="I484" s="30"/>
      <c r="J484" s="273">
        <v>0</v>
      </c>
      <c r="K484" s="257"/>
      <c r="L484" s="257" t="e">
        <f t="shared" si="60"/>
        <v>#DIV/0!</v>
      </c>
      <c r="M484" s="49"/>
      <c r="N484" s="144"/>
    </row>
    <row r="485" spans="1:14" s="145" customFormat="1" ht="17.25" customHeight="1">
      <c r="A485" s="226" t="s">
        <v>63</v>
      </c>
      <c r="B485" s="23" t="s">
        <v>279</v>
      </c>
      <c r="C485" s="23" t="s">
        <v>62</v>
      </c>
      <c r="D485" s="23" t="s">
        <v>219</v>
      </c>
      <c r="E485" s="23"/>
      <c r="F485" s="23"/>
      <c r="G485" s="17"/>
      <c r="H485" s="20"/>
      <c r="I485" s="17"/>
      <c r="J485" s="256">
        <f>J489+J516+J495+J486</f>
        <v>17895.447000000004</v>
      </c>
      <c r="K485" s="256">
        <f>K489+K516+K495+K486</f>
        <v>17880.802340000002</v>
      </c>
      <c r="L485" s="256">
        <f t="shared" si="60"/>
        <v>99.91816544174615</v>
      </c>
      <c r="M485" s="86">
        <f>M489+M516+M495+M486</f>
        <v>0</v>
      </c>
      <c r="N485" s="86">
        <f>N489+N516+N495+N486</f>
        <v>0</v>
      </c>
    </row>
    <row r="486" spans="1:17" s="145" customFormat="1" ht="17.25" customHeight="1">
      <c r="A486" s="214" t="s">
        <v>65</v>
      </c>
      <c r="B486" s="23" t="s">
        <v>279</v>
      </c>
      <c r="C486" s="23" t="s">
        <v>62</v>
      </c>
      <c r="D486" s="23" t="s">
        <v>7</v>
      </c>
      <c r="E486" s="23"/>
      <c r="F486" s="23"/>
      <c r="G486" s="17"/>
      <c r="H486" s="20"/>
      <c r="I486" s="17"/>
      <c r="J486" s="256">
        <f aca="true" t="shared" si="62" ref="J486:N487">J487</f>
        <v>117.8</v>
      </c>
      <c r="K486" s="256">
        <f t="shared" si="62"/>
        <v>116.57028</v>
      </c>
      <c r="L486" s="256">
        <f t="shared" si="60"/>
        <v>98.95609507640067</v>
      </c>
      <c r="M486" s="34">
        <f t="shared" si="62"/>
        <v>0</v>
      </c>
      <c r="N486" s="34">
        <f t="shared" si="62"/>
        <v>0</v>
      </c>
      <c r="O486" s="121"/>
      <c r="P486" s="121"/>
      <c r="Q486" s="121"/>
    </row>
    <row r="487" spans="1:14" s="145" customFormat="1" ht="17.25" customHeight="1">
      <c r="A487" s="214" t="s">
        <v>259</v>
      </c>
      <c r="B487" s="18" t="s">
        <v>279</v>
      </c>
      <c r="C487" s="18" t="s">
        <v>62</v>
      </c>
      <c r="D487" s="18" t="s">
        <v>7</v>
      </c>
      <c r="E487" s="18" t="s">
        <v>260</v>
      </c>
      <c r="F487" s="18"/>
      <c r="G487" s="17"/>
      <c r="H487" s="20"/>
      <c r="I487" s="17"/>
      <c r="J487" s="257">
        <f t="shared" si="62"/>
        <v>117.8</v>
      </c>
      <c r="K487" s="257">
        <f t="shared" si="62"/>
        <v>116.57028</v>
      </c>
      <c r="L487" s="257">
        <f t="shared" si="60"/>
        <v>98.95609507640067</v>
      </c>
      <c r="M487" s="70">
        <f t="shared" si="62"/>
        <v>0</v>
      </c>
      <c r="N487" s="70">
        <f t="shared" si="62"/>
        <v>0</v>
      </c>
    </row>
    <row r="488" spans="1:14" s="145" customFormat="1" ht="24" customHeight="1" thickBot="1">
      <c r="A488" s="215" t="s">
        <v>367</v>
      </c>
      <c r="B488" s="18" t="s">
        <v>279</v>
      </c>
      <c r="C488" s="18" t="s">
        <v>62</v>
      </c>
      <c r="D488" s="18" t="s">
        <v>7</v>
      </c>
      <c r="E488" s="18" t="s">
        <v>260</v>
      </c>
      <c r="F488" s="18" t="s">
        <v>368</v>
      </c>
      <c r="G488" s="17"/>
      <c r="H488" s="20"/>
      <c r="I488" s="17"/>
      <c r="J488" s="257">
        <v>117.8</v>
      </c>
      <c r="K488" s="257">
        <v>116.57028</v>
      </c>
      <c r="L488" s="257">
        <f t="shared" si="60"/>
        <v>98.95609507640067</v>
      </c>
      <c r="M488" s="47"/>
      <c r="N488" s="85"/>
    </row>
    <row r="489" spans="1:17" ht="18" customHeight="1" thickBot="1">
      <c r="A489" s="237" t="s">
        <v>66</v>
      </c>
      <c r="B489" s="23" t="s">
        <v>279</v>
      </c>
      <c r="C489" s="23" t="s">
        <v>62</v>
      </c>
      <c r="D489" s="23" t="s">
        <v>8</v>
      </c>
      <c r="E489" s="23"/>
      <c r="F489" s="23"/>
      <c r="G489" s="17"/>
      <c r="H489" s="20"/>
      <c r="I489" s="17"/>
      <c r="J489" s="256">
        <f>J490</f>
        <v>306.54</v>
      </c>
      <c r="K489" s="256">
        <f>K490</f>
        <v>293.12506</v>
      </c>
      <c r="L489" s="256">
        <f t="shared" si="60"/>
        <v>95.62375546421347</v>
      </c>
      <c r="M489" s="87"/>
      <c r="N489" s="88"/>
      <c r="O489" s="121"/>
      <c r="P489" s="121"/>
      <c r="Q489" s="121"/>
    </row>
    <row r="490" spans="1:14" ht="17.25" customHeight="1" thickBot="1">
      <c r="A490" s="211" t="s">
        <v>106</v>
      </c>
      <c r="B490" s="18" t="s">
        <v>279</v>
      </c>
      <c r="C490" s="18" t="s">
        <v>62</v>
      </c>
      <c r="D490" s="18" t="s">
        <v>8</v>
      </c>
      <c r="E490" s="18" t="s">
        <v>261</v>
      </c>
      <c r="F490" s="18"/>
      <c r="G490" s="30"/>
      <c r="H490" s="24"/>
      <c r="I490" s="30"/>
      <c r="J490" s="257">
        <f>J491+J492+J493+J494</f>
        <v>306.54</v>
      </c>
      <c r="K490" s="257">
        <f>K491+K492+K493+K494</f>
        <v>293.12506</v>
      </c>
      <c r="L490" s="257">
        <f t="shared" si="60"/>
        <v>95.62375546421347</v>
      </c>
      <c r="M490" s="47"/>
      <c r="N490" s="85"/>
    </row>
    <row r="491" spans="1:14" ht="17.25" customHeight="1" thickBot="1">
      <c r="A491" s="211" t="s">
        <v>104</v>
      </c>
      <c r="B491" s="18" t="s">
        <v>279</v>
      </c>
      <c r="C491" s="18" t="s">
        <v>62</v>
      </c>
      <c r="D491" s="18" t="s">
        <v>8</v>
      </c>
      <c r="E491" s="18" t="s">
        <v>261</v>
      </c>
      <c r="F491" s="18" t="s">
        <v>163</v>
      </c>
      <c r="G491" s="30"/>
      <c r="H491" s="24"/>
      <c r="I491" s="30"/>
      <c r="J491" s="273">
        <v>182.2625</v>
      </c>
      <c r="K491" s="257">
        <v>174.27986</v>
      </c>
      <c r="L491" s="257">
        <f t="shared" si="60"/>
        <v>95.62025101159044</v>
      </c>
      <c r="M491" s="47"/>
      <c r="N491" s="85"/>
    </row>
    <row r="492" spans="1:14" ht="17.25" customHeight="1" thickBot="1">
      <c r="A492" s="215" t="s">
        <v>165</v>
      </c>
      <c r="B492" s="18" t="s">
        <v>279</v>
      </c>
      <c r="C492" s="18" t="s">
        <v>62</v>
      </c>
      <c r="D492" s="18" t="s">
        <v>8</v>
      </c>
      <c r="E492" s="18" t="s">
        <v>261</v>
      </c>
      <c r="F492" s="18" t="s">
        <v>166</v>
      </c>
      <c r="G492" s="30"/>
      <c r="H492" s="24"/>
      <c r="I492" s="30"/>
      <c r="J492" s="273">
        <v>14</v>
      </c>
      <c r="K492" s="257">
        <v>14</v>
      </c>
      <c r="L492" s="257">
        <f t="shared" si="60"/>
        <v>100</v>
      </c>
      <c r="M492" s="47"/>
      <c r="N492" s="85"/>
    </row>
    <row r="493" spans="1:14" ht="17.25" customHeight="1" thickBot="1">
      <c r="A493" s="215" t="s">
        <v>156</v>
      </c>
      <c r="B493" s="18" t="s">
        <v>279</v>
      </c>
      <c r="C493" s="18" t="s">
        <v>62</v>
      </c>
      <c r="D493" s="18" t="s">
        <v>8</v>
      </c>
      <c r="E493" s="18" t="s">
        <v>261</v>
      </c>
      <c r="F493" s="18" t="s">
        <v>158</v>
      </c>
      <c r="G493" s="30"/>
      <c r="H493" s="24"/>
      <c r="I493" s="30"/>
      <c r="J493" s="273">
        <v>92.504</v>
      </c>
      <c r="K493" s="257">
        <v>92.504</v>
      </c>
      <c r="L493" s="257">
        <f t="shared" si="60"/>
        <v>100</v>
      </c>
      <c r="M493" s="47"/>
      <c r="N493" s="85"/>
    </row>
    <row r="494" spans="1:14" ht="24" customHeight="1">
      <c r="A494" s="223" t="s">
        <v>173</v>
      </c>
      <c r="B494" s="18" t="s">
        <v>279</v>
      </c>
      <c r="C494" s="18" t="s">
        <v>62</v>
      </c>
      <c r="D494" s="18" t="s">
        <v>8</v>
      </c>
      <c r="E494" s="18" t="s">
        <v>261</v>
      </c>
      <c r="F494" s="18" t="s">
        <v>174</v>
      </c>
      <c r="G494" s="30"/>
      <c r="H494" s="24"/>
      <c r="I494" s="30"/>
      <c r="J494" s="273">
        <v>17.7735</v>
      </c>
      <c r="K494" s="257">
        <v>12.3412</v>
      </c>
      <c r="L494" s="257">
        <f t="shared" si="60"/>
        <v>69.43595802740036</v>
      </c>
      <c r="M494" s="49"/>
      <c r="N494" s="144"/>
    </row>
    <row r="495" spans="1:14" ht="17.25" customHeight="1">
      <c r="A495" s="226" t="s">
        <v>177</v>
      </c>
      <c r="B495" s="23" t="s">
        <v>279</v>
      </c>
      <c r="C495" s="23" t="s">
        <v>62</v>
      </c>
      <c r="D495" s="23" t="s">
        <v>9</v>
      </c>
      <c r="E495" s="23"/>
      <c r="F495" s="18"/>
      <c r="G495" s="30"/>
      <c r="H495" s="24"/>
      <c r="I495" s="30"/>
      <c r="J495" s="256">
        <f>J496+J512+J506+J510+J514+J504+J508</f>
        <v>17451.107000000004</v>
      </c>
      <c r="K495" s="256">
        <f>K496+K512+K506+K510+K514+K504+K508</f>
        <v>17451.107000000004</v>
      </c>
      <c r="L495" s="256">
        <f t="shared" si="60"/>
        <v>100</v>
      </c>
      <c r="M495" s="70">
        <f>M496+M512</f>
        <v>0</v>
      </c>
      <c r="N495" s="70">
        <f>N496+N512</f>
        <v>0</v>
      </c>
    </row>
    <row r="496" spans="1:14" ht="17.25" customHeight="1">
      <c r="A496" s="211" t="s">
        <v>262</v>
      </c>
      <c r="B496" s="18" t="s">
        <v>279</v>
      </c>
      <c r="C496" s="18" t="s">
        <v>62</v>
      </c>
      <c r="D496" s="18" t="s">
        <v>9</v>
      </c>
      <c r="E496" s="18" t="s">
        <v>263</v>
      </c>
      <c r="F496" s="18"/>
      <c r="G496" s="30"/>
      <c r="H496" s="24"/>
      <c r="I496" s="30"/>
      <c r="J496" s="257">
        <f>J501+J497+J499</f>
        <v>8617.18</v>
      </c>
      <c r="K496" s="257">
        <f>K501+K497+K499</f>
        <v>8617.18</v>
      </c>
      <c r="L496" s="257">
        <f t="shared" si="60"/>
        <v>100</v>
      </c>
      <c r="M496" s="127">
        <f>M501+M497+M499</f>
        <v>0</v>
      </c>
      <c r="N496" s="127">
        <f>N501+N497+N499</f>
        <v>0</v>
      </c>
    </row>
    <row r="497" spans="1:14" ht="63.75" customHeight="1" thickBot="1">
      <c r="A497" s="212" t="s">
        <v>452</v>
      </c>
      <c r="B497" s="18" t="s">
        <v>279</v>
      </c>
      <c r="C497" s="18" t="s">
        <v>62</v>
      </c>
      <c r="D497" s="18" t="s">
        <v>9</v>
      </c>
      <c r="E497" s="18" t="s">
        <v>453</v>
      </c>
      <c r="F497" s="18"/>
      <c r="G497" s="30"/>
      <c r="H497" s="24"/>
      <c r="I497" s="30"/>
      <c r="J497" s="257">
        <f>J498</f>
        <v>6750</v>
      </c>
      <c r="K497" s="257">
        <f>K498</f>
        <v>6750</v>
      </c>
      <c r="L497" s="257">
        <f t="shared" si="60"/>
        <v>100</v>
      </c>
      <c r="M497" s="47"/>
      <c r="N497" s="85"/>
    </row>
    <row r="498" spans="1:14" s="137" customFormat="1" ht="27.75" customHeight="1" thickBot="1">
      <c r="A498" s="213" t="s">
        <v>185</v>
      </c>
      <c r="B498" s="123" t="s">
        <v>279</v>
      </c>
      <c r="C498" s="123" t="s">
        <v>62</v>
      </c>
      <c r="D498" s="123" t="s">
        <v>9</v>
      </c>
      <c r="E498" s="123" t="s">
        <v>453</v>
      </c>
      <c r="F498" s="123" t="s">
        <v>186</v>
      </c>
      <c r="G498" s="125"/>
      <c r="H498" s="146"/>
      <c r="I498" s="125"/>
      <c r="J498" s="257">
        <v>6750</v>
      </c>
      <c r="K498" s="257">
        <v>6750</v>
      </c>
      <c r="L498" s="257">
        <f t="shared" si="60"/>
        <v>100</v>
      </c>
      <c r="M498" s="147"/>
      <c r="N498" s="148"/>
    </row>
    <row r="499" spans="1:14" ht="58.5" customHeight="1" thickBot="1">
      <c r="A499" s="212" t="s">
        <v>454</v>
      </c>
      <c r="B499" s="18" t="s">
        <v>279</v>
      </c>
      <c r="C499" s="18" t="s">
        <v>62</v>
      </c>
      <c r="D499" s="18" t="s">
        <v>9</v>
      </c>
      <c r="E499" s="18" t="s">
        <v>264</v>
      </c>
      <c r="F499" s="18"/>
      <c r="G499" s="30"/>
      <c r="H499" s="24"/>
      <c r="I499" s="30"/>
      <c r="J499" s="257">
        <v>562.5</v>
      </c>
      <c r="K499" s="257">
        <f>K500</f>
        <v>562.5</v>
      </c>
      <c r="L499" s="257">
        <f t="shared" si="60"/>
        <v>100</v>
      </c>
      <c r="M499" s="47"/>
      <c r="N499" s="85"/>
    </row>
    <row r="500" spans="1:14" ht="25.5" customHeight="1" thickBot="1">
      <c r="A500" s="211" t="s">
        <v>185</v>
      </c>
      <c r="B500" s="18" t="s">
        <v>279</v>
      </c>
      <c r="C500" s="18" t="s">
        <v>62</v>
      </c>
      <c r="D500" s="18" t="s">
        <v>9</v>
      </c>
      <c r="E500" s="18" t="s">
        <v>264</v>
      </c>
      <c r="F500" s="18" t="s">
        <v>186</v>
      </c>
      <c r="G500" s="30"/>
      <c r="H500" s="24"/>
      <c r="I500" s="30"/>
      <c r="J500" s="257">
        <v>562.5</v>
      </c>
      <c r="K500" s="257">
        <v>562.5</v>
      </c>
      <c r="L500" s="257">
        <f t="shared" si="60"/>
        <v>100</v>
      </c>
      <c r="M500" s="47"/>
      <c r="N500" s="85"/>
    </row>
    <row r="501" spans="1:14" ht="17.25" customHeight="1">
      <c r="A501" s="214" t="s">
        <v>265</v>
      </c>
      <c r="B501" s="18" t="s">
        <v>279</v>
      </c>
      <c r="C501" s="18" t="s">
        <v>62</v>
      </c>
      <c r="D501" s="18" t="s">
        <v>9</v>
      </c>
      <c r="E501" s="18" t="s">
        <v>266</v>
      </c>
      <c r="F501" s="18"/>
      <c r="G501" s="30"/>
      <c r="H501" s="24"/>
      <c r="I501" s="30"/>
      <c r="J501" s="257">
        <f>J502+J503</f>
        <v>1304.68</v>
      </c>
      <c r="K501" s="257">
        <f>K502+K503</f>
        <v>1304.68</v>
      </c>
      <c r="L501" s="257">
        <f t="shared" si="60"/>
        <v>100</v>
      </c>
      <c r="M501" s="185">
        <f>M502+M503</f>
        <v>0</v>
      </c>
      <c r="N501" s="185">
        <f>N502+N503</f>
        <v>0</v>
      </c>
    </row>
    <row r="502" spans="1:14" ht="17.25" customHeight="1" thickBot="1">
      <c r="A502" s="215" t="s">
        <v>156</v>
      </c>
      <c r="B502" s="18" t="s">
        <v>279</v>
      </c>
      <c r="C502" s="18" t="s">
        <v>62</v>
      </c>
      <c r="D502" s="18" t="s">
        <v>9</v>
      </c>
      <c r="E502" s="18" t="s">
        <v>266</v>
      </c>
      <c r="F502" s="18" t="s">
        <v>192</v>
      </c>
      <c r="G502" s="30"/>
      <c r="H502" s="24"/>
      <c r="I502" s="30"/>
      <c r="J502" s="273">
        <v>841</v>
      </c>
      <c r="K502" s="257">
        <v>841</v>
      </c>
      <c r="L502" s="257">
        <f t="shared" si="60"/>
        <v>100</v>
      </c>
      <c r="M502" s="47"/>
      <c r="N502" s="85"/>
    </row>
    <row r="503" spans="1:14" ht="17.25" customHeight="1">
      <c r="A503" s="215" t="s">
        <v>156</v>
      </c>
      <c r="B503" s="18" t="s">
        <v>279</v>
      </c>
      <c r="C503" s="18" t="s">
        <v>62</v>
      </c>
      <c r="D503" s="18" t="s">
        <v>9</v>
      </c>
      <c r="E503" s="18" t="s">
        <v>469</v>
      </c>
      <c r="F503" s="18" t="s">
        <v>192</v>
      </c>
      <c r="G503" s="30"/>
      <c r="H503" s="24"/>
      <c r="I503" s="30"/>
      <c r="J503" s="273">
        <v>463.68</v>
      </c>
      <c r="K503" s="257">
        <v>463.68</v>
      </c>
      <c r="L503" s="257">
        <f t="shared" si="60"/>
        <v>100</v>
      </c>
      <c r="M503" s="49"/>
      <c r="N503" s="144"/>
    </row>
    <row r="504" spans="1:14" ht="49.5" customHeight="1">
      <c r="A504" s="215" t="s">
        <v>539</v>
      </c>
      <c r="B504" s="18" t="s">
        <v>279</v>
      </c>
      <c r="C504" s="18" t="s">
        <v>62</v>
      </c>
      <c r="D504" s="18" t="s">
        <v>9</v>
      </c>
      <c r="E504" s="18" t="s">
        <v>510</v>
      </c>
      <c r="F504" s="18"/>
      <c r="G504" s="30"/>
      <c r="H504" s="24"/>
      <c r="I504" s="30"/>
      <c r="J504" s="273">
        <f>J505</f>
        <v>4788.368</v>
      </c>
      <c r="K504" s="273">
        <f>K505</f>
        <v>4788.368</v>
      </c>
      <c r="L504" s="257">
        <f t="shared" si="60"/>
        <v>100</v>
      </c>
      <c r="M504" s="49"/>
      <c r="N504" s="144"/>
    </row>
    <row r="505" spans="1:14" ht="13.5" customHeight="1">
      <c r="A505" s="214" t="s">
        <v>370</v>
      </c>
      <c r="B505" s="18" t="s">
        <v>279</v>
      </c>
      <c r="C505" s="18" t="s">
        <v>62</v>
      </c>
      <c r="D505" s="18" t="s">
        <v>9</v>
      </c>
      <c r="E505" s="18" t="s">
        <v>510</v>
      </c>
      <c r="F505" s="18" t="s">
        <v>371</v>
      </c>
      <c r="G505" s="30"/>
      <c r="H505" s="24"/>
      <c r="I505" s="30"/>
      <c r="J505" s="273">
        <v>4788.368</v>
      </c>
      <c r="K505" s="257">
        <v>4788.368</v>
      </c>
      <c r="L505" s="257">
        <f t="shared" si="60"/>
        <v>100</v>
      </c>
      <c r="M505" s="49"/>
      <c r="N505" s="144"/>
    </row>
    <row r="506" spans="1:14" ht="27" customHeight="1">
      <c r="A506" s="215" t="s">
        <v>524</v>
      </c>
      <c r="B506" s="18" t="s">
        <v>279</v>
      </c>
      <c r="C506" s="18" t="s">
        <v>62</v>
      </c>
      <c r="D506" s="18" t="s">
        <v>9</v>
      </c>
      <c r="E506" s="18" t="s">
        <v>515</v>
      </c>
      <c r="F506" s="18"/>
      <c r="G506" s="30"/>
      <c r="H506" s="24"/>
      <c r="I506" s="30"/>
      <c r="J506" s="273">
        <f>J507</f>
        <v>171.68</v>
      </c>
      <c r="K506" s="273">
        <f>K507</f>
        <v>171.68</v>
      </c>
      <c r="L506" s="257">
        <f t="shared" si="60"/>
        <v>100</v>
      </c>
      <c r="M506" s="49"/>
      <c r="N506" s="144"/>
    </row>
    <row r="507" spans="1:14" ht="15.75" customHeight="1">
      <c r="A507" s="214" t="s">
        <v>370</v>
      </c>
      <c r="B507" s="18" t="s">
        <v>279</v>
      </c>
      <c r="C507" s="18" t="s">
        <v>62</v>
      </c>
      <c r="D507" s="18" t="s">
        <v>9</v>
      </c>
      <c r="E507" s="18" t="s">
        <v>515</v>
      </c>
      <c r="F507" s="18" t="s">
        <v>371</v>
      </c>
      <c r="G507" s="30"/>
      <c r="H507" s="24"/>
      <c r="I507" s="30"/>
      <c r="J507" s="273">
        <v>171.68</v>
      </c>
      <c r="K507" s="257">
        <v>171.68</v>
      </c>
      <c r="L507" s="257">
        <f t="shared" si="60"/>
        <v>100</v>
      </c>
      <c r="M507" s="49"/>
      <c r="N507" s="144"/>
    </row>
    <row r="508" spans="1:14" ht="28.5" customHeight="1">
      <c r="A508" s="215" t="s">
        <v>524</v>
      </c>
      <c r="B508" s="18" t="s">
        <v>279</v>
      </c>
      <c r="C508" s="18" t="s">
        <v>62</v>
      </c>
      <c r="D508" s="18" t="s">
        <v>9</v>
      </c>
      <c r="E508" s="18" t="s">
        <v>351</v>
      </c>
      <c r="F508" s="18"/>
      <c r="G508" s="30"/>
      <c r="H508" s="24"/>
      <c r="I508" s="30"/>
      <c r="J508" s="273">
        <f>J509</f>
        <v>2829.49</v>
      </c>
      <c r="K508" s="273">
        <f>K509</f>
        <v>2829.49</v>
      </c>
      <c r="L508" s="257">
        <f t="shared" si="60"/>
        <v>100</v>
      </c>
      <c r="M508" s="49"/>
      <c r="N508" s="144"/>
    </row>
    <row r="509" spans="1:14" ht="20.25" customHeight="1">
      <c r="A509" s="214" t="s">
        <v>370</v>
      </c>
      <c r="B509" s="18" t="s">
        <v>279</v>
      </c>
      <c r="C509" s="18" t="s">
        <v>62</v>
      </c>
      <c r="D509" s="18" t="s">
        <v>9</v>
      </c>
      <c r="E509" s="18" t="s">
        <v>351</v>
      </c>
      <c r="F509" s="18" t="s">
        <v>371</v>
      </c>
      <c r="G509" s="30"/>
      <c r="H509" s="24"/>
      <c r="I509" s="30"/>
      <c r="J509" s="273">
        <v>2829.49</v>
      </c>
      <c r="K509" s="257">
        <v>2829.49</v>
      </c>
      <c r="L509" s="257">
        <f t="shared" si="60"/>
        <v>100</v>
      </c>
      <c r="M509" s="49"/>
      <c r="N509" s="144"/>
    </row>
    <row r="510" spans="1:14" ht="29.25" customHeight="1">
      <c r="A510" s="215" t="s">
        <v>523</v>
      </c>
      <c r="B510" s="18" t="s">
        <v>279</v>
      </c>
      <c r="C510" s="18" t="s">
        <v>62</v>
      </c>
      <c r="D510" s="18" t="s">
        <v>9</v>
      </c>
      <c r="E510" s="18" t="s">
        <v>516</v>
      </c>
      <c r="F510" s="18"/>
      <c r="G510" s="30"/>
      <c r="H510" s="24"/>
      <c r="I510" s="30"/>
      <c r="J510" s="273">
        <f>J511</f>
        <v>129.126</v>
      </c>
      <c r="K510" s="273">
        <f>K511</f>
        <v>129.126</v>
      </c>
      <c r="L510" s="257">
        <f t="shared" si="60"/>
        <v>100</v>
      </c>
      <c r="M510" s="49"/>
      <c r="N510" s="144"/>
    </row>
    <row r="511" spans="1:14" ht="19.5" customHeight="1">
      <c r="A511" s="214" t="s">
        <v>370</v>
      </c>
      <c r="B511" s="18" t="s">
        <v>279</v>
      </c>
      <c r="C511" s="18" t="s">
        <v>62</v>
      </c>
      <c r="D511" s="18" t="s">
        <v>9</v>
      </c>
      <c r="E511" s="18" t="s">
        <v>516</v>
      </c>
      <c r="F511" s="18" t="s">
        <v>371</v>
      </c>
      <c r="G511" s="30"/>
      <c r="H511" s="24"/>
      <c r="I511" s="30"/>
      <c r="J511" s="273">
        <v>129.126</v>
      </c>
      <c r="K511" s="257">
        <v>129.126</v>
      </c>
      <c r="L511" s="257">
        <f t="shared" si="60"/>
        <v>100</v>
      </c>
      <c r="M511" s="49"/>
      <c r="N511" s="144"/>
    </row>
    <row r="512" spans="1:14" ht="24.75">
      <c r="A512" s="214" t="s">
        <v>457</v>
      </c>
      <c r="B512" s="18" t="s">
        <v>279</v>
      </c>
      <c r="C512" s="18" t="s">
        <v>62</v>
      </c>
      <c r="D512" s="18" t="s">
        <v>9</v>
      </c>
      <c r="E512" s="18" t="s">
        <v>369</v>
      </c>
      <c r="F512" s="18"/>
      <c r="G512" s="30"/>
      <c r="H512" s="24"/>
      <c r="I512" s="30"/>
      <c r="J512" s="257">
        <f>J513</f>
        <v>115.263</v>
      </c>
      <c r="K512" s="257">
        <f>K513</f>
        <v>115.263</v>
      </c>
      <c r="L512" s="257">
        <f t="shared" si="60"/>
        <v>100</v>
      </c>
      <c r="M512" s="70">
        <f>M513</f>
        <v>0</v>
      </c>
      <c r="N512" s="70">
        <f>N513</f>
        <v>0</v>
      </c>
    </row>
    <row r="513" spans="1:14" ht="21.75" customHeight="1" thickBot="1">
      <c r="A513" s="214" t="s">
        <v>370</v>
      </c>
      <c r="B513" s="18" t="s">
        <v>279</v>
      </c>
      <c r="C513" s="18" t="s">
        <v>62</v>
      </c>
      <c r="D513" s="18" t="s">
        <v>9</v>
      </c>
      <c r="E513" s="18" t="s">
        <v>369</v>
      </c>
      <c r="F513" s="18" t="s">
        <v>371</v>
      </c>
      <c r="G513" s="30"/>
      <c r="H513" s="24"/>
      <c r="I513" s="30"/>
      <c r="J513" s="273">
        <v>115.263</v>
      </c>
      <c r="K513" s="257">
        <v>115.263</v>
      </c>
      <c r="L513" s="257">
        <f t="shared" si="60"/>
        <v>100</v>
      </c>
      <c r="M513" s="47"/>
      <c r="N513" s="85"/>
    </row>
    <row r="514" spans="1:14" ht="29.25" customHeight="1" thickBot="1">
      <c r="A514" s="215" t="s">
        <v>463</v>
      </c>
      <c r="B514" s="18" t="s">
        <v>279</v>
      </c>
      <c r="C514" s="18" t="s">
        <v>62</v>
      </c>
      <c r="D514" s="18" t="s">
        <v>9</v>
      </c>
      <c r="E514" s="18" t="s">
        <v>464</v>
      </c>
      <c r="F514" s="18"/>
      <c r="G514" s="30"/>
      <c r="H514" s="24"/>
      <c r="I514" s="30"/>
      <c r="J514" s="273">
        <f>J515</f>
        <v>800</v>
      </c>
      <c r="K514" s="273">
        <f>K515</f>
        <v>800</v>
      </c>
      <c r="L514" s="257">
        <f t="shared" si="60"/>
        <v>100</v>
      </c>
      <c r="M514" s="47"/>
      <c r="N514" s="85"/>
    </row>
    <row r="515" spans="1:14" ht="20.25" customHeight="1" thickBot="1">
      <c r="A515" s="214" t="s">
        <v>370</v>
      </c>
      <c r="B515" s="18" t="s">
        <v>279</v>
      </c>
      <c r="C515" s="18" t="s">
        <v>62</v>
      </c>
      <c r="D515" s="18" t="s">
        <v>9</v>
      </c>
      <c r="E515" s="18" t="s">
        <v>464</v>
      </c>
      <c r="F515" s="18" t="s">
        <v>371</v>
      </c>
      <c r="G515" s="30"/>
      <c r="H515" s="24"/>
      <c r="I515" s="30"/>
      <c r="J515" s="273">
        <v>800</v>
      </c>
      <c r="K515" s="257">
        <v>800</v>
      </c>
      <c r="L515" s="257">
        <f t="shared" si="60"/>
        <v>100</v>
      </c>
      <c r="M515" s="47"/>
      <c r="N515" s="85"/>
    </row>
    <row r="516" spans="1:14" ht="15" customHeight="1" thickBot="1">
      <c r="A516" s="216" t="s">
        <v>69</v>
      </c>
      <c r="B516" s="23" t="s">
        <v>279</v>
      </c>
      <c r="C516" s="23" t="s">
        <v>62</v>
      </c>
      <c r="D516" s="23" t="s">
        <v>13</v>
      </c>
      <c r="E516" s="23"/>
      <c r="F516" s="23"/>
      <c r="G516" s="30"/>
      <c r="H516" s="24"/>
      <c r="I516" s="30"/>
      <c r="J516" s="257">
        <f>J517+J520</f>
        <v>20</v>
      </c>
      <c r="K516" s="257">
        <f>K517+K520</f>
        <v>20</v>
      </c>
      <c r="L516" s="257">
        <f t="shared" si="60"/>
        <v>100</v>
      </c>
      <c r="M516" s="47"/>
      <c r="N516" s="85"/>
    </row>
    <row r="517" spans="1:14" ht="33" customHeight="1" hidden="1" thickBot="1">
      <c r="A517" s="214" t="s">
        <v>267</v>
      </c>
      <c r="B517" s="18" t="s">
        <v>279</v>
      </c>
      <c r="C517" s="18" t="s">
        <v>62</v>
      </c>
      <c r="D517" s="18" t="s">
        <v>13</v>
      </c>
      <c r="E517" s="18" t="s">
        <v>124</v>
      </c>
      <c r="F517" s="18"/>
      <c r="G517" s="30"/>
      <c r="H517" s="24"/>
      <c r="I517" s="30"/>
      <c r="J517" s="257">
        <f>J518</f>
        <v>0</v>
      </c>
      <c r="K517" s="257">
        <f>K518</f>
        <v>0</v>
      </c>
      <c r="L517" s="257" t="e">
        <f t="shared" si="60"/>
        <v>#DIV/0!</v>
      </c>
      <c r="M517" s="47"/>
      <c r="N517" s="85"/>
    </row>
    <row r="518" spans="1:14" ht="17.25" customHeight="1" hidden="1" thickBot="1">
      <c r="A518" s="214" t="s">
        <v>125</v>
      </c>
      <c r="B518" s="18" t="s">
        <v>279</v>
      </c>
      <c r="C518" s="18" t="s">
        <v>62</v>
      </c>
      <c r="D518" s="18" t="s">
        <v>13</v>
      </c>
      <c r="E518" s="18" t="s">
        <v>126</v>
      </c>
      <c r="F518" s="18"/>
      <c r="G518" s="30"/>
      <c r="H518" s="24"/>
      <c r="I518" s="30"/>
      <c r="J518" s="257">
        <f>J519</f>
        <v>0</v>
      </c>
      <c r="K518" s="257">
        <f>K519</f>
        <v>0</v>
      </c>
      <c r="L518" s="257" t="e">
        <f t="shared" si="60"/>
        <v>#DIV/0!</v>
      </c>
      <c r="M518" s="47"/>
      <c r="N518" s="85"/>
    </row>
    <row r="519" spans="1:14" ht="17.25" customHeight="1" hidden="1" thickBot="1">
      <c r="A519" s="214" t="s">
        <v>104</v>
      </c>
      <c r="B519" s="18" t="s">
        <v>279</v>
      </c>
      <c r="C519" s="18" t="s">
        <v>62</v>
      </c>
      <c r="D519" s="18" t="s">
        <v>13</v>
      </c>
      <c r="E519" s="18" t="s">
        <v>126</v>
      </c>
      <c r="F519" s="18" t="s">
        <v>163</v>
      </c>
      <c r="G519" s="30"/>
      <c r="H519" s="24"/>
      <c r="I519" s="30"/>
      <c r="J519" s="273">
        <v>0</v>
      </c>
      <c r="K519" s="257"/>
      <c r="L519" s="257" t="e">
        <f t="shared" si="60"/>
        <v>#DIV/0!</v>
      </c>
      <c r="M519" s="47"/>
      <c r="N519" s="85"/>
    </row>
    <row r="520" spans="1:14" ht="33" customHeight="1" thickBot="1">
      <c r="A520" s="214" t="s">
        <v>272</v>
      </c>
      <c r="B520" s="18" t="s">
        <v>279</v>
      </c>
      <c r="C520" s="18" t="s">
        <v>62</v>
      </c>
      <c r="D520" s="18" t="s">
        <v>13</v>
      </c>
      <c r="E520" s="18" t="s">
        <v>273</v>
      </c>
      <c r="F520" s="18"/>
      <c r="G520" s="30"/>
      <c r="H520" s="24"/>
      <c r="I520" s="30"/>
      <c r="J520" s="273">
        <f>J521</f>
        <v>20</v>
      </c>
      <c r="K520" s="273">
        <f>K521</f>
        <v>20</v>
      </c>
      <c r="L520" s="257">
        <f t="shared" si="60"/>
        <v>100</v>
      </c>
      <c r="M520" s="47"/>
      <c r="N520" s="85"/>
    </row>
    <row r="521" spans="1:14" ht="17.25" customHeight="1" thickBot="1">
      <c r="A521" s="215" t="s">
        <v>156</v>
      </c>
      <c r="B521" s="18" t="s">
        <v>279</v>
      </c>
      <c r="C521" s="18" t="s">
        <v>62</v>
      </c>
      <c r="D521" s="18" t="s">
        <v>13</v>
      </c>
      <c r="E521" s="18" t="s">
        <v>273</v>
      </c>
      <c r="F521" s="18" t="s">
        <v>158</v>
      </c>
      <c r="G521" s="30"/>
      <c r="H521" s="24"/>
      <c r="I521" s="30"/>
      <c r="J521" s="273">
        <v>20</v>
      </c>
      <c r="K521" s="257">
        <v>20</v>
      </c>
      <c r="L521" s="257">
        <f t="shared" si="60"/>
        <v>100</v>
      </c>
      <c r="M521" s="47"/>
      <c r="N521" s="85"/>
    </row>
    <row r="522" spans="1:14" ht="19.5" customHeight="1" thickBot="1">
      <c r="A522" s="217" t="s">
        <v>72</v>
      </c>
      <c r="B522" s="23" t="s">
        <v>279</v>
      </c>
      <c r="C522" s="23" t="s">
        <v>18</v>
      </c>
      <c r="D522" s="23"/>
      <c r="E522" s="23"/>
      <c r="F522" s="23"/>
      <c r="G522" s="17"/>
      <c r="H522" s="20"/>
      <c r="I522" s="17"/>
      <c r="J522" s="272">
        <f>J523</f>
        <v>969.6804</v>
      </c>
      <c r="K522" s="256">
        <f>K523</f>
        <v>969.6804</v>
      </c>
      <c r="L522" s="256">
        <f t="shared" si="60"/>
        <v>100</v>
      </c>
      <c r="M522" s="47"/>
      <c r="N522" s="85"/>
    </row>
    <row r="523" spans="1:14" ht="15.75" thickBot="1">
      <c r="A523" s="217" t="s">
        <v>52</v>
      </c>
      <c r="B523" s="23" t="s">
        <v>279</v>
      </c>
      <c r="C523" s="23" t="s">
        <v>18</v>
      </c>
      <c r="D523" s="23" t="s">
        <v>8</v>
      </c>
      <c r="E523" s="23"/>
      <c r="F523" s="23"/>
      <c r="G523" s="17">
        <f aca="true" t="shared" si="63" ref="G523:K525">G524</f>
        <v>0</v>
      </c>
      <c r="H523" s="17">
        <f t="shared" si="63"/>
        <v>666</v>
      </c>
      <c r="I523" s="17">
        <f t="shared" si="63"/>
        <v>0</v>
      </c>
      <c r="J523" s="272">
        <f>J524+J529</f>
        <v>969.6804</v>
      </c>
      <c r="K523" s="272">
        <f>K524+K529</f>
        <v>969.6804</v>
      </c>
      <c r="L523" s="256">
        <f t="shared" si="60"/>
        <v>100</v>
      </c>
      <c r="M523" s="47"/>
      <c r="N523" s="85"/>
    </row>
    <row r="524" spans="1:14" ht="29.25" customHeight="1" thickBot="1">
      <c r="A524" s="214" t="s">
        <v>360</v>
      </c>
      <c r="B524" s="18" t="s">
        <v>279</v>
      </c>
      <c r="C524" s="18" t="s">
        <v>18</v>
      </c>
      <c r="D524" s="18" t="s">
        <v>8</v>
      </c>
      <c r="E524" s="18" t="s">
        <v>361</v>
      </c>
      <c r="F524" s="18"/>
      <c r="G524" s="30">
        <f t="shared" si="63"/>
        <v>0</v>
      </c>
      <c r="H524" s="30">
        <f t="shared" si="63"/>
        <v>666</v>
      </c>
      <c r="I524" s="30">
        <f t="shared" si="63"/>
        <v>0</v>
      </c>
      <c r="J524" s="257">
        <f t="shared" si="63"/>
        <v>923.6</v>
      </c>
      <c r="K524" s="257">
        <f t="shared" si="63"/>
        <v>923.6</v>
      </c>
      <c r="L524" s="257">
        <f t="shared" si="60"/>
        <v>100</v>
      </c>
      <c r="M524" s="47"/>
      <c r="N524" s="85"/>
    </row>
    <row r="525" spans="1:14" ht="28.5" customHeight="1">
      <c r="A525" s="214" t="s">
        <v>362</v>
      </c>
      <c r="B525" s="18" t="s">
        <v>279</v>
      </c>
      <c r="C525" s="18" t="s">
        <v>18</v>
      </c>
      <c r="D525" s="18" t="s">
        <v>8</v>
      </c>
      <c r="E525" s="18" t="s">
        <v>363</v>
      </c>
      <c r="F525" s="18"/>
      <c r="G525" s="30">
        <f t="shared" si="63"/>
        <v>0</v>
      </c>
      <c r="H525" s="30">
        <f t="shared" si="63"/>
        <v>666</v>
      </c>
      <c r="I525" s="30">
        <f t="shared" si="63"/>
        <v>0</v>
      </c>
      <c r="J525" s="257">
        <f>J526+J527+J528</f>
        <v>923.6</v>
      </c>
      <c r="K525" s="257">
        <f>K526+K527+K528</f>
        <v>923.6</v>
      </c>
      <c r="L525" s="257">
        <f t="shared" si="60"/>
        <v>100</v>
      </c>
      <c r="M525" s="49"/>
      <c r="N525" s="73"/>
    </row>
    <row r="526" spans="1:14" ht="16.5" customHeight="1" hidden="1">
      <c r="A526" s="214" t="s">
        <v>230</v>
      </c>
      <c r="B526" s="18" t="s">
        <v>279</v>
      </c>
      <c r="C526" s="18" t="s">
        <v>18</v>
      </c>
      <c r="D526" s="18" t="s">
        <v>8</v>
      </c>
      <c r="E526" s="18" t="s">
        <v>363</v>
      </c>
      <c r="F526" s="18" t="s">
        <v>231</v>
      </c>
      <c r="G526" s="30"/>
      <c r="H526" s="30">
        <v>666</v>
      </c>
      <c r="I526" s="30"/>
      <c r="J526" s="273"/>
      <c r="K526" s="257"/>
      <c r="L526" s="257" t="e">
        <f t="shared" si="60"/>
        <v>#DIV/0!</v>
      </c>
      <c r="M526" s="26"/>
      <c r="N526" s="54"/>
    </row>
    <row r="527" spans="1:14" ht="16.5" customHeight="1" hidden="1" thickBot="1">
      <c r="A527" s="214" t="s">
        <v>355</v>
      </c>
      <c r="B527" s="18" t="s">
        <v>279</v>
      </c>
      <c r="C527" s="18" t="s">
        <v>18</v>
      </c>
      <c r="D527" s="18" t="s">
        <v>8</v>
      </c>
      <c r="E527" s="18" t="s">
        <v>363</v>
      </c>
      <c r="F527" s="18" t="s">
        <v>356</v>
      </c>
      <c r="G527" s="30"/>
      <c r="H527" s="30"/>
      <c r="I527" s="30"/>
      <c r="J527" s="273"/>
      <c r="K527" s="257"/>
      <c r="L527" s="257" t="e">
        <f t="shared" si="60"/>
        <v>#DIV/0!</v>
      </c>
      <c r="M527" s="45"/>
      <c r="N527" s="61"/>
    </row>
    <row r="528" spans="1:14" ht="16.5" customHeight="1" thickBot="1">
      <c r="A528" s="214" t="s">
        <v>538</v>
      </c>
      <c r="B528" s="18" t="s">
        <v>279</v>
      </c>
      <c r="C528" s="18" t="s">
        <v>18</v>
      </c>
      <c r="D528" s="18" t="s">
        <v>8</v>
      </c>
      <c r="E528" s="18" t="s">
        <v>363</v>
      </c>
      <c r="F528" s="18" t="s">
        <v>537</v>
      </c>
      <c r="G528" s="30"/>
      <c r="H528" s="30"/>
      <c r="I528" s="30"/>
      <c r="J528" s="273">
        <v>923.6</v>
      </c>
      <c r="K528" s="257">
        <v>923.6</v>
      </c>
      <c r="L528" s="257">
        <f t="shared" si="60"/>
        <v>100</v>
      </c>
      <c r="M528" s="47"/>
      <c r="N528" s="92"/>
    </row>
    <row r="529" spans="1:14" ht="15.75" customHeight="1" thickBot="1">
      <c r="A529" s="214" t="s">
        <v>521</v>
      </c>
      <c r="B529" s="18" t="s">
        <v>279</v>
      </c>
      <c r="C529" s="18" t="s">
        <v>18</v>
      </c>
      <c r="D529" s="18" t="s">
        <v>8</v>
      </c>
      <c r="E529" s="18" t="s">
        <v>513</v>
      </c>
      <c r="F529" s="18"/>
      <c r="G529" s="30"/>
      <c r="H529" s="30"/>
      <c r="I529" s="30"/>
      <c r="J529" s="273">
        <f>J530</f>
        <v>46.0804</v>
      </c>
      <c r="K529" s="273">
        <f>K530</f>
        <v>46.0804</v>
      </c>
      <c r="L529" s="257">
        <f t="shared" si="60"/>
        <v>100</v>
      </c>
      <c r="M529" s="47"/>
      <c r="N529" s="92"/>
    </row>
    <row r="530" spans="1:14" ht="20.25" customHeight="1" thickBot="1">
      <c r="A530" s="214" t="s">
        <v>525</v>
      </c>
      <c r="B530" s="18" t="s">
        <v>279</v>
      </c>
      <c r="C530" s="18" t="s">
        <v>18</v>
      </c>
      <c r="D530" s="18" t="s">
        <v>8</v>
      </c>
      <c r="E530" s="18" t="s">
        <v>513</v>
      </c>
      <c r="F530" s="18" t="s">
        <v>514</v>
      </c>
      <c r="G530" s="30"/>
      <c r="H530" s="30"/>
      <c r="I530" s="30"/>
      <c r="J530" s="273">
        <v>46.0804</v>
      </c>
      <c r="K530" s="257">
        <v>46.0804</v>
      </c>
      <c r="L530" s="257">
        <f t="shared" si="60"/>
        <v>100</v>
      </c>
      <c r="M530" s="47"/>
      <c r="N530" s="92"/>
    </row>
    <row r="531" spans="1:15" ht="15.75" thickBot="1">
      <c r="A531" s="238" t="s">
        <v>372</v>
      </c>
      <c r="B531" s="187" t="s">
        <v>234</v>
      </c>
      <c r="C531" s="187"/>
      <c r="D531" s="187"/>
      <c r="E531" s="187"/>
      <c r="F531" s="187"/>
      <c r="G531" s="188" t="e">
        <f>G532+G547</f>
        <v>#REF!</v>
      </c>
      <c r="H531" s="188" t="e">
        <f>H532+H547+#REF!</f>
        <v>#REF!</v>
      </c>
      <c r="I531" s="188" t="e">
        <f>I532+I547+#REF!</f>
        <v>#REF!</v>
      </c>
      <c r="J531" s="255">
        <f>J532+J538+J547+J589+J582</f>
        <v>12301.85824</v>
      </c>
      <c r="K531" s="255">
        <f>K532+K538+K547+K589+K582</f>
        <v>12278.38489</v>
      </c>
      <c r="L531" s="255">
        <f t="shared" si="60"/>
        <v>99.80918858320383</v>
      </c>
      <c r="M531" s="63" t="e">
        <f>M532+M547+#REF!+M538</f>
        <v>#REF!</v>
      </c>
      <c r="N531" s="64" t="e">
        <f>N532+N547+#REF!+N538</f>
        <v>#REF!</v>
      </c>
      <c r="O531" s="136"/>
    </row>
    <row r="532" spans="1:14" s="143" customFormat="1" ht="14.25">
      <c r="A532" s="217" t="s">
        <v>5</v>
      </c>
      <c r="B532" s="23" t="s">
        <v>234</v>
      </c>
      <c r="C532" s="23" t="s">
        <v>7</v>
      </c>
      <c r="D532" s="23"/>
      <c r="E532" s="23"/>
      <c r="F532" s="23"/>
      <c r="G532" s="17" t="e">
        <f aca="true" t="shared" si="64" ref="G532:N534">G533</f>
        <v>#REF!</v>
      </c>
      <c r="H532" s="17" t="e">
        <f t="shared" si="64"/>
        <v>#REF!</v>
      </c>
      <c r="I532" s="17" t="e">
        <f t="shared" si="64"/>
        <v>#REF!</v>
      </c>
      <c r="J532" s="256">
        <f t="shared" si="64"/>
        <v>957.62649</v>
      </c>
      <c r="K532" s="256">
        <f t="shared" si="64"/>
        <v>957.62649</v>
      </c>
      <c r="L532" s="256">
        <f t="shared" si="60"/>
        <v>100</v>
      </c>
      <c r="M532" s="21" t="e">
        <f t="shared" si="64"/>
        <v>#REF!</v>
      </c>
      <c r="N532" s="22" t="e">
        <f t="shared" si="64"/>
        <v>#REF!</v>
      </c>
    </row>
    <row r="533" spans="1:14" s="121" customFormat="1" ht="48">
      <c r="A533" s="214" t="s">
        <v>201</v>
      </c>
      <c r="B533" s="23" t="s">
        <v>234</v>
      </c>
      <c r="C533" s="23" t="s">
        <v>7</v>
      </c>
      <c r="D533" s="23" t="s">
        <v>10</v>
      </c>
      <c r="E533" s="23"/>
      <c r="F533" s="23"/>
      <c r="G533" s="17" t="e">
        <f t="shared" si="64"/>
        <v>#REF!</v>
      </c>
      <c r="H533" s="17" t="e">
        <f t="shared" si="64"/>
        <v>#REF!</v>
      </c>
      <c r="I533" s="17" t="e">
        <f t="shared" si="64"/>
        <v>#REF!</v>
      </c>
      <c r="J533" s="256">
        <f t="shared" si="64"/>
        <v>957.62649</v>
      </c>
      <c r="K533" s="256">
        <f t="shared" si="64"/>
        <v>957.62649</v>
      </c>
      <c r="L533" s="256">
        <f t="shared" si="60"/>
        <v>100</v>
      </c>
      <c r="M533" s="38" t="e">
        <f t="shared" si="64"/>
        <v>#REF!</v>
      </c>
      <c r="N533" s="53" t="e">
        <f t="shared" si="64"/>
        <v>#REF!</v>
      </c>
    </row>
    <row r="534" spans="1:14" ht="24.75">
      <c r="A534" s="214" t="s">
        <v>267</v>
      </c>
      <c r="B534" s="18" t="s">
        <v>234</v>
      </c>
      <c r="C534" s="18" t="s">
        <v>7</v>
      </c>
      <c r="D534" s="18" t="s">
        <v>10</v>
      </c>
      <c r="E534" s="18" t="s">
        <v>124</v>
      </c>
      <c r="F534" s="18"/>
      <c r="G534" s="30" t="e">
        <f t="shared" si="64"/>
        <v>#REF!</v>
      </c>
      <c r="H534" s="30" t="e">
        <f t="shared" si="64"/>
        <v>#REF!</v>
      </c>
      <c r="I534" s="30" t="e">
        <f t="shared" si="64"/>
        <v>#REF!</v>
      </c>
      <c r="J534" s="257">
        <f t="shared" si="64"/>
        <v>957.62649</v>
      </c>
      <c r="K534" s="257">
        <f t="shared" si="64"/>
        <v>957.62649</v>
      </c>
      <c r="L534" s="257">
        <f t="shared" si="60"/>
        <v>100</v>
      </c>
      <c r="M534" s="26" t="e">
        <f t="shared" si="64"/>
        <v>#REF!</v>
      </c>
      <c r="N534" s="27" t="e">
        <f t="shared" si="64"/>
        <v>#REF!</v>
      </c>
    </row>
    <row r="535" spans="1:14" ht="15">
      <c r="A535" s="214" t="s">
        <v>125</v>
      </c>
      <c r="B535" s="18" t="s">
        <v>234</v>
      </c>
      <c r="C535" s="18" t="s">
        <v>7</v>
      </c>
      <c r="D535" s="18" t="s">
        <v>10</v>
      </c>
      <c r="E535" s="18" t="s">
        <v>126</v>
      </c>
      <c r="F535" s="18"/>
      <c r="G535" s="30" t="e">
        <f>#REF!</f>
        <v>#REF!</v>
      </c>
      <c r="H535" s="30" t="e">
        <f>#REF!</f>
        <v>#REF!</v>
      </c>
      <c r="I535" s="30" t="e">
        <f>#REF!</f>
        <v>#REF!</v>
      </c>
      <c r="J535" s="257">
        <f>J536+J537</f>
        <v>957.62649</v>
      </c>
      <c r="K535" s="257">
        <f>K536+K537</f>
        <v>957.62649</v>
      </c>
      <c r="L535" s="257">
        <f t="shared" si="60"/>
        <v>100</v>
      </c>
      <c r="M535" s="26" t="e">
        <f>#REF!</f>
        <v>#REF!</v>
      </c>
      <c r="N535" s="27" t="e">
        <f>#REF!</f>
        <v>#REF!</v>
      </c>
    </row>
    <row r="536" spans="1:15" ht="15">
      <c r="A536" s="223" t="s">
        <v>373</v>
      </c>
      <c r="B536" s="18" t="s">
        <v>234</v>
      </c>
      <c r="C536" s="18" t="s">
        <v>7</v>
      </c>
      <c r="D536" s="18" t="s">
        <v>10</v>
      </c>
      <c r="E536" s="18" t="s">
        <v>126</v>
      </c>
      <c r="F536" s="18" t="s">
        <v>163</v>
      </c>
      <c r="G536" s="30"/>
      <c r="H536" s="89"/>
      <c r="I536" s="89"/>
      <c r="J536" s="257">
        <v>957.62649</v>
      </c>
      <c r="K536" s="257">
        <v>957.62649</v>
      </c>
      <c r="L536" s="257">
        <f t="shared" si="60"/>
        <v>100</v>
      </c>
      <c r="M536" s="26"/>
      <c r="N536" s="27"/>
      <c r="O536" s="74"/>
    </row>
    <row r="537" spans="1:15" ht="24.75" hidden="1">
      <c r="A537" s="214" t="s">
        <v>102</v>
      </c>
      <c r="B537" s="18" t="s">
        <v>234</v>
      </c>
      <c r="C537" s="18" t="s">
        <v>7</v>
      </c>
      <c r="D537" s="18" t="s">
        <v>10</v>
      </c>
      <c r="E537" s="18" t="s">
        <v>126</v>
      </c>
      <c r="F537" s="18" t="s">
        <v>101</v>
      </c>
      <c r="G537" s="30"/>
      <c r="H537" s="89">
        <v>774.87</v>
      </c>
      <c r="I537" s="89"/>
      <c r="J537" s="257"/>
      <c r="K537" s="257"/>
      <c r="L537" s="257" t="e">
        <f t="shared" si="60"/>
        <v>#DIV/0!</v>
      </c>
      <c r="M537" s="26">
        <f>-78.244</f>
        <v>-78.244</v>
      </c>
      <c r="N537" s="27" t="e">
        <f>L537+M537</f>
        <v>#DIV/0!</v>
      </c>
      <c r="O537" s="74"/>
    </row>
    <row r="538" spans="1:14" s="143" customFormat="1" ht="14.25">
      <c r="A538" s="217" t="s">
        <v>42</v>
      </c>
      <c r="B538" s="23" t="s">
        <v>234</v>
      </c>
      <c r="C538" s="23" t="s">
        <v>15</v>
      </c>
      <c r="D538" s="23"/>
      <c r="E538" s="23"/>
      <c r="F538" s="23"/>
      <c r="G538" s="17" t="e">
        <f>G560+#REF!+#REF!</f>
        <v>#REF!</v>
      </c>
      <c r="H538" s="19" t="e">
        <f>H560+#REF!+H539</f>
        <v>#REF!</v>
      </c>
      <c r="I538" s="19" t="e">
        <f>I560+#REF!+I539</f>
        <v>#REF!</v>
      </c>
      <c r="J538" s="256">
        <f>J539</f>
        <v>265.717</v>
      </c>
      <c r="K538" s="256">
        <f>K539</f>
        <v>265.717</v>
      </c>
      <c r="L538" s="256">
        <f t="shared" si="60"/>
        <v>100</v>
      </c>
      <c r="M538" s="28" t="e">
        <f>M539</f>
        <v>#REF!</v>
      </c>
      <c r="N538" s="29" t="e">
        <f>N539</f>
        <v>#REF!</v>
      </c>
    </row>
    <row r="539" spans="1:14" s="121" customFormat="1" ht="14.25">
      <c r="A539" s="214" t="s">
        <v>47</v>
      </c>
      <c r="B539" s="23" t="s">
        <v>234</v>
      </c>
      <c r="C539" s="23" t="s">
        <v>15</v>
      </c>
      <c r="D539" s="23" t="s">
        <v>15</v>
      </c>
      <c r="E539" s="23"/>
      <c r="F539" s="23"/>
      <c r="G539" s="17" t="e">
        <f>#REF!</f>
        <v>#REF!</v>
      </c>
      <c r="H539" s="17" t="e">
        <f>#REF!</f>
        <v>#REF!</v>
      </c>
      <c r="I539" s="17" t="e">
        <f>#REF!</f>
        <v>#REF!</v>
      </c>
      <c r="J539" s="256">
        <f>J540+J543</f>
        <v>265.717</v>
      </c>
      <c r="K539" s="256">
        <f>K540+K543</f>
        <v>265.717</v>
      </c>
      <c r="L539" s="256">
        <f aca="true" t="shared" si="65" ref="L539:L596">K539/J539*100</f>
        <v>100</v>
      </c>
      <c r="M539" s="38" t="e">
        <f>#REF!</f>
        <v>#REF!</v>
      </c>
      <c r="N539" s="75" t="e">
        <f>#REF!</f>
        <v>#REF!</v>
      </c>
    </row>
    <row r="540" spans="1:14" ht="24.75">
      <c r="A540" s="214" t="s">
        <v>106</v>
      </c>
      <c r="B540" s="18" t="s">
        <v>234</v>
      </c>
      <c r="C540" s="18" t="s">
        <v>15</v>
      </c>
      <c r="D540" s="18" t="s">
        <v>15</v>
      </c>
      <c r="E540" s="18" t="s">
        <v>374</v>
      </c>
      <c r="F540" s="18"/>
      <c r="G540" s="30"/>
      <c r="H540" s="30"/>
      <c r="I540" s="30"/>
      <c r="J540" s="257">
        <f>J541+J542</f>
        <v>139.717</v>
      </c>
      <c r="K540" s="257">
        <f>K541+K542</f>
        <v>139.717</v>
      </c>
      <c r="L540" s="257">
        <f t="shared" si="65"/>
        <v>100</v>
      </c>
      <c r="M540" s="26"/>
      <c r="N540" s="27"/>
    </row>
    <row r="541" spans="1:15" ht="15" hidden="1">
      <c r="A541" s="219" t="s">
        <v>108</v>
      </c>
      <c r="B541" s="18" t="s">
        <v>234</v>
      </c>
      <c r="C541" s="18" t="s">
        <v>15</v>
      </c>
      <c r="D541" s="18" t="s">
        <v>15</v>
      </c>
      <c r="E541" s="18" t="s">
        <v>374</v>
      </c>
      <c r="F541" s="18" t="s">
        <v>105</v>
      </c>
      <c r="G541" s="30"/>
      <c r="H541" s="30"/>
      <c r="I541" s="30"/>
      <c r="J541" s="257"/>
      <c r="K541" s="257"/>
      <c r="L541" s="257" t="e">
        <f t="shared" si="65"/>
        <v>#DIV/0!</v>
      </c>
      <c r="M541" s="26"/>
      <c r="N541" s="27"/>
      <c r="O541" s="74"/>
    </row>
    <row r="542" spans="1:15" ht="15">
      <c r="A542" s="223" t="s">
        <v>373</v>
      </c>
      <c r="B542" s="18" t="s">
        <v>234</v>
      </c>
      <c r="C542" s="18" t="s">
        <v>15</v>
      </c>
      <c r="D542" s="18" t="s">
        <v>15</v>
      </c>
      <c r="E542" s="18" t="s">
        <v>374</v>
      </c>
      <c r="F542" s="18" t="s">
        <v>163</v>
      </c>
      <c r="G542" s="30"/>
      <c r="H542" s="30"/>
      <c r="I542" s="30"/>
      <c r="J542" s="257">
        <v>139.717</v>
      </c>
      <c r="K542" s="257">
        <v>139.717</v>
      </c>
      <c r="L542" s="257">
        <f t="shared" si="65"/>
        <v>100</v>
      </c>
      <c r="M542" s="26"/>
      <c r="N542" s="27"/>
      <c r="O542" s="74"/>
    </row>
    <row r="543" spans="1:14" ht="15">
      <c r="A543" s="214" t="s">
        <v>268</v>
      </c>
      <c r="B543" s="18" t="s">
        <v>234</v>
      </c>
      <c r="C543" s="18" t="s">
        <v>15</v>
      </c>
      <c r="D543" s="18" t="s">
        <v>15</v>
      </c>
      <c r="E543" s="18" t="s">
        <v>269</v>
      </c>
      <c r="F543" s="18"/>
      <c r="G543" s="30"/>
      <c r="H543" s="30"/>
      <c r="I543" s="30"/>
      <c r="J543" s="257">
        <f>J544</f>
        <v>126</v>
      </c>
      <c r="K543" s="257">
        <f>K544</f>
        <v>126</v>
      </c>
      <c r="L543" s="257">
        <f t="shared" si="65"/>
        <v>100</v>
      </c>
      <c r="M543" s="26"/>
      <c r="N543" s="27"/>
    </row>
    <row r="544" spans="1:14" ht="24.75">
      <c r="A544" s="214" t="s">
        <v>457</v>
      </c>
      <c r="B544" s="18" t="s">
        <v>234</v>
      </c>
      <c r="C544" s="18" t="s">
        <v>15</v>
      </c>
      <c r="D544" s="18" t="s">
        <v>15</v>
      </c>
      <c r="E544" s="18" t="s">
        <v>369</v>
      </c>
      <c r="F544" s="18"/>
      <c r="G544" s="30"/>
      <c r="H544" s="30"/>
      <c r="I544" s="30"/>
      <c r="J544" s="257">
        <f>J545+J546</f>
        <v>126</v>
      </c>
      <c r="K544" s="257">
        <f>K545+K546</f>
        <v>126</v>
      </c>
      <c r="L544" s="257">
        <f t="shared" si="65"/>
        <v>100</v>
      </c>
      <c r="M544" s="26"/>
      <c r="N544" s="27"/>
    </row>
    <row r="545" spans="1:14" ht="36">
      <c r="A545" s="215" t="s">
        <v>165</v>
      </c>
      <c r="B545" s="18" t="s">
        <v>234</v>
      </c>
      <c r="C545" s="18" t="s">
        <v>15</v>
      </c>
      <c r="D545" s="18" t="s">
        <v>15</v>
      </c>
      <c r="E545" s="18" t="s">
        <v>369</v>
      </c>
      <c r="F545" s="18" t="s">
        <v>166</v>
      </c>
      <c r="G545" s="30"/>
      <c r="H545" s="30"/>
      <c r="I545" s="30"/>
      <c r="J545" s="257">
        <v>4.1</v>
      </c>
      <c r="K545" s="257">
        <v>4.1</v>
      </c>
      <c r="L545" s="257">
        <f t="shared" si="65"/>
        <v>100</v>
      </c>
      <c r="M545" s="26"/>
      <c r="N545" s="27"/>
    </row>
    <row r="546" spans="1:14" ht="27" customHeight="1">
      <c r="A546" s="215" t="s">
        <v>156</v>
      </c>
      <c r="B546" s="18" t="s">
        <v>234</v>
      </c>
      <c r="C546" s="18" t="s">
        <v>15</v>
      </c>
      <c r="D546" s="18" t="s">
        <v>15</v>
      </c>
      <c r="E546" s="18" t="s">
        <v>369</v>
      </c>
      <c r="F546" s="18" t="s">
        <v>158</v>
      </c>
      <c r="G546" s="30"/>
      <c r="H546" s="30"/>
      <c r="I546" s="30"/>
      <c r="J546" s="257">
        <v>121.9</v>
      </c>
      <c r="K546" s="257">
        <v>121.9</v>
      </c>
      <c r="L546" s="257">
        <f t="shared" si="65"/>
        <v>100</v>
      </c>
      <c r="M546" s="31"/>
      <c r="N546" s="31"/>
    </row>
    <row r="547" spans="1:14" s="143" customFormat="1" ht="14.25">
      <c r="A547" s="217" t="s">
        <v>458</v>
      </c>
      <c r="B547" s="23" t="s">
        <v>234</v>
      </c>
      <c r="C547" s="23" t="s">
        <v>35</v>
      </c>
      <c r="D547" s="23"/>
      <c r="E547" s="23"/>
      <c r="F547" s="23"/>
      <c r="G547" s="17" t="e">
        <f>G548+#REF!</f>
        <v>#REF!</v>
      </c>
      <c r="H547" s="17" t="e">
        <f>H548+#REF!</f>
        <v>#REF!</v>
      </c>
      <c r="I547" s="17" t="e">
        <f>I548+#REF!</f>
        <v>#REF!</v>
      </c>
      <c r="J547" s="256">
        <f>J548+J574</f>
        <v>9280.91475</v>
      </c>
      <c r="K547" s="256">
        <f>K548+K574</f>
        <v>9257.4414</v>
      </c>
      <c r="L547" s="257">
        <f t="shared" si="65"/>
        <v>99.747079349048</v>
      </c>
      <c r="M547" s="90" t="e">
        <f>M548+#REF!+M574</f>
        <v>#REF!</v>
      </c>
      <c r="N547" s="91" t="e">
        <f>N548+#REF!+N574</f>
        <v>#DIV/0!</v>
      </c>
    </row>
    <row r="548" spans="1:14" s="121" customFormat="1" ht="14.25">
      <c r="A548" s="214" t="s">
        <v>51</v>
      </c>
      <c r="B548" s="23" t="s">
        <v>234</v>
      </c>
      <c r="C548" s="23" t="s">
        <v>35</v>
      </c>
      <c r="D548" s="23" t="s">
        <v>7</v>
      </c>
      <c r="E548" s="23"/>
      <c r="F548" s="23"/>
      <c r="G548" s="17">
        <f>G551+G558</f>
        <v>137.57999999999998</v>
      </c>
      <c r="H548" s="17">
        <f>H551+H558</f>
        <v>3820.25</v>
      </c>
      <c r="I548" s="17">
        <f>I551+I558</f>
        <v>0</v>
      </c>
      <c r="J548" s="256">
        <f>J551+J558+J570+J572+J549</f>
        <v>6471.06575</v>
      </c>
      <c r="K548" s="256">
        <f>K551+K558+K570+K572+K549</f>
        <v>6447.5923999999995</v>
      </c>
      <c r="L548" s="256">
        <f t="shared" si="65"/>
        <v>99.63725681507717</v>
      </c>
      <c r="M548" s="38" t="e">
        <f>M551+M558</f>
        <v>#REF!</v>
      </c>
      <c r="N548" s="75" t="e">
        <f>N551+N558</f>
        <v>#DIV/0!</v>
      </c>
    </row>
    <row r="549" spans="1:14" s="121" customFormat="1" ht="24">
      <c r="A549" s="214" t="s">
        <v>526</v>
      </c>
      <c r="B549" s="18" t="s">
        <v>234</v>
      </c>
      <c r="C549" s="18" t="s">
        <v>35</v>
      </c>
      <c r="D549" s="18" t="s">
        <v>7</v>
      </c>
      <c r="E549" s="18" t="s">
        <v>518</v>
      </c>
      <c r="F549" s="18"/>
      <c r="G549" s="17"/>
      <c r="H549" s="17"/>
      <c r="I549" s="17"/>
      <c r="J549" s="257">
        <f>J550</f>
        <v>37.6</v>
      </c>
      <c r="K549" s="257">
        <f>K550</f>
        <v>37.6</v>
      </c>
      <c r="L549" s="257">
        <f t="shared" si="65"/>
        <v>100</v>
      </c>
      <c r="M549" s="38"/>
      <c r="N549" s="75"/>
    </row>
    <row r="550" spans="1:14" s="121" customFormat="1" ht="26.25" customHeight="1">
      <c r="A550" s="215" t="s">
        <v>156</v>
      </c>
      <c r="B550" s="18" t="s">
        <v>234</v>
      </c>
      <c r="C550" s="18" t="s">
        <v>35</v>
      </c>
      <c r="D550" s="18" t="s">
        <v>7</v>
      </c>
      <c r="E550" s="18" t="s">
        <v>518</v>
      </c>
      <c r="F550" s="18" t="s">
        <v>158</v>
      </c>
      <c r="G550" s="17"/>
      <c r="H550" s="17"/>
      <c r="I550" s="17"/>
      <c r="J550" s="257">
        <v>37.6</v>
      </c>
      <c r="K550" s="257">
        <v>37.6</v>
      </c>
      <c r="L550" s="257">
        <f t="shared" si="65"/>
        <v>100</v>
      </c>
      <c r="M550" s="38"/>
      <c r="N550" s="75"/>
    </row>
    <row r="551" spans="1:14" ht="15">
      <c r="A551" s="214" t="s">
        <v>375</v>
      </c>
      <c r="B551" s="18" t="s">
        <v>234</v>
      </c>
      <c r="C551" s="18" t="s">
        <v>35</v>
      </c>
      <c r="D551" s="18" t="s">
        <v>7</v>
      </c>
      <c r="E551" s="18" t="s">
        <v>376</v>
      </c>
      <c r="F551" s="18"/>
      <c r="G551" s="30">
        <f aca="true" t="shared" si="66" ref="G551:N551">G552</f>
        <v>67.58</v>
      </c>
      <c r="H551" s="30">
        <f t="shared" si="66"/>
        <v>2510.85</v>
      </c>
      <c r="I551" s="30">
        <f t="shared" si="66"/>
        <v>0</v>
      </c>
      <c r="J551" s="257">
        <f t="shared" si="66"/>
        <v>1012.24685</v>
      </c>
      <c r="K551" s="257">
        <f t="shared" si="66"/>
        <v>1012.24685</v>
      </c>
      <c r="L551" s="257">
        <f t="shared" si="65"/>
        <v>100</v>
      </c>
      <c r="M551" s="26" t="e">
        <f t="shared" si="66"/>
        <v>#REF!</v>
      </c>
      <c r="N551" s="27" t="e">
        <f t="shared" si="66"/>
        <v>#DIV/0!</v>
      </c>
    </row>
    <row r="552" spans="1:14" ht="24.75">
      <c r="A552" s="214" t="s">
        <v>106</v>
      </c>
      <c r="B552" s="18" t="s">
        <v>234</v>
      </c>
      <c r="C552" s="18" t="s">
        <v>35</v>
      </c>
      <c r="D552" s="18" t="s">
        <v>7</v>
      </c>
      <c r="E552" s="18" t="s">
        <v>377</v>
      </c>
      <c r="F552" s="18"/>
      <c r="G552" s="30">
        <f>G553</f>
        <v>67.58</v>
      </c>
      <c r="H552" s="30">
        <f>H553</f>
        <v>2510.85</v>
      </c>
      <c r="I552" s="30">
        <f>I553</f>
        <v>0</v>
      </c>
      <c r="J552" s="257">
        <f>J553+J554+J555+J556+J557</f>
        <v>1012.24685</v>
      </c>
      <c r="K552" s="257">
        <f>K553+K554+K555+K556+K557</f>
        <v>1012.24685</v>
      </c>
      <c r="L552" s="257">
        <f t="shared" si="65"/>
        <v>100</v>
      </c>
      <c r="M552" s="26" t="e">
        <f>M553+#REF!+#REF!+M554+M555+M557+M556</f>
        <v>#REF!</v>
      </c>
      <c r="N552" s="54" t="e">
        <f>N553+#REF!+#REF!+N554+N555+N557+N556</f>
        <v>#DIV/0!</v>
      </c>
    </row>
    <row r="553" spans="1:15" ht="15" hidden="1">
      <c r="A553" s="214" t="s">
        <v>104</v>
      </c>
      <c r="B553" s="18" t="s">
        <v>234</v>
      </c>
      <c r="C553" s="18" t="s">
        <v>35</v>
      </c>
      <c r="D553" s="18" t="s">
        <v>7</v>
      </c>
      <c r="E553" s="18" t="s">
        <v>377</v>
      </c>
      <c r="F553" s="18" t="s">
        <v>105</v>
      </c>
      <c r="G553" s="30">
        <f>67.58</f>
        <v>67.58</v>
      </c>
      <c r="H553" s="24">
        <v>2510.85</v>
      </c>
      <c r="I553" s="30"/>
      <c r="J553" s="257"/>
      <c r="K553" s="257"/>
      <c r="L553" s="257" t="e">
        <f t="shared" si="65"/>
        <v>#DIV/0!</v>
      </c>
      <c r="M553" s="26">
        <f>-4-35</f>
        <v>-39</v>
      </c>
      <c r="N553" s="27" t="e">
        <f>L553+M553</f>
        <v>#DIV/0!</v>
      </c>
      <c r="O553" s="139"/>
    </row>
    <row r="554" spans="1:15" ht="15.75" customHeight="1">
      <c r="A554" s="215" t="s">
        <v>162</v>
      </c>
      <c r="B554" s="18" t="s">
        <v>234</v>
      </c>
      <c r="C554" s="18" t="s">
        <v>35</v>
      </c>
      <c r="D554" s="18" t="s">
        <v>7</v>
      </c>
      <c r="E554" s="18" t="s">
        <v>377</v>
      </c>
      <c r="F554" s="18" t="s">
        <v>163</v>
      </c>
      <c r="G554" s="30"/>
      <c r="H554" s="24"/>
      <c r="I554" s="30"/>
      <c r="J554" s="257">
        <v>719.44</v>
      </c>
      <c r="K554" s="257">
        <v>719.44</v>
      </c>
      <c r="L554" s="257">
        <f t="shared" si="65"/>
        <v>100</v>
      </c>
      <c r="M554" s="26"/>
      <c r="N554" s="27"/>
      <c r="O554" s="139"/>
    </row>
    <row r="555" spans="1:15" ht="30" customHeight="1" hidden="1">
      <c r="A555" s="215" t="s">
        <v>165</v>
      </c>
      <c r="B555" s="18" t="s">
        <v>234</v>
      </c>
      <c r="C555" s="18" t="s">
        <v>35</v>
      </c>
      <c r="D555" s="18" t="s">
        <v>7</v>
      </c>
      <c r="E555" s="18" t="s">
        <v>377</v>
      </c>
      <c r="F555" s="18" t="s">
        <v>166</v>
      </c>
      <c r="G555" s="30"/>
      <c r="H555" s="24"/>
      <c r="I555" s="30"/>
      <c r="J555" s="257"/>
      <c r="K555" s="257"/>
      <c r="L555" s="257" t="e">
        <f t="shared" si="65"/>
        <v>#DIV/0!</v>
      </c>
      <c r="M555" s="26"/>
      <c r="N555" s="27"/>
      <c r="O555" s="139"/>
    </row>
    <row r="556" spans="1:15" ht="30" customHeight="1" hidden="1">
      <c r="A556" s="215" t="s">
        <v>169</v>
      </c>
      <c r="B556" s="18" t="s">
        <v>234</v>
      </c>
      <c r="C556" s="18" t="s">
        <v>35</v>
      </c>
      <c r="D556" s="18" t="s">
        <v>7</v>
      </c>
      <c r="E556" s="18" t="s">
        <v>377</v>
      </c>
      <c r="F556" s="18" t="s">
        <v>170</v>
      </c>
      <c r="G556" s="30"/>
      <c r="H556" s="24"/>
      <c r="I556" s="30"/>
      <c r="J556" s="257"/>
      <c r="K556" s="257"/>
      <c r="L556" s="257" t="e">
        <f t="shared" si="65"/>
        <v>#DIV/0!</v>
      </c>
      <c r="M556" s="26"/>
      <c r="N556" s="27"/>
      <c r="O556" s="139"/>
    </row>
    <row r="557" spans="1:15" ht="30" customHeight="1">
      <c r="A557" s="215" t="s">
        <v>156</v>
      </c>
      <c r="B557" s="18" t="s">
        <v>234</v>
      </c>
      <c r="C557" s="18" t="s">
        <v>35</v>
      </c>
      <c r="D557" s="18" t="s">
        <v>7</v>
      </c>
      <c r="E557" s="18" t="s">
        <v>377</v>
      </c>
      <c r="F557" s="18" t="s">
        <v>158</v>
      </c>
      <c r="G557" s="30"/>
      <c r="H557" s="24"/>
      <c r="I557" s="30"/>
      <c r="J557" s="257">
        <v>292.80685</v>
      </c>
      <c r="K557" s="257">
        <v>292.80685</v>
      </c>
      <c r="L557" s="257">
        <f t="shared" si="65"/>
        <v>100</v>
      </c>
      <c r="M557" s="26"/>
      <c r="N557" s="27"/>
      <c r="O557" s="139"/>
    </row>
    <row r="558" spans="1:14" ht="24.75">
      <c r="A558" s="214" t="s">
        <v>378</v>
      </c>
      <c r="B558" s="18" t="s">
        <v>234</v>
      </c>
      <c r="C558" s="18" t="s">
        <v>35</v>
      </c>
      <c r="D558" s="18" t="s">
        <v>7</v>
      </c>
      <c r="E558" s="18" t="s">
        <v>379</v>
      </c>
      <c r="F558" s="18"/>
      <c r="G558" s="30">
        <f aca="true" t="shared" si="67" ref="G558:M558">G559+G567</f>
        <v>70</v>
      </c>
      <c r="H558" s="30">
        <f t="shared" si="67"/>
        <v>1309.4</v>
      </c>
      <c r="I558" s="30">
        <f t="shared" si="67"/>
        <v>0</v>
      </c>
      <c r="J558" s="257">
        <f t="shared" si="67"/>
        <v>5421.2189</v>
      </c>
      <c r="K558" s="257">
        <f t="shared" si="67"/>
        <v>5397.74555</v>
      </c>
      <c r="L558" s="257">
        <f t="shared" si="65"/>
        <v>99.5670097365004</v>
      </c>
      <c r="M558" s="26">
        <f t="shared" si="67"/>
        <v>90</v>
      </c>
      <c r="N558" s="27" t="e">
        <f>N559+N567</f>
        <v>#DIV/0!</v>
      </c>
    </row>
    <row r="559" spans="1:14" ht="24.75">
      <c r="A559" s="214" t="s">
        <v>106</v>
      </c>
      <c r="B559" s="18" t="s">
        <v>234</v>
      </c>
      <c r="C559" s="18" t="s">
        <v>35</v>
      </c>
      <c r="D559" s="18" t="s">
        <v>7</v>
      </c>
      <c r="E559" s="18" t="s">
        <v>380</v>
      </c>
      <c r="F559" s="18"/>
      <c r="G559" s="30">
        <f>G560</f>
        <v>70</v>
      </c>
      <c r="H559" s="30">
        <f>H560</f>
        <v>1274.4</v>
      </c>
      <c r="I559" s="30">
        <f>I560</f>
        <v>0</v>
      </c>
      <c r="J559" s="257">
        <f>J560+J562+J564+J561+J563+J565+J566</f>
        <v>5383.2189</v>
      </c>
      <c r="K559" s="257">
        <f>K560+K562+K564+K561+K563+K565+K566</f>
        <v>5359.74555</v>
      </c>
      <c r="L559" s="257">
        <f t="shared" si="65"/>
        <v>99.5639532696692</v>
      </c>
      <c r="M559" s="26">
        <f>M560+M562+M564+M561+M563</f>
        <v>90</v>
      </c>
      <c r="N559" s="26" t="e">
        <f>N560+N562+N564+N561+N563</f>
        <v>#DIV/0!</v>
      </c>
    </row>
    <row r="560" spans="1:15" ht="15" hidden="1">
      <c r="A560" s="214" t="s">
        <v>104</v>
      </c>
      <c r="B560" s="18" t="s">
        <v>234</v>
      </c>
      <c r="C560" s="18" t="s">
        <v>35</v>
      </c>
      <c r="D560" s="18" t="s">
        <v>7</v>
      </c>
      <c r="E560" s="18" t="s">
        <v>380</v>
      </c>
      <c r="F560" s="18" t="s">
        <v>105</v>
      </c>
      <c r="G560" s="30">
        <f>10+60</f>
        <v>70</v>
      </c>
      <c r="H560" s="24">
        <v>1274.4</v>
      </c>
      <c r="I560" s="30"/>
      <c r="J560" s="257"/>
      <c r="K560" s="257"/>
      <c r="L560" s="257" t="e">
        <f t="shared" si="65"/>
        <v>#DIV/0!</v>
      </c>
      <c r="M560" s="26">
        <v>90</v>
      </c>
      <c r="N560" s="27" t="e">
        <f>L560+M560</f>
        <v>#DIV/0!</v>
      </c>
      <c r="O560" s="98"/>
    </row>
    <row r="561" spans="1:15" ht="15">
      <c r="A561" s="215" t="s">
        <v>373</v>
      </c>
      <c r="B561" s="18" t="s">
        <v>234</v>
      </c>
      <c r="C561" s="18" t="s">
        <v>35</v>
      </c>
      <c r="D561" s="18" t="s">
        <v>7</v>
      </c>
      <c r="E561" s="18" t="s">
        <v>380</v>
      </c>
      <c r="F561" s="18" t="s">
        <v>163</v>
      </c>
      <c r="G561" s="30"/>
      <c r="H561" s="24"/>
      <c r="I561" s="30"/>
      <c r="J561" s="257">
        <v>2395.364</v>
      </c>
      <c r="K561" s="257">
        <v>2395.364</v>
      </c>
      <c r="L561" s="257">
        <f t="shared" si="65"/>
        <v>100</v>
      </c>
      <c r="M561" s="26"/>
      <c r="N561" s="27"/>
      <c r="O561" s="98"/>
    </row>
    <row r="562" spans="1:15" ht="24">
      <c r="A562" s="215" t="s">
        <v>241</v>
      </c>
      <c r="B562" s="18" t="s">
        <v>234</v>
      </c>
      <c r="C562" s="18" t="s">
        <v>35</v>
      </c>
      <c r="D562" s="18" t="s">
        <v>7</v>
      </c>
      <c r="E562" s="18" t="s">
        <v>380</v>
      </c>
      <c r="F562" s="18" t="s">
        <v>166</v>
      </c>
      <c r="G562" s="30"/>
      <c r="H562" s="24"/>
      <c r="I562" s="30"/>
      <c r="J562" s="257">
        <v>151</v>
      </c>
      <c r="K562" s="257">
        <v>151</v>
      </c>
      <c r="L562" s="257">
        <f t="shared" si="65"/>
        <v>100</v>
      </c>
      <c r="M562" s="26"/>
      <c r="N562" s="27"/>
      <c r="O562" s="98"/>
    </row>
    <row r="563" spans="1:15" ht="39" customHeight="1" hidden="1">
      <c r="A563" s="215" t="s">
        <v>169</v>
      </c>
      <c r="B563" s="18" t="s">
        <v>234</v>
      </c>
      <c r="C563" s="18" t="s">
        <v>35</v>
      </c>
      <c r="D563" s="18" t="s">
        <v>7</v>
      </c>
      <c r="E563" s="18" t="s">
        <v>380</v>
      </c>
      <c r="F563" s="18" t="s">
        <v>170</v>
      </c>
      <c r="G563" s="30"/>
      <c r="H563" s="24"/>
      <c r="I563" s="30"/>
      <c r="J563" s="257"/>
      <c r="K563" s="257"/>
      <c r="L563" s="257" t="e">
        <f t="shared" si="65"/>
        <v>#DIV/0!</v>
      </c>
      <c r="M563" s="26"/>
      <c r="N563" s="27"/>
      <c r="O563" s="98"/>
    </row>
    <row r="564" spans="1:15" ht="24">
      <c r="A564" s="215" t="s">
        <v>242</v>
      </c>
      <c r="B564" s="18" t="s">
        <v>234</v>
      </c>
      <c r="C564" s="18" t="s">
        <v>35</v>
      </c>
      <c r="D564" s="18" t="s">
        <v>7</v>
      </c>
      <c r="E564" s="18" t="s">
        <v>380</v>
      </c>
      <c r="F564" s="18" t="s">
        <v>158</v>
      </c>
      <c r="G564" s="30"/>
      <c r="H564" s="24"/>
      <c r="I564" s="30"/>
      <c r="J564" s="257">
        <v>2781.8549</v>
      </c>
      <c r="K564" s="257">
        <v>2758.38155</v>
      </c>
      <c r="L564" s="257">
        <f t="shared" si="65"/>
        <v>99.15619790234209</v>
      </c>
      <c r="M564" s="26"/>
      <c r="N564" s="27"/>
      <c r="O564" s="98"/>
    </row>
    <row r="565" spans="1:15" ht="24.75" customHeight="1">
      <c r="A565" s="215" t="s">
        <v>288</v>
      </c>
      <c r="B565" s="18" t="s">
        <v>234</v>
      </c>
      <c r="C565" s="18" t="s">
        <v>35</v>
      </c>
      <c r="D565" s="18" t="s">
        <v>7</v>
      </c>
      <c r="E565" s="18" t="s">
        <v>380</v>
      </c>
      <c r="F565" s="18" t="s">
        <v>172</v>
      </c>
      <c r="G565" s="30"/>
      <c r="H565" s="24"/>
      <c r="I565" s="30"/>
      <c r="J565" s="257">
        <v>22</v>
      </c>
      <c r="K565" s="257">
        <v>22</v>
      </c>
      <c r="L565" s="257">
        <f t="shared" si="65"/>
        <v>100</v>
      </c>
      <c r="M565" s="26"/>
      <c r="N565" s="27"/>
      <c r="O565" s="98"/>
    </row>
    <row r="566" spans="1:15" ht="15">
      <c r="A566" s="223" t="s">
        <v>173</v>
      </c>
      <c r="B566" s="18" t="s">
        <v>234</v>
      </c>
      <c r="C566" s="18" t="s">
        <v>35</v>
      </c>
      <c r="D566" s="18" t="s">
        <v>7</v>
      </c>
      <c r="E566" s="18" t="s">
        <v>380</v>
      </c>
      <c r="F566" s="18" t="s">
        <v>174</v>
      </c>
      <c r="G566" s="30"/>
      <c r="H566" s="24"/>
      <c r="I566" s="30"/>
      <c r="J566" s="257">
        <v>33</v>
      </c>
      <c r="K566" s="257">
        <v>33</v>
      </c>
      <c r="L566" s="257">
        <f t="shared" si="65"/>
        <v>100</v>
      </c>
      <c r="M566" s="26"/>
      <c r="N566" s="27"/>
      <c r="O566" s="98"/>
    </row>
    <row r="567" spans="1:14" ht="24.75">
      <c r="A567" s="214" t="s">
        <v>106</v>
      </c>
      <c r="B567" s="18" t="s">
        <v>234</v>
      </c>
      <c r="C567" s="18" t="s">
        <v>35</v>
      </c>
      <c r="D567" s="18" t="s">
        <v>7</v>
      </c>
      <c r="E567" s="18" t="s">
        <v>381</v>
      </c>
      <c r="F567" s="18"/>
      <c r="G567" s="30">
        <f aca="true" t="shared" si="68" ref="G567:N567">G568</f>
        <v>0</v>
      </c>
      <c r="H567" s="24">
        <f t="shared" si="68"/>
        <v>35</v>
      </c>
      <c r="I567" s="30">
        <f t="shared" si="68"/>
        <v>0</v>
      </c>
      <c r="J567" s="257">
        <f>J568+J569</f>
        <v>38</v>
      </c>
      <c r="K567" s="257">
        <f>K568+K569</f>
        <v>38</v>
      </c>
      <c r="L567" s="257">
        <f t="shared" si="65"/>
        <v>100</v>
      </c>
      <c r="M567" s="26">
        <f t="shared" si="68"/>
        <v>0</v>
      </c>
      <c r="N567" s="27" t="e">
        <f t="shared" si="68"/>
        <v>#DIV/0!</v>
      </c>
    </row>
    <row r="568" spans="1:14" ht="15" hidden="1">
      <c r="A568" s="214" t="s">
        <v>104</v>
      </c>
      <c r="B568" s="18" t="s">
        <v>234</v>
      </c>
      <c r="C568" s="18" t="s">
        <v>35</v>
      </c>
      <c r="D568" s="18" t="s">
        <v>7</v>
      </c>
      <c r="E568" s="18" t="s">
        <v>381</v>
      </c>
      <c r="F568" s="18" t="s">
        <v>105</v>
      </c>
      <c r="G568" s="30"/>
      <c r="H568" s="24">
        <v>35</v>
      </c>
      <c r="I568" s="30"/>
      <c r="J568" s="257"/>
      <c r="K568" s="257"/>
      <c r="L568" s="257" t="e">
        <f t="shared" si="65"/>
        <v>#DIV/0!</v>
      </c>
      <c r="M568" s="26"/>
      <c r="N568" s="27" t="e">
        <f>L568+M568</f>
        <v>#DIV/0!</v>
      </c>
    </row>
    <row r="569" spans="1:14" ht="24">
      <c r="A569" s="215" t="s">
        <v>242</v>
      </c>
      <c r="B569" s="18" t="s">
        <v>234</v>
      </c>
      <c r="C569" s="18" t="s">
        <v>35</v>
      </c>
      <c r="D569" s="18" t="s">
        <v>7</v>
      </c>
      <c r="E569" s="18" t="s">
        <v>381</v>
      </c>
      <c r="F569" s="18" t="s">
        <v>158</v>
      </c>
      <c r="G569" s="30"/>
      <c r="H569" s="24"/>
      <c r="I569" s="30"/>
      <c r="J569" s="257">
        <v>38</v>
      </c>
      <c r="K569" s="257">
        <v>38</v>
      </c>
      <c r="L569" s="257">
        <f t="shared" si="65"/>
        <v>100</v>
      </c>
      <c r="M569" s="26"/>
      <c r="N569" s="27"/>
    </row>
    <row r="570" spans="1:14" ht="24.75" hidden="1">
      <c r="A570" s="214" t="s">
        <v>382</v>
      </c>
      <c r="B570" s="18" t="s">
        <v>234</v>
      </c>
      <c r="C570" s="18" t="s">
        <v>35</v>
      </c>
      <c r="D570" s="18" t="s">
        <v>7</v>
      </c>
      <c r="E570" s="18" t="s">
        <v>383</v>
      </c>
      <c r="F570" s="18"/>
      <c r="G570" s="30"/>
      <c r="H570" s="24"/>
      <c r="I570" s="30"/>
      <c r="J570" s="257">
        <f>J571</f>
        <v>0</v>
      </c>
      <c r="K570" s="257">
        <f>K571</f>
        <v>0</v>
      </c>
      <c r="L570" s="257" t="e">
        <f t="shared" si="65"/>
        <v>#DIV/0!</v>
      </c>
      <c r="M570" s="26"/>
      <c r="N570" s="27"/>
    </row>
    <row r="571" spans="1:14" ht="15" hidden="1">
      <c r="A571" s="214" t="s">
        <v>104</v>
      </c>
      <c r="B571" s="18" t="s">
        <v>234</v>
      </c>
      <c r="C571" s="18" t="s">
        <v>35</v>
      </c>
      <c r="D571" s="18" t="s">
        <v>7</v>
      </c>
      <c r="E571" s="18" t="s">
        <v>383</v>
      </c>
      <c r="F571" s="18" t="s">
        <v>105</v>
      </c>
      <c r="G571" s="30"/>
      <c r="H571" s="24"/>
      <c r="I571" s="30"/>
      <c r="J571" s="257"/>
      <c r="K571" s="257"/>
      <c r="L571" s="257" t="e">
        <f t="shared" si="65"/>
        <v>#DIV/0!</v>
      </c>
      <c r="M571" s="26"/>
      <c r="N571" s="27"/>
    </row>
    <row r="572" spans="1:14" ht="15" hidden="1">
      <c r="A572" s="214" t="s">
        <v>455</v>
      </c>
      <c r="B572" s="18" t="s">
        <v>234</v>
      </c>
      <c r="C572" s="18" t="s">
        <v>35</v>
      </c>
      <c r="D572" s="18" t="s">
        <v>7</v>
      </c>
      <c r="E572" s="18" t="s">
        <v>456</v>
      </c>
      <c r="F572" s="18"/>
      <c r="G572" s="25">
        <f>G573</f>
        <v>0</v>
      </c>
      <c r="H572" s="25">
        <f>H573</f>
        <v>0</v>
      </c>
      <c r="I572" s="25">
        <f>I573</f>
        <v>0</v>
      </c>
      <c r="J572" s="257">
        <f>J573</f>
        <v>0</v>
      </c>
      <c r="K572" s="257">
        <f>K573</f>
        <v>0</v>
      </c>
      <c r="L572" s="257" t="e">
        <f t="shared" si="65"/>
        <v>#DIV/0!</v>
      </c>
      <c r="M572" s="26"/>
      <c r="N572" s="27"/>
    </row>
    <row r="573" spans="1:14" ht="24" hidden="1">
      <c r="A573" s="215" t="s">
        <v>242</v>
      </c>
      <c r="B573" s="18" t="s">
        <v>234</v>
      </c>
      <c r="C573" s="18" t="s">
        <v>35</v>
      </c>
      <c r="D573" s="18" t="s">
        <v>7</v>
      </c>
      <c r="E573" s="18" t="s">
        <v>456</v>
      </c>
      <c r="F573" s="18" t="s">
        <v>158</v>
      </c>
      <c r="G573" s="30"/>
      <c r="H573" s="24"/>
      <c r="I573" s="30"/>
      <c r="J573" s="257">
        <v>0</v>
      </c>
      <c r="K573" s="257"/>
      <c r="L573" s="257" t="e">
        <f t="shared" si="65"/>
        <v>#DIV/0!</v>
      </c>
      <c r="M573" s="26"/>
      <c r="N573" s="27"/>
    </row>
    <row r="574" spans="1:14" ht="24.75">
      <c r="A574" s="217" t="s">
        <v>384</v>
      </c>
      <c r="B574" s="23" t="s">
        <v>234</v>
      </c>
      <c r="C574" s="23" t="s">
        <v>35</v>
      </c>
      <c r="D574" s="23" t="s">
        <v>10</v>
      </c>
      <c r="E574" s="23"/>
      <c r="F574" s="23"/>
      <c r="G574" s="17">
        <f aca="true" t="shared" si="69" ref="G574:K576">G575</f>
        <v>0</v>
      </c>
      <c r="H574" s="17">
        <f t="shared" si="69"/>
        <v>1780.9</v>
      </c>
      <c r="I574" s="17">
        <f t="shared" si="69"/>
        <v>0</v>
      </c>
      <c r="J574" s="256">
        <f t="shared" si="69"/>
        <v>2809.849</v>
      </c>
      <c r="K574" s="256">
        <f t="shared" si="69"/>
        <v>2809.849</v>
      </c>
      <c r="L574" s="256">
        <f t="shared" si="65"/>
        <v>100</v>
      </c>
      <c r="M574" s="26"/>
      <c r="N574" s="27"/>
    </row>
    <row r="575" spans="1:14" ht="24.75">
      <c r="A575" s="214" t="s">
        <v>365</v>
      </c>
      <c r="B575" s="18" t="s">
        <v>234</v>
      </c>
      <c r="C575" s="18" t="s">
        <v>35</v>
      </c>
      <c r="D575" s="18" t="s">
        <v>10</v>
      </c>
      <c r="E575" s="18" t="s">
        <v>112</v>
      </c>
      <c r="F575" s="18"/>
      <c r="G575" s="30">
        <f t="shared" si="69"/>
        <v>0</v>
      </c>
      <c r="H575" s="30">
        <f t="shared" si="69"/>
        <v>1780.9</v>
      </c>
      <c r="I575" s="30">
        <f t="shared" si="69"/>
        <v>0</v>
      </c>
      <c r="J575" s="257">
        <f t="shared" si="69"/>
        <v>2809.849</v>
      </c>
      <c r="K575" s="257">
        <f t="shared" si="69"/>
        <v>2809.849</v>
      </c>
      <c r="L575" s="257">
        <f t="shared" si="65"/>
        <v>100</v>
      </c>
      <c r="M575" s="26"/>
      <c r="N575" s="27"/>
    </row>
    <row r="576" spans="1:14" ht="24.75">
      <c r="A576" s="214" t="s">
        <v>106</v>
      </c>
      <c r="B576" s="18" t="s">
        <v>234</v>
      </c>
      <c r="C576" s="18" t="s">
        <v>35</v>
      </c>
      <c r="D576" s="18" t="s">
        <v>10</v>
      </c>
      <c r="E576" s="18" t="s">
        <v>113</v>
      </c>
      <c r="F576" s="18"/>
      <c r="G576" s="30">
        <f t="shared" si="69"/>
        <v>0</v>
      </c>
      <c r="H576" s="30">
        <f t="shared" si="69"/>
        <v>1780.9</v>
      </c>
      <c r="I576" s="30">
        <f t="shared" si="69"/>
        <v>0</v>
      </c>
      <c r="J576" s="257">
        <f>J577+J578+J579+J581+J580</f>
        <v>2809.849</v>
      </c>
      <c r="K576" s="257">
        <f>K577+K578+K579+K581+K580</f>
        <v>2809.849</v>
      </c>
      <c r="L576" s="257">
        <f t="shared" si="65"/>
        <v>100</v>
      </c>
      <c r="M576" s="26"/>
      <c r="N576" s="27"/>
    </row>
    <row r="577" spans="1:14" ht="15" hidden="1">
      <c r="A577" s="214" t="s">
        <v>104</v>
      </c>
      <c r="B577" s="18" t="s">
        <v>234</v>
      </c>
      <c r="C577" s="18" t="s">
        <v>35</v>
      </c>
      <c r="D577" s="18" t="s">
        <v>10</v>
      </c>
      <c r="E577" s="18" t="s">
        <v>113</v>
      </c>
      <c r="F577" s="18" t="s">
        <v>105</v>
      </c>
      <c r="G577" s="30"/>
      <c r="H577" s="24">
        <v>1780.9</v>
      </c>
      <c r="I577" s="30"/>
      <c r="J577" s="257"/>
      <c r="K577" s="257"/>
      <c r="L577" s="257" t="e">
        <f t="shared" si="65"/>
        <v>#DIV/0!</v>
      </c>
      <c r="M577" s="26"/>
      <c r="N577" s="27"/>
    </row>
    <row r="578" spans="1:14" ht="15.75" thickBot="1">
      <c r="A578" s="215" t="s">
        <v>373</v>
      </c>
      <c r="B578" s="18" t="s">
        <v>234</v>
      </c>
      <c r="C578" s="18" t="s">
        <v>35</v>
      </c>
      <c r="D578" s="18" t="s">
        <v>10</v>
      </c>
      <c r="E578" s="18" t="s">
        <v>113</v>
      </c>
      <c r="F578" s="18" t="s">
        <v>163</v>
      </c>
      <c r="G578" s="30"/>
      <c r="H578" s="24"/>
      <c r="I578" s="30"/>
      <c r="J578" s="257">
        <v>2050.898</v>
      </c>
      <c r="K578" s="257">
        <v>2050.898</v>
      </c>
      <c r="L578" s="257">
        <f t="shared" si="65"/>
        <v>100</v>
      </c>
      <c r="M578" s="92"/>
      <c r="N578" s="85"/>
    </row>
    <row r="579" spans="1:14" ht="24.75" hidden="1" thickBot="1">
      <c r="A579" s="215" t="s">
        <v>241</v>
      </c>
      <c r="B579" s="18" t="s">
        <v>234</v>
      </c>
      <c r="C579" s="18" t="s">
        <v>35</v>
      </c>
      <c r="D579" s="18" t="s">
        <v>10</v>
      </c>
      <c r="E579" s="18" t="s">
        <v>113</v>
      </c>
      <c r="F579" s="18" t="s">
        <v>166</v>
      </c>
      <c r="G579" s="30"/>
      <c r="H579" s="24"/>
      <c r="I579" s="30"/>
      <c r="J579" s="257"/>
      <c r="K579" s="257"/>
      <c r="L579" s="257" t="e">
        <f t="shared" si="65"/>
        <v>#DIV/0!</v>
      </c>
      <c r="M579" s="92"/>
      <c r="N579" s="85"/>
    </row>
    <row r="580" spans="1:14" ht="39.75" customHeight="1" thickBot="1">
      <c r="A580" s="215" t="s">
        <v>169</v>
      </c>
      <c r="B580" s="18" t="s">
        <v>234</v>
      </c>
      <c r="C580" s="18" t="s">
        <v>35</v>
      </c>
      <c r="D580" s="18" t="s">
        <v>10</v>
      </c>
      <c r="E580" s="18" t="s">
        <v>113</v>
      </c>
      <c r="F580" s="18" t="s">
        <v>170</v>
      </c>
      <c r="G580" s="30"/>
      <c r="H580" s="24"/>
      <c r="I580" s="30"/>
      <c r="J580" s="257">
        <v>15.55</v>
      </c>
      <c r="K580" s="257">
        <v>15.55</v>
      </c>
      <c r="L580" s="257">
        <f t="shared" si="65"/>
        <v>100</v>
      </c>
      <c r="M580" s="92"/>
      <c r="N580" s="85"/>
    </row>
    <row r="581" spans="1:14" ht="24.75" thickBot="1">
      <c r="A581" s="215" t="s">
        <v>242</v>
      </c>
      <c r="B581" s="18" t="s">
        <v>234</v>
      </c>
      <c r="C581" s="18" t="s">
        <v>35</v>
      </c>
      <c r="D581" s="18" t="s">
        <v>10</v>
      </c>
      <c r="E581" s="18" t="s">
        <v>113</v>
      </c>
      <c r="F581" s="18" t="s">
        <v>158</v>
      </c>
      <c r="G581" s="30"/>
      <c r="H581" s="24"/>
      <c r="I581" s="30"/>
      <c r="J581" s="257">
        <v>743.401</v>
      </c>
      <c r="K581" s="257">
        <v>743.401</v>
      </c>
      <c r="L581" s="257">
        <f t="shared" si="65"/>
        <v>100</v>
      </c>
      <c r="M581" s="92"/>
      <c r="N581" s="85"/>
    </row>
    <row r="582" spans="1:14" s="121" customFormat="1" ht="14.25">
      <c r="A582" s="226" t="s">
        <v>63</v>
      </c>
      <c r="B582" s="23" t="s">
        <v>234</v>
      </c>
      <c r="C582" s="23" t="s">
        <v>62</v>
      </c>
      <c r="D582" s="23" t="s">
        <v>219</v>
      </c>
      <c r="E582" s="23"/>
      <c r="F582" s="23"/>
      <c r="G582" s="17"/>
      <c r="H582" s="20"/>
      <c r="I582" s="17"/>
      <c r="J582" s="256">
        <f>J583</f>
        <v>321</v>
      </c>
      <c r="K582" s="256">
        <f>K583</f>
        <v>321</v>
      </c>
      <c r="L582" s="256">
        <f t="shared" si="65"/>
        <v>100</v>
      </c>
      <c r="M582" s="124"/>
      <c r="N582" s="149"/>
    </row>
    <row r="583" spans="1:14" s="121" customFormat="1" ht="14.25">
      <c r="A583" s="216" t="s">
        <v>69</v>
      </c>
      <c r="B583" s="23" t="s">
        <v>234</v>
      </c>
      <c r="C583" s="23" t="s">
        <v>62</v>
      </c>
      <c r="D583" s="23" t="s">
        <v>13</v>
      </c>
      <c r="E583" s="23"/>
      <c r="F583" s="23"/>
      <c r="G583" s="17"/>
      <c r="H583" s="20"/>
      <c r="I583" s="17"/>
      <c r="J583" s="256">
        <f>J584</f>
        <v>321</v>
      </c>
      <c r="K583" s="256">
        <f>K584</f>
        <v>321</v>
      </c>
      <c r="L583" s="256">
        <f t="shared" si="65"/>
        <v>100</v>
      </c>
      <c r="M583" s="124"/>
      <c r="N583" s="149"/>
    </row>
    <row r="584" spans="1:14" ht="15">
      <c r="A584" s="214" t="s">
        <v>340</v>
      </c>
      <c r="B584" s="18" t="s">
        <v>234</v>
      </c>
      <c r="C584" s="18" t="s">
        <v>62</v>
      </c>
      <c r="D584" s="18" t="s">
        <v>13</v>
      </c>
      <c r="E584" s="18" t="s">
        <v>269</v>
      </c>
      <c r="F584" s="18"/>
      <c r="G584" s="30">
        <f aca="true" t="shared" si="70" ref="G584:M584">G585+G587</f>
        <v>75</v>
      </c>
      <c r="H584" s="30">
        <f t="shared" si="70"/>
        <v>62.88</v>
      </c>
      <c r="I584" s="30">
        <f t="shared" si="70"/>
        <v>0</v>
      </c>
      <c r="J584" s="257">
        <f t="shared" si="70"/>
        <v>321</v>
      </c>
      <c r="K584" s="257">
        <f t="shared" si="70"/>
        <v>321</v>
      </c>
      <c r="L584" s="257">
        <f t="shared" si="65"/>
        <v>100</v>
      </c>
      <c r="M584" s="26">
        <f t="shared" si="70"/>
        <v>40</v>
      </c>
      <c r="N584" s="27" t="e">
        <f>N585+N587</f>
        <v>#DIV/0!</v>
      </c>
    </row>
    <row r="585" spans="1:14" ht="24.75">
      <c r="A585" s="219" t="s">
        <v>270</v>
      </c>
      <c r="B585" s="18" t="s">
        <v>234</v>
      </c>
      <c r="C585" s="18" t="s">
        <v>62</v>
      </c>
      <c r="D585" s="18" t="s">
        <v>13</v>
      </c>
      <c r="E585" s="18" t="s">
        <v>271</v>
      </c>
      <c r="F585" s="18"/>
      <c r="G585" s="30">
        <f aca="true" t="shared" si="71" ref="G585:N585">G586</f>
        <v>35</v>
      </c>
      <c r="H585" s="30">
        <f t="shared" si="71"/>
        <v>62.88</v>
      </c>
      <c r="I585" s="30">
        <f t="shared" si="71"/>
        <v>0</v>
      </c>
      <c r="J585" s="257">
        <f t="shared" si="71"/>
        <v>321</v>
      </c>
      <c r="K585" s="257">
        <f t="shared" si="71"/>
        <v>321</v>
      </c>
      <c r="L585" s="257">
        <f t="shared" si="65"/>
        <v>100</v>
      </c>
      <c r="M585" s="26">
        <f t="shared" si="71"/>
        <v>40</v>
      </c>
      <c r="N585" s="27">
        <f t="shared" si="71"/>
        <v>140</v>
      </c>
    </row>
    <row r="586" spans="1:14" ht="36">
      <c r="A586" s="215" t="s">
        <v>156</v>
      </c>
      <c r="B586" s="18" t="s">
        <v>234</v>
      </c>
      <c r="C586" s="18" t="s">
        <v>62</v>
      </c>
      <c r="D586" s="18" t="s">
        <v>13</v>
      </c>
      <c r="E586" s="18" t="s">
        <v>271</v>
      </c>
      <c r="F586" s="18" t="s">
        <v>158</v>
      </c>
      <c r="G586" s="30">
        <f>15.4+19.6</f>
        <v>35</v>
      </c>
      <c r="H586" s="24">
        <v>62.88</v>
      </c>
      <c r="I586" s="30"/>
      <c r="J586" s="257">
        <v>321</v>
      </c>
      <c r="K586" s="257">
        <v>321</v>
      </c>
      <c r="L586" s="257">
        <f t="shared" si="65"/>
        <v>100</v>
      </c>
      <c r="M586" s="26">
        <f>40</f>
        <v>40</v>
      </c>
      <c r="N586" s="27">
        <f>L586+M586</f>
        <v>140</v>
      </c>
    </row>
    <row r="587" spans="1:14" ht="30" customHeight="1" hidden="1">
      <c r="A587" s="214" t="s">
        <v>272</v>
      </c>
      <c r="B587" s="18" t="s">
        <v>234</v>
      </c>
      <c r="C587" s="18" t="s">
        <v>62</v>
      </c>
      <c r="D587" s="18" t="s">
        <v>13</v>
      </c>
      <c r="E587" s="18" t="s">
        <v>273</v>
      </c>
      <c r="F587" s="18"/>
      <c r="G587" s="30">
        <f aca="true" t="shared" si="72" ref="G587:N587">G588</f>
        <v>40</v>
      </c>
      <c r="H587" s="24">
        <f t="shared" si="72"/>
        <v>0</v>
      </c>
      <c r="I587" s="30">
        <f t="shared" si="72"/>
        <v>0</v>
      </c>
      <c r="J587" s="257">
        <f t="shared" si="72"/>
        <v>0</v>
      </c>
      <c r="K587" s="257">
        <f t="shared" si="72"/>
        <v>0</v>
      </c>
      <c r="L587" s="257" t="e">
        <f t="shared" si="65"/>
        <v>#DIV/0!</v>
      </c>
      <c r="M587" s="26">
        <f t="shared" si="72"/>
        <v>0</v>
      </c>
      <c r="N587" s="27" t="e">
        <f t="shared" si="72"/>
        <v>#DIV/0!</v>
      </c>
    </row>
    <row r="588" spans="1:14" ht="36" hidden="1">
      <c r="A588" s="215" t="s">
        <v>156</v>
      </c>
      <c r="B588" s="18" t="s">
        <v>279</v>
      </c>
      <c r="C588" s="18" t="s">
        <v>62</v>
      </c>
      <c r="D588" s="18" t="s">
        <v>13</v>
      </c>
      <c r="E588" s="18" t="s">
        <v>273</v>
      </c>
      <c r="F588" s="18" t="s">
        <v>158</v>
      </c>
      <c r="G588" s="30">
        <v>40</v>
      </c>
      <c r="H588" s="24"/>
      <c r="I588" s="30"/>
      <c r="J588" s="257"/>
      <c r="K588" s="257"/>
      <c r="L588" s="257" t="e">
        <f t="shared" si="65"/>
        <v>#DIV/0!</v>
      </c>
      <c r="M588" s="26"/>
      <c r="N588" s="27" t="e">
        <f>L588+M588</f>
        <v>#DIV/0!</v>
      </c>
    </row>
    <row r="589" spans="1:14" ht="15.75" thickBot="1">
      <c r="A589" s="218" t="s">
        <v>59</v>
      </c>
      <c r="B589" s="23" t="s">
        <v>234</v>
      </c>
      <c r="C589" s="23" t="s">
        <v>17</v>
      </c>
      <c r="D589" s="18"/>
      <c r="E589" s="18"/>
      <c r="F589" s="18"/>
      <c r="G589" s="30"/>
      <c r="H589" s="24">
        <f>H590</f>
        <v>0</v>
      </c>
      <c r="I589" s="24">
        <f>I590</f>
        <v>0</v>
      </c>
      <c r="J589" s="256">
        <f>J590</f>
        <v>1476.6000000000001</v>
      </c>
      <c r="K589" s="256">
        <f>K590</f>
        <v>1476.6000000000001</v>
      </c>
      <c r="L589" s="256">
        <f t="shared" si="65"/>
        <v>100</v>
      </c>
      <c r="M589" s="92"/>
      <c r="N589" s="85"/>
    </row>
    <row r="590" spans="1:14" ht="15.75" thickBot="1">
      <c r="A590" s="217" t="s">
        <v>387</v>
      </c>
      <c r="B590" s="23" t="s">
        <v>234</v>
      </c>
      <c r="C590" s="23" t="s">
        <v>17</v>
      </c>
      <c r="D590" s="23" t="s">
        <v>7</v>
      </c>
      <c r="E590" s="23"/>
      <c r="F590" s="23"/>
      <c r="G590" s="17">
        <f aca="true" t="shared" si="73" ref="G590:K592">G591</f>
        <v>0</v>
      </c>
      <c r="H590" s="17">
        <f t="shared" si="73"/>
        <v>0</v>
      </c>
      <c r="I590" s="17">
        <f t="shared" si="73"/>
        <v>0</v>
      </c>
      <c r="J590" s="256">
        <f t="shared" si="73"/>
        <v>1476.6000000000001</v>
      </c>
      <c r="K590" s="256">
        <f t="shared" si="73"/>
        <v>1476.6000000000001</v>
      </c>
      <c r="L590" s="256">
        <f t="shared" si="65"/>
        <v>100</v>
      </c>
      <c r="M590" s="92"/>
      <c r="N590" s="85"/>
    </row>
    <row r="591" spans="1:14" ht="25.5" thickBot="1">
      <c r="A591" s="214" t="s">
        <v>366</v>
      </c>
      <c r="B591" s="18" t="s">
        <v>234</v>
      </c>
      <c r="C591" s="18" t="s">
        <v>17</v>
      </c>
      <c r="D591" s="18" t="s">
        <v>7</v>
      </c>
      <c r="E591" s="18" t="s">
        <v>385</v>
      </c>
      <c r="F591" s="18"/>
      <c r="G591" s="30">
        <f t="shared" si="73"/>
        <v>0</v>
      </c>
      <c r="H591" s="30">
        <f t="shared" si="73"/>
        <v>0</v>
      </c>
      <c r="I591" s="30">
        <f t="shared" si="73"/>
        <v>0</v>
      </c>
      <c r="J591" s="257">
        <f t="shared" si="73"/>
        <v>1476.6000000000001</v>
      </c>
      <c r="K591" s="257">
        <f t="shared" si="73"/>
        <v>1476.6000000000001</v>
      </c>
      <c r="L591" s="257">
        <f t="shared" si="65"/>
        <v>100</v>
      </c>
      <c r="M591" s="92"/>
      <c r="N591" s="85"/>
    </row>
    <row r="592" spans="1:14" ht="15">
      <c r="A592" s="214" t="s">
        <v>388</v>
      </c>
      <c r="B592" s="18" t="s">
        <v>234</v>
      </c>
      <c r="C592" s="18" t="s">
        <v>17</v>
      </c>
      <c r="D592" s="18" t="s">
        <v>7</v>
      </c>
      <c r="E592" s="18" t="s">
        <v>386</v>
      </c>
      <c r="F592" s="18"/>
      <c r="G592" s="30">
        <f t="shared" si="73"/>
        <v>0</v>
      </c>
      <c r="H592" s="30">
        <f t="shared" si="73"/>
        <v>0</v>
      </c>
      <c r="I592" s="30">
        <f t="shared" si="73"/>
        <v>0</v>
      </c>
      <c r="J592" s="257">
        <f>J593+J594+J595</f>
        <v>1476.6000000000001</v>
      </c>
      <c r="K592" s="257">
        <f>K593+K594+K595</f>
        <v>1476.6000000000001</v>
      </c>
      <c r="L592" s="257">
        <f t="shared" si="65"/>
        <v>100</v>
      </c>
      <c r="M592" s="26">
        <f>M593+M594+M595</f>
        <v>0</v>
      </c>
      <c r="N592" s="26">
        <f>N593+N594+N595</f>
        <v>0</v>
      </c>
    </row>
    <row r="593" spans="1:14" ht="25.5" hidden="1" thickBot="1">
      <c r="A593" s="214" t="s">
        <v>102</v>
      </c>
      <c r="B593" s="18" t="s">
        <v>234</v>
      </c>
      <c r="C593" s="18" t="s">
        <v>17</v>
      </c>
      <c r="D593" s="18" t="s">
        <v>7</v>
      </c>
      <c r="E593" s="18" t="s">
        <v>386</v>
      </c>
      <c r="F593" s="18" t="s">
        <v>101</v>
      </c>
      <c r="G593" s="30"/>
      <c r="H593" s="24"/>
      <c r="I593" s="30"/>
      <c r="J593" s="257"/>
      <c r="K593" s="257"/>
      <c r="L593" s="257" t="e">
        <f t="shared" si="65"/>
        <v>#DIV/0!</v>
      </c>
      <c r="M593" s="92"/>
      <c r="N593" s="92"/>
    </row>
    <row r="594" spans="1:14" ht="24.75" thickBot="1">
      <c r="A594" s="215" t="s">
        <v>241</v>
      </c>
      <c r="B594" s="18" t="s">
        <v>234</v>
      </c>
      <c r="C594" s="18" t="s">
        <v>17</v>
      </c>
      <c r="D594" s="18" t="s">
        <v>7</v>
      </c>
      <c r="E594" s="18" t="s">
        <v>386</v>
      </c>
      <c r="F594" s="18" t="s">
        <v>166</v>
      </c>
      <c r="G594" s="30"/>
      <c r="H594" s="24"/>
      <c r="I594" s="30"/>
      <c r="J594" s="257">
        <v>148.2</v>
      </c>
      <c r="K594" s="257">
        <v>148.2</v>
      </c>
      <c r="L594" s="257">
        <f t="shared" si="65"/>
        <v>100</v>
      </c>
      <c r="M594" s="92"/>
      <c r="N594" s="92"/>
    </row>
    <row r="595" spans="1:14" ht="24.75" thickBot="1">
      <c r="A595" s="215" t="s">
        <v>242</v>
      </c>
      <c r="B595" s="18" t="s">
        <v>234</v>
      </c>
      <c r="C595" s="18" t="s">
        <v>17</v>
      </c>
      <c r="D595" s="18" t="s">
        <v>7</v>
      </c>
      <c r="E595" s="18" t="s">
        <v>386</v>
      </c>
      <c r="F595" s="18" t="s">
        <v>158</v>
      </c>
      <c r="G595" s="30"/>
      <c r="H595" s="24"/>
      <c r="I595" s="30"/>
      <c r="J595" s="257">
        <v>1328.4</v>
      </c>
      <c r="K595" s="257">
        <v>1328.4</v>
      </c>
      <c r="L595" s="257">
        <f t="shared" si="65"/>
        <v>100</v>
      </c>
      <c r="M595" s="92"/>
      <c r="N595" s="92"/>
    </row>
    <row r="596" spans="1:18" s="151" customFormat="1" ht="13.5" customHeight="1" thickBot="1">
      <c r="A596" s="290" t="s">
        <v>389</v>
      </c>
      <c r="B596" s="157"/>
      <c r="C596" s="157"/>
      <c r="D596" s="157"/>
      <c r="E596" s="157"/>
      <c r="F596" s="157"/>
      <c r="G596" s="291" t="e">
        <f>#REF!+G25+G151+#REF!+G261+G270+G531</f>
        <v>#REF!</v>
      </c>
      <c r="H596" s="104" t="e">
        <f>#REF!+H25+H151+#REF!+H261+H270+H531</f>
        <v>#REF!</v>
      </c>
      <c r="I596" s="291" t="e">
        <f>#REF!+I25+I151+#REF!+I261+I270+I531</f>
        <v>#REF!</v>
      </c>
      <c r="J596" s="279">
        <f>J25+J151+J261+J270+J531</f>
        <v>481908.29155</v>
      </c>
      <c r="K596" s="279">
        <f>K25+K151+K261+K270+K531</f>
        <v>479431.35441</v>
      </c>
      <c r="L596" s="256">
        <f t="shared" si="65"/>
        <v>99.48601483240033</v>
      </c>
      <c r="M596" s="93" t="e">
        <f>#REF!+M25+M151+#REF!+M261+M270+M531</f>
        <v>#REF!</v>
      </c>
      <c r="N596" s="94" t="e">
        <f>#REF!+N25+N151+#REF!+N261+N270+N531</f>
        <v>#REF!</v>
      </c>
      <c r="O596" s="150"/>
      <c r="P596" s="151">
        <v>349447.45</v>
      </c>
      <c r="Q596" s="152"/>
      <c r="R596" s="152"/>
    </row>
    <row r="597" spans="1:18" s="151" customFormat="1" ht="13.5" customHeight="1">
      <c r="A597" s="241"/>
      <c r="B597" s="153"/>
      <c r="C597" s="153"/>
      <c r="D597" s="153"/>
      <c r="E597" s="153"/>
      <c r="F597" s="153"/>
      <c r="G597" s="154"/>
      <c r="H597" s="95"/>
      <c r="I597" s="154"/>
      <c r="J597" s="274"/>
      <c r="K597" s="274">
        <v>479431.35441</v>
      </c>
      <c r="L597" s="258"/>
      <c r="M597" s="95"/>
      <c r="N597" s="95"/>
      <c r="O597" s="150"/>
      <c r="Q597" s="152"/>
      <c r="R597" s="152"/>
    </row>
    <row r="598" spans="1:18" ht="15">
      <c r="A598" s="239"/>
      <c r="B598" s="97"/>
      <c r="C598" s="97"/>
      <c r="D598" s="97"/>
      <c r="E598" s="97"/>
      <c r="F598" s="97"/>
      <c r="G598" s="97"/>
      <c r="H598" s="96"/>
      <c r="I598" s="97"/>
      <c r="J598" s="275"/>
      <c r="K598" s="275">
        <f>K596-K597</f>
        <v>0</v>
      </c>
      <c r="L598" s="253"/>
      <c r="N598" s="98"/>
      <c r="P598" s="136"/>
      <c r="Q598" s="98"/>
      <c r="R598" s="98"/>
    </row>
    <row r="599" spans="1:18" ht="25.5" customHeight="1">
      <c r="A599" s="239"/>
      <c r="B599" s="97"/>
      <c r="C599" s="97"/>
      <c r="D599" s="97"/>
      <c r="E599" s="97"/>
      <c r="F599" s="97"/>
      <c r="G599" s="97"/>
      <c r="H599" s="96"/>
      <c r="I599" s="97"/>
      <c r="J599" s="275"/>
      <c r="K599" s="275"/>
      <c r="L599" s="253"/>
      <c r="N599" s="98"/>
      <c r="P599" s="136"/>
      <c r="Q599" s="98"/>
      <c r="R599" s="98"/>
    </row>
    <row r="600" spans="1:18" ht="15.75" customHeight="1">
      <c r="A600" s="239"/>
      <c r="B600" s="97"/>
      <c r="C600" s="97"/>
      <c r="D600" s="97"/>
      <c r="E600" s="97"/>
      <c r="F600" s="97"/>
      <c r="G600" s="97"/>
      <c r="H600" s="96"/>
      <c r="I600" s="97"/>
      <c r="J600" s="275"/>
      <c r="K600" s="275"/>
      <c r="L600" s="253"/>
      <c r="N600" s="98"/>
      <c r="P600" s="136"/>
      <c r="Q600" s="98"/>
      <c r="R600" s="98"/>
    </row>
    <row r="601" spans="1:16" ht="15">
      <c r="A601" s="242"/>
      <c r="B601" s="97"/>
      <c r="C601" s="97"/>
      <c r="D601" s="97"/>
      <c r="E601" s="97"/>
      <c r="F601" s="97"/>
      <c r="G601" s="97"/>
      <c r="H601" s="96"/>
      <c r="I601" s="97"/>
      <c r="J601" s="275"/>
      <c r="K601" s="275"/>
      <c r="L601" s="253"/>
      <c r="N601" s="98"/>
      <c r="P601" s="136"/>
    </row>
    <row r="602" spans="1:16" ht="15.75" thickBot="1">
      <c r="A602" s="243"/>
      <c r="H602" s="98"/>
      <c r="N602" s="98"/>
      <c r="P602" s="136"/>
    </row>
    <row r="603" spans="1:15" ht="15.75" thickBot="1">
      <c r="A603" s="243"/>
      <c r="E603" s="175">
        <f>SUM(J604:J614)</f>
        <v>26394.7736</v>
      </c>
      <c r="F603" s="115" t="s">
        <v>7</v>
      </c>
      <c r="G603" s="100" t="e">
        <f>#REF!+G152+G271+G532</f>
        <v>#REF!</v>
      </c>
      <c r="H603" s="100" t="e">
        <f>#REF!+H152+H271+H532</f>
        <v>#REF!</v>
      </c>
      <c r="I603" s="99" t="e">
        <f>#REF!+I152+I271+I532</f>
        <v>#REF!</v>
      </c>
      <c r="J603" s="276">
        <f>J604+J605+J606+J607+J608+J609+J610+J611+J612+J613+J614</f>
        <v>26394.7736</v>
      </c>
      <c r="K603" s="276">
        <f>K604+K605+K606+K607+K608+K609+K610+K611+K612+K613+K614</f>
        <v>26358.134540000003</v>
      </c>
      <c r="L603" s="259" t="e">
        <f>L604+L605+L606+L607+L608+L609+L610+L611+L612+L613+L614</f>
        <v>#DIV/0!</v>
      </c>
      <c r="M603" s="99" t="e">
        <f>#REF!+M152+M271+M532</f>
        <v>#REF!</v>
      </c>
      <c r="N603" s="100" t="e">
        <f>#REF!+N152+N271+N532</f>
        <v>#REF!</v>
      </c>
      <c r="O603" s="126" t="e">
        <f>SUM(L604:L614)</f>
        <v>#DIV/0!</v>
      </c>
    </row>
    <row r="604" spans="1:18" ht="15">
      <c r="A604" s="243"/>
      <c r="E604" s="135"/>
      <c r="F604" s="155" t="s">
        <v>390</v>
      </c>
      <c r="G604" s="101" t="e">
        <f aca="true" t="shared" si="74" ref="G604:N604">G272</f>
        <v>#REF!</v>
      </c>
      <c r="H604" s="101" t="e">
        <f t="shared" si="74"/>
        <v>#REF!</v>
      </c>
      <c r="I604" s="101" t="e">
        <f t="shared" si="74"/>
        <v>#REF!</v>
      </c>
      <c r="J604" s="277">
        <f t="shared" si="74"/>
        <v>1170.438</v>
      </c>
      <c r="K604" s="277">
        <f t="shared" si="74"/>
        <v>1170.438</v>
      </c>
      <c r="L604" s="260">
        <f t="shared" si="74"/>
        <v>100</v>
      </c>
      <c r="M604" s="101" t="e">
        <f t="shared" si="74"/>
        <v>#REF!</v>
      </c>
      <c r="N604" s="101" t="e">
        <f t="shared" si="74"/>
        <v>#REF!</v>
      </c>
      <c r="O604" s="16">
        <f>J604+K604</f>
        <v>2340.876</v>
      </c>
      <c r="Q604" s="126"/>
      <c r="R604" s="126"/>
    </row>
    <row r="605" spans="1:15" ht="15">
      <c r="A605" s="243"/>
      <c r="E605" s="135"/>
      <c r="F605" s="156" t="s">
        <v>391</v>
      </c>
      <c r="G605" s="102" t="e">
        <f>G278</f>
        <v>#REF!</v>
      </c>
      <c r="H605" s="102" t="e">
        <f aca="true" t="shared" si="75" ref="H605:N605">H277</f>
        <v>#REF!</v>
      </c>
      <c r="I605" s="102" t="e">
        <f t="shared" si="75"/>
        <v>#REF!</v>
      </c>
      <c r="J605" s="278">
        <f t="shared" si="75"/>
        <v>1546.2469999999998</v>
      </c>
      <c r="K605" s="278">
        <f t="shared" si="75"/>
        <v>1536.4389999999999</v>
      </c>
      <c r="L605" s="253">
        <f t="shared" si="75"/>
        <v>99.36568995768465</v>
      </c>
      <c r="M605" s="102" t="e">
        <f t="shared" si="75"/>
        <v>#REF!</v>
      </c>
      <c r="N605" s="102" t="e">
        <f t="shared" si="75"/>
        <v>#REF!</v>
      </c>
      <c r="O605" s="16">
        <f>J605+K605</f>
        <v>3082.6859999999997</v>
      </c>
    </row>
    <row r="606" spans="5:15" ht="15">
      <c r="E606" s="135"/>
      <c r="F606" s="156" t="s">
        <v>392</v>
      </c>
      <c r="G606" s="102" t="e">
        <f>G287+G533+#REF!+G153</f>
        <v>#REF!</v>
      </c>
      <c r="H606" s="58" t="e">
        <f>H287+H533+#REF!+H153</f>
        <v>#REF!</v>
      </c>
      <c r="I606" s="58" t="e">
        <f>I287+I533+#REF!+I153</f>
        <v>#REF!</v>
      </c>
      <c r="J606" s="278">
        <f>J287+J533+J153</f>
        <v>17486.24343</v>
      </c>
      <c r="K606" s="278">
        <f>K287+K533+K153</f>
        <v>17470.022390000002</v>
      </c>
      <c r="L606" s="253">
        <f>L287+L533+L153</f>
        <v>299.79153609957785</v>
      </c>
      <c r="M606" s="58" t="e">
        <f>M287+M533+#REF!+M153</f>
        <v>#REF!</v>
      </c>
      <c r="N606" s="58" t="e">
        <f>N287+N533+#REF!+N153</f>
        <v>#REF!</v>
      </c>
      <c r="O606" s="16">
        <f aca="true" t="shared" si="76" ref="O606:O669">J606+K606</f>
        <v>34956.26582</v>
      </c>
    </row>
    <row r="607" spans="5:15" ht="15">
      <c r="E607" s="135"/>
      <c r="F607" s="156" t="s">
        <v>393</v>
      </c>
      <c r="G607" s="102" t="e">
        <f>#REF!</f>
        <v>#REF!</v>
      </c>
      <c r="H607" s="103">
        <f aca="true" t="shared" si="77" ref="H607:N607">H308</f>
        <v>0</v>
      </c>
      <c r="I607" s="103">
        <f t="shared" si="77"/>
        <v>0</v>
      </c>
      <c r="J607" s="278">
        <f t="shared" si="77"/>
        <v>11.7</v>
      </c>
      <c r="K607" s="278">
        <f t="shared" si="77"/>
        <v>8.893</v>
      </c>
      <c r="L607" s="253">
        <f t="shared" si="77"/>
        <v>76.00854700854703</v>
      </c>
      <c r="M607" s="103">
        <f t="shared" si="77"/>
        <v>0</v>
      </c>
      <c r="N607" s="103" t="e">
        <f t="shared" si="77"/>
        <v>#DIV/0!</v>
      </c>
      <c r="O607" s="16">
        <f t="shared" si="76"/>
        <v>20.593</v>
      </c>
    </row>
    <row r="608" spans="5:15" ht="15">
      <c r="E608" s="135"/>
      <c r="F608" s="156" t="s">
        <v>394</v>
      </c>
      <c r="G608" s="102" t="e">
        <f>G159</f>
        <v>#REF!</v>
      </c>
      <c r="H608" s="102" t="e">
        <f>H159</f>
        <v>#REF!</v>
      </c>
      <c r="I608" s="102" t="e">
        <f>I159</f>
        <v>#REF!</v>
      </c>
      <c r="J608" s="278">
        <f>J159+J312</f>
        <v>4725.8451700000005</v>
      </c>
      <c r="K608" s="278">
        <f>K159+K312</f>
        <v>4722.05919</v>
      </c>
      <c r="L608" s="253">
        <f>L159+L312</f>
        <v>199.90459299629714</v>
      </c>
      <c r="M608" s="102" t="e">
        <f>M159</f>
        <v>#REF!</v>
      </c>
      <c r="N608" s="58" t="e">
        <f>N159</f>
        <v>#REF!</v>
      </c>
      <c r="O608" s="16">
        <f t="shared" si="76"/>
        <v>9447.90436</v>
      </c>
    </row>
    <row r="609" spans="5:15" ht="15">
      <c r="E609" s="135"/>
      <c r="F609" s="156" t="s">
        <v>395</v>
      </c>
      <c r="G609" s="102">
        <f aca="true" t="shared" si="78" ref="G609:N609">G318</f>
        <v>0</v>
      </c>
      <c r="H609" s="102">
        <f t="shared" si="78"/>
        <v>20</v>
      </c>
      <c r="I609" s="102">
        <f t="shared" si="78"/>
        <v>0</v>
      </c>
      <c r="J609" s="278">
        <f t="shared" si="78"/>
        <v>0</v>
      </c>
      <c r="K609" s="278">
        <f t="shared" si="78"/>
        <v>0</v>
      </c>
      <c r="L609" s="253" t="e">
        <f t="shared" si="78"/>
        <v>#DIV/0!</v>
      </c>
      <c r="M609" s="102">
        <f t="shared" si="78"/>
        <v>0</v>
      </c>
      <c r="N609" s="58" t="e">
        <f t="shared" si="78"/>
        <v>#DIV/0!</v>
      </c>
      <c r="O609" s="16">
        <f t="shared" si="76"/>
        <v>0</v>
      </c>
    </row>
    <row r="610" spans="5:15" ht="15" hidden="1">
      <c r="E610" s="135"/>
      <c r="F610" s="157" t="s">
        <v>396</v>
      </c>
      <c r="G610" s="158" t="e">
        <f>#REF!</f>
        <v>#REF!</v>
      </c>
      <c r="H610" s="158" t="e">
        <f>#REF!</f>
        <v>#REF!</v>
      </c>
      <c r="I610" s="158" t="e">
        <f>#REF!</f>
        <v>#REF!</v>
      </c>
      <c r="J610" s="279"/>
      <c r="K610" s="279"/>
      <c r="L610" s="261"/>
      <c r="M610" s="102" t="e">
        <f>#REF!</f>
        <v>#REF!</v>
      </c>
      <c r="N610" s="58" t="e">
        <f>#REF!</f>
        <v>#REF!</v>
      </c>
      <c r="O610" s="16">
        <f t="shared" si="76"/>
        <v>0</v>
      </c>
    </row>
    <row r="611" spans="5:15" ht="15">
      <c r="E611" s="135"/>
      <c r="F611" s="157" t="s">
        <v>396</v>
      </c>
      <c r="G611" s="158"/>
      <c r="H611" s="158"/>
      <c r="I611" s="158"/>
      <c r="J611" s="279">
        <f>J171</f>
        <v>0</v>
      </c>
      <c r="K611" s="279">
        <f>K171</f>
        <v>0</v>
      </c>
      <c r="L611" s="261" t="e">
        <f>L171</f>
        <v>#DIV/0!</v>
      </c>
      <c r="M611" s="104">
        <f>M171</f>
        <v>0</v>
      </c>
      <c r="N611" s="104">
        <f>N171</f>
        <v>0</v>
      </c>
      <c r="O611" s="16">
        <f t="shared" si="76"/>
        <v>0</v>
      </c>
    </row>
    <row r="612" spans="5:15" ht="15" hidden="1">
      <c r="E612" s="135"/>
      <c r="F612" s="156" t="s">
        <v>397</v>
      </c>
      <c r="G612" s="102" t="e">
        <f>#REF!</f>
        <v>#REF!</v>
      </c>
      <c r="H612" s="102" t="e">
        <f>#REF!</f>
        <v>#REF!</v>
      </c>
      <c r="I612" s="102" t="e">
        <f>#REF!</f>
        <v>#REF!</v>
      </c>
      <c r="J612" s="278"/>
      <c r="K612" s="278"/>
      <c r="L612" s="253"/>
      <c r="M612" s="102" t="e">
        <f>#REF!</f>
        <v>#REF!</v>
      </c>
      <c r="N612" s="58" t="e">
        <f>#REF!</f>
        <v>#REF!</v>
      </c>
      <c r="O612" s="16">
        <f t="shared" si="76"/>
        <v>0</v>
      </c>
    </row>
    <row r="613" spans="5:15" ht="15.75" thickBot="1">
      <c r="E613" s="135"/>
      <c r="F613" s="156" t="s">
        <v>398</v>
      </c>
      <c r="G613" s="102"/>
      <c r="H613" s="102"/>
      <c r="I613" s="102"/>
      <c r="J613" s="278">
        <f>J323+J180+J178</f>
        <v>1454.3</v>
      </c>
      <c r="K613" s="278">
        <f>K323+K180+K178</f>
        <v>1450.28296</v>
      </c>
      <c r="L613" s="253" t="e">
        <f>L323+L180+L178</f>
        <v>#DIV/0!</v>
      </c>
      <c r="M613" s="58">
        <f>M323+M180</f>
        <v>0</v>
      </c>
      <c r="N613" s="58">
        <f>N323+N180</f>
        <v>0</v>
      </c>
      <c r="O613" s="16">
        <f t="shared" si="76"/>
        <v>2904.5829599999997</v>
      </c>
    </row>
    <row r="614" spans="5:15" ht="15.75" hidden="1" thickBot="1">
      <c r="E614" s="135"/>
      <c r="F614" s="159" t="s">
        <v>399</v>
      </c>
      <c r="G614" s="106" t="e">
        <f>G182+#REF!</f>
        <v>#REF!</v>
      </c>
      <c r="H614" s="106" t="e">
        <f>H182+#REF!</f>
        <v>#REF!</v>
      </c>
      <c r="I614" s="106" t="e">
        <f>I182+#REF!</f>
        <v>#REF!</v>
      </c>
      <c r="J614" s="280"/>
      <c r="K614" s="280"/>
      <c r="L614" s="262"/>
      <c r="M614" s="106" t="e">
        <f>M182+#REF!</f>
        <v>#REF!</v>
      </c>
      <c r="N614" s="105" t="e">
        <f>N182+#REF!</f>
        <v>#DIV/0!</v>
      </c>
      <c r="O614" s="16">
        <f t="shared" si="76"/>
        <v>0</v>
      </c>
    </row>
    <row r="615" spans="5:15" ht="15.75" thickBot="1">
      <c r="E615" s="175">
        <f>J616</f>
        <v>562.6</v>
      </c>
      <c r="F615" s="160" t="s">
        <v>8</v>
      </c>
      <c r="G615" s="161"/>
      <c r="H615" s="161"/>
      <c r="I615" s="161"/>
      <c r="J615" s="281">
        <f>J616</f>
        <v>562.6</v>
      </c>
      <c r="K615" s="281">
        <f>K616</f>
        <v>562.6</v>
      </c>
      <c r="L615" s="263">
        <f>L616</f>
        <v>100</v>
      </c>
      <c r="M615" s="108"/>
      <c r="N615" s="109"/>
      <c r="O615" s="16">
        <f t="shared" si="76"/>
        <v>1125.2</v>
      </c>
    </row>
    <row r="616" spans="5:15" ht="15.75" thickBot="1">
      <c r="E616" s="135"/>
      <c r="F616" s="162" t="s">
        <v>400</v>
      </c>
      <c r="G616" s="110"/>
      <c r="H616" s="110"/>
      <c r="I616" s="110"/>
      <c r="J616" s="282">
        <f>J183</f>
        <v>562.6</v>
      </c>
      <c r="K616" s="282">
        <f>K183</f>
        <v>562.6</v>
      </c>
      <c r="L616" s="264">
        <f>L183</f>
        <v>100</v>
      </c>
      <c r="M616" s="110"/>
      <c r="N616" s="109"/>
      <c r="O616" s="16">
        <f t="shared" si="76"/>
        <v>1125.2</v>
      </c>
    </row>
    <row r="617" spans="5:15" ht="15.75" thickBot="1">
      <c r="E617" s="175">
        <f>SUM(J618:J620)</f>
        <v>546.8</v>
      </c>
      <c r="F617" s="115" t="s">
        <v>9</v>
      </c>
      <c r="G617" s="112">
        <f>G341+G262</f>
        <v>0</v>
      </c>
      <c r="H617" s="112">
        <f>H341+H262</f>
        <v>583.7</v>
      </c>
      <c r="I617" s="112">
        <f>I341+I262</f>
        <v>0</v>
      </c>
      <c r="J617" s="281">
        <f>J618+J619+J620</f>
        <v>546.8</v>
      </c>
      <c r="K617" s="281">
        <f>K618+K619+K620</f>
        <v>546.8</v>
      </c>
      <c r="L617" s="265" t="e">
        <f>L618+L619+L620</f>
        <v>#DIV/0!</v>
      </c>
      <c r="M617" s="107">
        <f>M618+M619+M620</f>
        <v>0</v>
      </c>
      <c r="N617" s="107" t="e">
        <f>N618+N619+N620</f>
        <v>#DIV/0!</v>
      </c>
      <c r="O617" s="16">
        <f t="shared" si="76"/>
        <v>1093.6</v>
      </c>
    </row>
    <row r="618" spans="5:15" ht="15">
      <c r="E618" s="135"/>
      <c r="F618" s="155" t="s">
        <v>401</v>
      </c>
      <c r="G618" s="101">
        <f>G263</f>
        <v>0</v>
      </c>
      <c r="H618" s="101">
        <f>H263</f>
        <v>526.1</v>
      </c>
      <c r="I618" s="101">
        <f>I263</f>
        <v>0</v>
      </c>
      <c r="J618" s="277">
        <f>J263+J188</f>
        <v>0</v>
      </c>
      <c r="K618" s="277">
        <f>K263+K188</f>
        <v>0</v>
      </c>
      <c r="L618" s="260" t="e">
        <f>L263+L188</f>
        <v>#DIV/0!</v>
      </c>
      <c r="M618" s="111">
        <f>M263+M188</f>
        <v>0</v>
      </c>
      <c r="N618" s="111" t="e">
        <f>N263+N188</f>
        <v>#DIV/0!</v>
      </c>
      <c r="O618" s="16">
        <f t="shared" si="76"/>
        <v>0</v>
      </c>
    </row>
    <row r="619" spans="5:15" ht="15">
      <c r="E619" s="135"/>
      <c r="F619" s="156" t="s">
        <v>402</v>
      </c>
      <c r="G619" s="102">
        <f>G342</f>
        <v>0</v>
      </c>
      <c r="H619" s="102">
        <f>H342</f>
        <v>57.6</v>
      </c>
      <c r="I619" s="102">
        <f>I342</f>
        <v>0</v>
      </c>
      <c r="J619" s="278">
        <f>J342+J196</f>
        <v>502.8</v>
      </c>
      <c r="K619" s="278">
        <f>K342+K196</f>
        <v>502.8</v>
      </c>
      <c r="L619" s="253">
        <f>L342+L196</f>
        <v>200</v>
      </c>
      <c r="M619" s="102">
        <f>M342</f>
        <v>0</v>
      </c>
      <c r="N619" s="58" t="e">
        <f>N342</f>
        <v>#DIV/0!</v>
      </c>
      <c r="O619" s="16">
        <f t="shared" si="76"/>
        <v>1005.6</v>
      </c>
    </row>
    <row r="620" spans="5:15" ht="15.75" thickBot="1">
      <c r="E620" s="135"/>
      <c r="F620" s="163" t="s">
        <v>403</v>
      </c>
      <c r="G620" s="110"/>
      <c r="H620" s="110"/>
      <c r="I620" s="110"/>
      <c r="J620" s="282">
        <f>J348</f>
        <v>44</v>
      </c>
      <c r="K620" s="282">
        <f>K348</f>
        <v>44</v>
      </c>
      <c r="L620" s="264">
        <f>L348</f>
        <v>100</v>
      </c>
      <c r="M620" s="109">
        <f>M348</f>
        <v>0</v>
      </c>
      <c r="N620" s="109">
        <f>N348</f>
        <v>0</v>
      </c>
      <c r="O620" s="16">
        <f t="shared" si="76"/>
        <v>88</v>
      </c>
    </row>
    <row r="621" spans="5:15" ht="15.75" thickBot="1">
      <c r="E621" s="175">
        <f>SUM(J622:J625)</f>
        <v>22050.716</v>
      </c>
      <c r="F621" s="164" t="s">
        <v>10</v>
      </c>
      <c r="G621" s="112" t="e">
        <f>G199+G358</f>
        <v>#REF!</v>
      </c>
      <c r="H621" s="112" t="e">
        <f>H199+H358</f>
        <v>#REF!</v>
      </c>
      <c r="I621" s="112" t="e">
        <f>I199+I358</f>
        <v>#REF!</v>
      </c>
      <c r="J621" s="281">
        <f>J622+J623+J624+J625</f>
        <v>22050.716</v>
      </c>
      <c r="K621" s="281">
        <f>K622+K623+K624+K625</f>
        <v>21974.62758</v>
      </c>
      <c r="L621" s="265">
        <f>L622+L623+L624+L625</f>
        <v>398.90790172260586</v>
      </c>
      <c r="M621" s="112" t="e">
        <f>M199+M358</f>
        <v>#REF!</v>
      </c>
      <c r="N621" s="113" t="e">
        <f>N199+N358</f>
        <v>#REF!</v>
      </c>
      <c r="O621" s="16">
        <f t="shared" si="76"/>
        <v>44025.34358</v>
      </c>
    </row>
    <row r="622" spans="5:15" ht="15">
      <c r="E622" s="135"/>
      <c r="F622" s="155" t="s">
        <v>404</v>
      </c>
      <c r="G622" s="101" t="e">
        <f>#REF!+G359</f>
        <v>#REF!</v>
      </c>
      <c r="H622" s="165" t="e">
        <f>#REF!+H359</f>
        <v>#REF!</v>
      </c>
      <c r="I622" s="101" t="e">
        <f>#REF!+I359</f>
        <v>#REF!</v>
      </c>
      <c r="J622" s="277">
        <f>J359</f>
        <v>445</v>
      </c>
      <c r="K622" s="277">
        <f>K359</f>
        <v>445</v>
      </c>
      <c r="L622" s="260">
        <f>L359</f>
        <v>100</v>
      </c>
      <c r="M622" s="101" t="e">
        <f>#REF!+M359</f>
        <v>#REF!</v>
      </c>
      <c r="N622" s="111" t="e">
        <f>#REF!+N359</f>
        <v>#REF!</v>
      </c>
      <c r="O622" s="16">
        <f t="shared" si="76"/>
        <v>890</v>
      </c>
    </row>
    <row r="623" spans="5:15" ht="15">
      <c r="E623" s="135"/>
      <c r="F623" s="156" t="s">
        <v>405</v>
      </c>
      <c r="G623" s="110" t="e">
        <f>#REF!</f>
        <v>#REF!</v>
      </c>
      <c r="H623" s="110" t="e">
        <f>#REF!</f>
        <v>#REF!</v>
      </c>
      <c r="I623" s="110" t="e">
        <f>#REF!</f>
        <v>#REF!</v>
      </c>
      <c r="J623" s="278">
        <f>J200</f>
        <v>3949.65</v>
      </c>
      <c r="K623" s="278">
        <f>K200</f>
        <v>3949.65</v>
      </c>
      <c r="L623" s="253">
        <f>L200</f>
        <v>100</v>
      </c>
      <c r="M623" s="110" t="e">
        <f>#REF!</f>
        <v>#REF!</v>
      </c>
      <c r="N623" s="109" t="e">
        <f>#REF!</f>
        <v>#REF!</v>
      </c>
      <c r="O623" s="16">
        <f t="shared" si="76"/>
        <v>7899.3</v>
      </c>
    </row>
    <row r="624" spans="5:15" ht="15" hidden="1">
      <c r="E624" s="135"/>
      <c r="F624" s="162" t="s">
        <v>406</v>
      </c>
      <c r="G624" s="110"/>
      <c r="H624" s="114" t="e">
        <f>#REF!</f>
        <v>#REF!</v>
      </c>
      <c r="I624" s="114" t="e">
        <f>#REF!</f>
        <v>#REF!</v>
      </c>
      <c r="J624" s="282"/>
      <c r="K624" s="282"/>
      <c r="L624" s="264"/>
      <c r="M624" s="114" t="e">
        <f>#REF!</f>
        <v>#REF!</v>
      </c>
      <c r="N624" s="109" t="e">
        <f>#REF!</f>
        <v>#REF!</v>
      </c>
      <c r="O624" s="16">
        <f t="shared" si="76"/>
        <v>0</v>
      </c>
    </row>
    <row r="625" spans="5:15" ht="15.75" thickBot="1">
      <c r="E625" s="135"/>
      <c r="F625" s="159" t="s">
        <v>407</v>
      </c>
      <c r="G625" s="106" t="e">
        <f aca="true" t="shared" si="79" ref="G625:N625">G364+G205</f>
        <v>#REF!</v>
      </c>
      <c r="H625" s="106" t="e">
        <f t="shared" si="79"/>
        <v>#REF!</v>
      </c>
      <c r="I625" s="106" t="e">
        <f t="shared" si="79"/>
        <v>#REF!</v>
      </c>
      <c r="J625" s="280">
        <f t="shared" si="79"/>
        <v>17656.066</v>
      </c>
      <c r="K625" s="280">
        <f t="shared" si="79"/>
        <v>17579.97758</v>
      </c>
      <c r="L625" s="262">
        <f t="shared" si="79"/>
        <v>198.90790172260586</v>
      </c>
      <c r="M625" s="106" t="e">
        <f t="shared" si="79"/>
        <v>#REF!</v>
      </c>
      <c r="N625" s="105" t="e">
        <f t="shared" si="79"/>
        <v>#DIV/0!</v>
      </c>
      <c r="O625" s="16">
        <f t="shared" si="76"/>
        <v>35236.04358</v>
      </c>
    </row>
    <row r="626" spans="5:15" ht="15.75" thickBot="1">
      <c r="E626" s="173">
        <f>SUM(J627:J630)</f>
        <v>36915.0693</v>
      </c>
      <c r="F626" s="115" t="s">
        <v>12</v>
      </c>
      <c r="G626" s="112" t="e">
        <f>G382</f>
        <v>#REF!</v>
      </c>
      <c r="H626" s="116" t="e">
        <f>H382+H216</f>
        <v>#REF!</v>
      </c>
      <c r="I626" s="116" t="e">
        <f>I382+I216</f>
        <v>#REF!</v>
      </c>
      <c r="J626" s="281">
        <f>J627+J628+J629+J630</f>
        <v>36915.0693</v>
      </c>
      <c r="K626" s="281">
        <f>K627+K628+K629+K630</f>
        <v>36553.72458</v>
      </c>
      <c r="L626" s="265" t="e">
        <f>L627+L628+L629+L630</f>
        <v>#DIV/0!</v>
      </c>
      <c r="M626" s="116" t="e">
        <f>M382+M216</f>
        <v>#REF!</v>
      </c>
      <c r="N626" s="116" t="e">
        <f>N382+N216</f>
        <v>#REF!</v>
      </c>
      <c r="O626" s="126">
        <f>J626+K626</f>
        <v>73468.79388000001</v>
      </c>
    </row>
    <row r="627" spans="5:15" ht="15">
      <c r="E627" s="135"/>
      <c r="F627" s="155" t="s">
        <v>408</v>
      </c>
      <c r="G627" s="101">
        <f>G391</f>
        <v>-40</v>
      </c>
      <c r="H627" s="117">
        <f>H391+H217</f>
        <v>0</v>
      </c>
      <c r="I627" s="117">
        <f>I391+I217</f>
        <v>31353.699999999997</v>
      </c>
      <c r="J627" s="277">
        <f>J217+J383</f>
        <v>14347.462</v>
      </c>
      <c r="K627" s="277">
        <f>K217+K383</f>
        <v>14337.462</v>
      </c>
      <c r="L627" s="260" t="e">
        <f>L217+L383</f>
        <v>#DIV/0!</v>
      </c>
      <c r="M627" s="117" t="e">
        <f>M217+M383</f>
        <v>#REF!</v>
      </c>
      <c r="N627" s="117" t="e">
        <f>N217+N383</f>
        <v>#DIV/0!</v>
      </c>
      <c r="O627" s="16">
        <f t="shared" si="76"/>
        <v>28684.924</v>
      </c>
    </row>
    <row r="628" spans="5:15" ht="15">
      <c r="E628" s="135"/>
      <c r="F628" s="156" t="s">
        <v>409</v>
      </c>
      <c r="G628" s="102" t="e">
        <f aca="true" t="shared" si="80" ref="G628:N628">G396</f>
        <v>#REF!</v>
      </c>
      <c r="H628" s="102" t="e">
        <f t="shared" si="80"/>
        <v>#REF!</v>
      </c>
      <c r="I628" s="103" t="e">
        <f t="shared" si="80"/>
        <v>#REF!</v>
      </c>
      <c r="J628" s="278">
        <f>J396+J225</f>
        <v>21313.317300000002</v>
      </c>
      <c r="K628" s="278">
        <f>K396+K225</f>
        <v>21079.262580000002</v>
      </c>
      <c r="L628" s="253">
        <f>L396+L225</f>
        <v>198.8440120014274</v>
      </c>
      <c r="M628" s="103" t="e">
        <f t="shared" si="80"/>
        <v>#REF!</v>
      </c>
      <c r="N628" s="58" t="e">
        <f t="shared" si="80"/>
        <v>#REF!</v>
      </c>
      <c r="O628" s="16">
        <f t="shared" si="76"/>
        <v>42392.579880000005</v>
      </c>
    </row>
    <row r="629" spans="5:15" ht="15.75" thickBot="1">
      <c r="E629" s="135"/>
      <c r="F629" s="156" t="s">
        <v>410</v>
      </c>
      <c r="G629" s="102">
        <f aca="true" t="shared" si="81" ref="G629:N629">G420</f>
        <v>-786.5</v>
      </c>
      <c r="H629" s="102">
        <f t="shared" si="81"/>
        <v>0</v>
      </c>
      <c r="I629" s="102">
        <f t="shared" si="81"/>
        <v>0</v>
      </c>
      <c r="J629" s="278">
        <f>J420+J232</f>
        <v>1254.29</v>
      </c>
      <c r="K629" s="278">
        <f>K420+K232</f>
        <v>1137</v>
      </c>
      <c r="L629" s="253">
        <f>L420+L232</f>
        <v>185.5960407225927</v>
      </c>
      <c r="M629" s="102">
        <f t="shared" si="81"/>
        <v>0</v>
      </c>
      <c r="N629" s="58">
        <f t="shared" si="81"/>
        <v>100</v>
      </c>
      <c r="O629" s="16">
        <f t="shared" si="76"/>
        <v>2391.29</v>
      </c>
    </row>
    <row r="630" spans="5:15" ht="15.75" hidden="1" thickBot="1">
      <c r="E630" s="135"/>
      <c r="F630" s="159" t="s">
        <v>411</v>
      </c>
      <c r="G630" s="106" t="e">
        <f>#REF!</f>
        <v>#REF!</v>
      </c>
      <c r="H630" s="106" t="e">
        <f>#REF!</f>
        <v>#REF!</v>
      </c>
      <c r="I630" s="106" t="e">
        <f>#REF!</f>
        <v>#REF!</v>
      </c>
      <c r="J630" s="280"/>
      <c r="K630" s="280"/>
      <c r="L630" s="262"/>
      <c r="M630" s="106" t="e">
        <f>#REF!</f>
        <v>#REF!</v>
      </c>
      <c r="N630" s="105" t="e">
        <f>#REF!</f>
        <v>#REF!</v>
      </c>
      <c r="O630" s="16">
        <f t="shared" si="76"/>
        <v>0</v>
      </c>
    </row>
    <row r="631" spans="5:15" ht="15.75" thickBot="1">
      <c r="E631" s="173">
        <f>SUM(J632:J636)</f>
        <v>305980.05854</v>
      </c>
      <c r="F631" s="115" t="s">
        <v>15</v>
      </c>
      <c r="G631" s="119" t="e">
        <f>#REF!+G26+#REF!+#REF!+G428</f>
        <v>#REF!</v>
      </c>
      <c r="H631" s="119" t="e">
        <f>#REF!+H26+#REF!+#REF!+H428</f>
        <v>#REF!</v>
      </c>
      <c r="I631" s="119" t="e">
        <f>#REF!+I26+#REF!+#REF!+I428</f>
        <v>#REF!</v>
      </c>
      <c r="J631" s="281">
        <f>J632+J633+J634+J635+J636</f>
        <v>305980.05854</v>
      </c>
      <c r="K631" s="281">
        <f>K632+K633+K634+K635+K636</f>
        <v>304947.64532</v>
      </c>
      <c r="L631" s="265" t="e">
        <f>L632+L633+L634+L635+L636</f>
        <v>#DIV/0!</v>
      </c>
      <c r="M631" s="113" t="e">
        <f>#REF!+M26+#REF!+#REF!+M428+M538</f>
        <v>#REF!</v>
      </c>
      <c r="N631" s="113" t="e">
        <f>#REF!+N26+#REF!+#REF!+N428+N538</f>
        <v>#REF!</v>
      </c>
      <c r="O631" s="16">
        <f t="shared" si="76"/>
        <v>610927.70386</v>
      </c>
    </row>
    <row r="632" spans="5:15" ht="15">
      <c r="E632" s="135"/>
      <c r="F632" s="155" t="s">
        <v>412</v>
      </c>
      <c r="G632" s="101">
        <f>G27</f>
        <v>-926.36</v>
      </c>
      <c r="H632" s="117">
        <f aca="true" t="shared" si="82" ref="H632:N632">H27+H429</f>
        <v>4401</v>
      </c>
      <c r="I632" s="117">
        <f t="shared" si="82"/>
        <v>0</v>
      </c>
      <c r="J632" s="277">
        <f t="shared" si="82"/>
        <v>14910.866399999999</v>
      </c>
      <c r="K632" s="277">
        <f t="shared" si="82"/>
        <v>14887.9</v>
      </c>
      <c r="L632" s="260">
        <f t="shared" si="82"/>
        <v>188.61620331267375</v>
      </c>
      <c r="M632" s="117">
        <f t="shared" si="82"/>
        <v>870.6</v>
      </c>
      <c r="N632" s="117" t="e">
        <f t="shared" si="82"/>
        <v>#DIV/0!</v>
      </c>
      <c r="O632" s="16">
        <f t="shared" si="76"/>
        <v>29798.7664</v>
      </c>
    </row>
    <row r="633" spans="5:15" ht="15">
      <c r="E633" s="135"/>
      <c r="F633" s="156" t="s">
        <v>413</v>
      </c>
      <c r="G633" s="58" t="e">
        <f>G41+#REF!</f>
        <v>#REF!</v>
      </c>
      <c r="H633" s="58" t="e">
        <f>H41</f>
        <v>#REF!</v>
      </c>
      <c r="I633" s="58" t="e">
        <f>I41</f>
        <v>#REF!</v>
      </c>
      <c r="J633" s="278">
        <f>J41+J434</f>
        <v>280301.65414</v>
      </c>
      <c r="K633" s="278">
        <f>K41+K434</f>
        <v>279423.98599</v>
      </c>
      <c r="L633" s="253">
        <f>L41+L434</f>
        <v>199.55730041624173</v>
      </c>
      <c r="M633" s="58" t="e">
        <f>M41+M434</f>
        <v>#REF!</v>
      </c>
      <c r="N633" s="58" t="e">
        <f>N41+N434</f>
        <v>#DIV/0!</v>
      </c>
      <c r="O633" s="16">
        <f t="shared" si="76"/>
        <v>559725.64013</v>
      </c>
    </row>
    <row r="634" spans="5:15" ht="15">
      <c r="E634" s="135"/>
      <c r="F634" s="156" t="s">
        <v>414</v>
      </c>
      <c r="G634" s="103" t="e">
        <f>#REF!+G95+#REF!+G459+#REF!</f>
        <v>#REF!</v>
      </c>
      <c r="H634" s="58" t="e">
        <f>#REF!+H95+#REF!+H459+#REF!</f>
        <v>#REF!</v>
      </c>
      <c r="I634" s="58" t="e">
        <f>#REF!+I95+#REF!+I459+#REF!</f>
        <v>#REF!</v>
      </c>
      <c r="J634" s="278">
        <f>J95+J459</f>
        <v>400</v>
      </c>
      <c r="K634" s="278">
        <f>K95+K459</f>
        <v>398.40984</v>
      </c>
      <c r="L634" s="253" t="e">
        <f>L95+L459</f>
        <v>#DIV/0!</v>
      </c>
      <c r="M634" s="130" t="e">
        <f>M95+M459+#REF!</f>
        <v>#REF!</v>
      </c>
      <c r="N634" s="130" t="e">
        <f>N95+N459+#REF!</f>
        <v>#DIV/0!</v>
      </c>
      <c r="O634" s="16">
        <f t="shared" si="76"/>
        <v>798.40984</v>
      </c>
    </row>
    <row r="635" spans="5:17" ht="15">
      <c r="E635" s="135"/>
      <c r="F635" s="156" t="s">
        <v>415</v>
      </c>
      <c r="G635" s="102" t="e">
        <f>G100+#REF!</f>
        <v>#REF!</v>
      </c>
      <c r="H635" s="102" t="e">
        <f>H100+#REF!+#REF!</f>
        <v>#REF!</v>
      </c>
      <c r="I635" s="102" t="e">
        <f>I100+#REF!+#REF!</f>
        <v>#REF!</v>
      </c>
      <c r="J635" s="278">
        <f>J100+J539+J465</f>
        <v>2286.88</v>
      </c>
      <c r="K635" s="278">
        <f>K100+K539+K465</f>
        <v>2286.88</v>
      </c>
      <c r="L635" s="253">
        <f>L100+L539+L465</f>
        <v>300</v>
      </c>
      <c r="M635" s="58" t="e">
        <f>M100+#REF!+#REF!+M539+M465</f>
        <v>#REF!</v>
      </c>
      <c r="N635" s="58" t="e">
        <f>N100+#REF!+#REF!+N539+N465</f>
        <v>#DIV/0!</v>
      </c>
      <c r="O635" s="16">
        <f t="shared" si="76"/>
        <v>4573.76</v>
      </c>
      <c r="Q635" s="136">
        <f>L635-O635</f>
        <v>-4273.76</v>
      </c>
    </row>
    <row r="636" spans="5:15" ht="15.75" thickBot="1">
      <c r="E636" s="135"/>
      <c r="F636" s="159" t="s">
        <v>416</v>
      </c>
      <c r="G636" s="106" t="e">
        <f aca="true" t="shared" si="83" ref="G636:N636">G109</f>
        <v>#REF!</v>
      </c>
      <c r="H636" s="106" t="e">
        <f t="shared" si="83"/>
        <v>#REF!</v>
      </c>
      <c r="I636" s="106" t="e">
        <f t="shared" si="83"/>
        <v>#REF!</v>
      </c>
      <c r="J636" s="280">
        <f t="shared" si="83"/>
        <v>8080.657999999999</v>
      </c>
      <c r="K636" s="280">
        <f t="shared" si="83"/>
        <v>7950.4694899999995</v>
      </c>
      <c r="L636" s="262">
        <f t="shared" si="83"/>
        <v>98.38888726635876</v>
      </c>
      <c r="M636" s="106" t="e">
        <f t="shared" si="83"/>
        <v>#REF!</v>
      </c>
      <c r="N636" s="105" t="e">
        <f t="shared" si="83"/>
        <v>#REF!</v>
      </c>
      <c r="O636" s="16">
        <f t="shared" si="76"/>
        <v>16031.127489999999</v>
      </c>
    </row>
    <row r="637" spans="5:15" ht="15.75" thickBot="1">
      <c r="E637" s="174">
        <f>SUM(J638:J641)</f>
        <v>11742.59075</v>
      </c>
      <c r="F637" s="115" t="s">
        <v>35</v>
      </c>
      <c r="G637" s="112" t="e">
        <f>G469+G547</f>
        <v>#REF!</v>
      </c>
      <c r="H637" s="112" t="e">
        <f>H469+H547</f>
        <v>#REF!</v>
      </c>
      <c r="I637" s="112" t="e">
        <f>I469+I547</f>
        <v>#REF!</v>
      </c>
      <c r="J637" s="281">
        <f>J638+J639+J641+J640</f>
        <v>11742.59075</v>
      </c>
      <c r="K637" s="281">
        <f>K638+K639+K641+K640</f>
        <v>11716.46557</v>
      </c>
      <c r="L637" s="265">
        <f>L638+L639+L641+L640</f>
        <v>498.9897994445281</v>
      </c>
      <c r="M637" s="112" t="e">
        <f>M469+M547</f>
        <v>#REF!</v>
      </c>
      <c r="N637" s="113" t="e">
        <f>N469+N547</f>
        <v>#REF!</v>
      </c>
      <c r="O637" s="16">
        <f t="shared" si="76"/>
        <v>23459.05632</v>
      </c>
    </row>
    <row r="638" spans="5:15" ht="15">
      <c r="E638" s="135"/>
      <c r="F638" s="155" t="s">
        <v>417</v>
      </c>
      <c r="G638" s="101">
        <f>G548</f>
        <v>137.57999999999998</v>
      </c>
      <c r="H638" s="101">
        <f>H548</f>
        <v>3820.25</v>
      </c>
      <c r="I638" s="111">
        <f>I548</f>
        <v>0</v>
      </c>
      <c r="J638" s="277">
        <f>J548+J470+J236</f>
        <v>8523.16575</v>
      </c>
      <c r="K638" s="277">
        <f>K548+K470+K236</f>
        <v>8499.6924</v>
      </c>
      <c r="L638" s="260">
        <f>L548+L470+L236</f>
        <v>299.6372568150772</v>
      </c>
      <c r="M638" s="111" t="e">
        <f>M548+M470</f>
        <v>#REF!</v>
      </c>
      <c r="N638" s="111" t="e">
        <f>N548+N470</f>
        <v>#DIV/0!</v>
      </c>
      <c r="O638" s="16">
        <f t="shared" si="76"/>
        <v>17022.85815</v>
      </c>
    </row>
    <row r="639" spans="5:15" ht="15" hidden="1">
      <c r="E639" s="135"/>
      <c r="F639" s="157" t="s">
        <v>418</v>
      </c>
      <c r="G639" s="158" t="e">
        <f>#REF!</f>
        <v>#REF!</v>
      </c>
      <c r="H639" s="104" t="e">
        <f>#REF!</f>
        <v>#REF!</v>
      </c>
      <c r="I639" s="104" t="e">
        <f>#REF!</f>
        <v>#REF!</v>
      </c>
      <c r="J639" s="279"/>
      <c r="K639" s="279"/>
      <c r="L639" s="261"/>
      <c r="M639" s="58" t="e">
        <f>#REF!</f>
        <v>#REF!</v>
      </c>
      <c r="N639" s="58" t="e">
        <f>#REF!</f>
        <v>#REF!</v>
      </c>
      <c r="O639" s="16">
        <f t="shared" si="76"/>
        <v>0</v>
      </c>
    </row>
    <row r="640" spans="5:15" ht="15.75" thickBot="1">
      <c r="E640" s="135"/>
      <c r="F640" s="166" t="s">
        <v>418</v>
      </c>
      <c r="G640" s="167"/>
      <c r="H640" s="118"/>
      <c r="I640" s="118"/>
      <c r="J640" s="283">
        <f>J574+J474</f>
        <v>3219.425</v>
      </c>
      <c r="K640" s="283">
        <f>K574+K474</f>
        <v>3216.7731700000004</v>
      </c>
      <c r="L640" s="266">
        <f>L574+L474</f>
        <v>199.35254262945094</v>
      </c>
      <c r="M640" s="105"/>
      <c r="N640" s="105"/>
      <c r="O640" s="16">
        <f t="shared" si="76"/>
        <v>6436.198170000001</v>
      </c>
    </row>
    <row r="641" spans="5:15" ht="15.75" hidden="1" thickBot="1">
      <c r="E641" s="135"/>
      <c r="F641" s="159" t="s">
        <v>419</v>
      </c>
      <c r="G641" s="106" t="e">
        <f>#REF!+#REF!</f>
        <v>#REF!</v>
      </c>
      <c r="H641" s="105" t="e">
        <f>#REF!+#REF!</f>
        <v>#REF!</v>
      </c>
      <c r="I641" s="105" t="e">
        <f>#REF!+#REF!</f>
        <v>#REF!</v>
      </c>
      <c r="J641" s="280"/>
      <c r="K641" s="280"/>
      <c r="L641" s="262"/>
      <c r="M641" s="105" t="e">
        <f>#REF!+#REF!</f>
        <v>#REF!</v>
      </c>
      <c r="N641" s="105" t="e">
        <f>#REF!+#REF!</f>
        <v>#REF!</v>
      </c>
      <c r="O641" s="16">
        <f t="shared" si="76"/>
        <v>0</v>
      </c>
    </row>
    <row r="642" spans="5:15" ht="15.75" thickBot="1">
      <c r="E642" s="135" t="e">
        <f>SUM(H643:H648)</f>
        <v>#REF!</v>
      </c>
      <c r="F642" s="115" t="s">
        <v>29</v>
      </c>
      <c r="G642" s="112" t="e">
        <f>#REF!+#REF!</f>
        <v>#REF!</v>
      </c>
      <c r="H642" s="119" t="e">
        <f>#REF!+#REF!+#REF!</f>
        <v>#REF!</v>
      </c>
      <c r="I642" s="119" t="e">
        <f>#REF!+#REF!+#REF!</f>
        <v>#REF!</v>
      </c>
      <c r="J642" s="281">
        <f>J643+J644+J645+J646+J647+J648</f>
        <v>490</v>
      </c>
      <c r="K642" s="281">
        <f>K643+K644+K645+K646+K647+K648</f>
        <v>490</v>
      </c>
      <c r="L642" s="265">
        <f>L643+L644+L645+L646+L647+L648</f>
        <v>100</v>
      </c>
      <c r="M642" s="119" t="e">
        <f>#REF!+#REF!+#REF!</f>
        <v>#REF!</v>
      </c>
      <c r="N642" s="113" t="e">
        <f>#REF!+#REF!+#REF!</f>
        <v>#REF!</v>
      </c>
      <c r="O642" s="16">
        <f t="shared" si="76"/>
        <v>980</v>
      </c>
    </row>
    <row r="643" spans="5:15" ht="15" hidden="1">
      <c r="E643" s="135"/>
      <c r="F643" s="155" t="s">
        <v>420</v>
      </c>
      <c r="G643" s="101" t="e">
        <f>#REF!</f>
        <v>#REF!</v>
      </c>
      <c r="H643" s="101" t="e">
        <f>#REF!</f>
        <v>#REF!</v>
      </c>
      <c r="I643" s="101" t="e">
        <f>#REF!</f>
        <v>#REF!</v>
      </c>
      <c r="J643" s="277"/>
      <c r="K643" s="277"/>
      <c r="L643" s="260"/>
      <c r="M643" s="111" t="e">
        <f>#REF!+#REF!</f>
        <v>#REF!</v>
      </c>
      <c r="N643" s="111" t="e">
        <f>#REF!+#REF!</f>
        <v>#REF!</v>
      </c>
      <c r="O643" s="16">
        <f t="shared" si="76"/>
        <v>0</v>
      </c>
    </row>
    <row r="644" spans="5:15" ht="15" hidden="1">
      <c r="E644" s="135"/>
      <c r="F644" s="156" t="s">
        <v>421</v>
      </c>
      <c r="G644" s="102" t="e">
        <f>#REF!+#REF!</f>
        <v>#REF!</v>
      </c>
      <c r="H644" s="102" t="e">
        <f>#REF!+#REF!</f>
        <v>#REF!</v>
      </c>
      <c r="I644" s="102" t="e">
        <f>#REF!+#REF!</f>
        <v>#REF!</v>
      </c>
      <c r="J644" s="278"/>
      <c r="K644" s="278"/>
      <c r="L644" s="253"/>
      <c r="M644" s="130" t="e">
        <f>#REF!</f>
        <v>#REF!</v>
      </c>
      <c r="N644" s="130" t="e">
        <f>#REF!</f>
        <v>#REF!</v>
      </c>
      <c r="O644" s="16">
        <f t="shared" si="76"/>
        <v>0</v>
      </c>
    </row>
    <row r="645" spans="5:15" ht="15" hidden="1">
      <c r="E645" s="135"/>
      <c r="F645" s="156" t="s">
        <v>422</v>
      </c>
      <c r="G645" s="102" t="e">
        <f>#REF!</f>
        <v>#REF!</v>
      </c>
      <c r="H645" s="102" t="e">
        <f>#REF!</f>
        <v>#REF!</v>
      </c>
      <c r="I645" s="102" t="e">
        <f>#REF!</f>
        <v>#REF!</v>
      </c>
      <c r="J645" s="278"/>
      <c r="K645" s="278"/>
      <c r="L645" s="253"/>
      <c r="M645" s="102" t="e">
        <f>#REF!</f>
        <v>#REF!</v>
      </c>
      <c r="N645" s="58" t="e">
        <f>#REF!</f>
        <v>#REF!</v>
      </c>
      <c r="O645" s="16">
        <f t="shared" si="76"/>
        <v>0</v>
      </c>
    </row>
    <row r="646" spans="3:15" ht="15" hidden="1">
      <c r="C646" s="16" t="s">
        <v>423</v>
      </c>
      <c r="E646" s="135"/>
      <c r="F646" s="157" t="s">
        <v>424</v>
      </c>
      <c r="G646" s="158" t="e">
        <f>#REF!</f>
        <v>#REF!</v>
      </c>
      <c r="H646" s="158" t="e">
        <f>#REF!+#REF!</f>
        <v>#REF!</v>
      </c>
      <c r="I646" s="158" t="e">
        <f>#REF!+#REF!</f>
        <v>#REF!</v>
      </c>
      <c r="J646" s="279"/>
      <c r="K646" s="279"/>
      <c r="L646" s="261"/>
      <c r="M646" s="102" t="e">
        <f>#REF!+#REF!</f>
        <v>#REF!</v>
      </c>
      <c r="N646" s="58" t="e">
        <f>#REF!+#REF!</f>
        <v>#REF!</v>
      </c>
      <c r="O646" s="16">
        <f t="shared" si="76"/>
        <v>0</v>
      </c>
    </row>
    <row r="647" spans="5:15" ht="15.75" thickBot="1">
      <c r="E647" s="135"/>
      <c r="F647" s="166" t="s">
        <v>425</v>
      </c>
      <c r="G647" s="167"/>
      <c r="H647" s="167"/>
      <c r="I647" s="167"/>
      <c r="J647" s="283">
        <f>J480</f>
        <v>490</v>
      </c>
      <c r="K647" s="283">
        <f>K480</f>
        <v>490</v>
      </c>
      <c r="L647" s="266">
        <f>L480</f>
        <v>100</v>
      </c>
      <c r="M647" s="132">
        <f>M480</f>
        <v>0</v>
      </c>
      <c r="N647" s="132">
        <f>N480</f>
        <v>0</v>
      </c>
      <c r="O647" s="16">
        <f t="shared" si="76"/>
        <v>980</v>
      </c>
    </row>
    <row r="648" spans="5:15" ht="15.75" hidden="1" thickBot="1">
      <c r="E648" s="135"/>
      <c r="F648" s="159" t="s">
        <v>426</v>
      </c>
      <c r="G648" s="106">
        <f aca="true" t="shared" si="84" ref="G648:N648">G11</f>
        <v>0</v>
      </c>
      <c r="H648" s="106">
        <f t="shared" si="84"/>
        <v>1049.66</v>
      </c>
      <c r="I648" s="106">
        <f t="shared" si="84"/>
        <v>0</v>
      </c>
      <c r="J648" s="280">
        <f t="shared" si="84"/>
        <v>0</v>
      </c>
      <c r="K648" s="280">
        <f t="shared" si="84"/>
        <v>0</v>
      </c>
      <c r="L648" s="262">
        <f t="shared" si="84"/>
        <v>0</v>
      </c>
      <c r="M648" s="106">
        <f t="shared" si="84"/>
        <v>33</v>
      </c>
      <c r="N648" s="105">
        <f t="shared" si="84"/>
        <v>33</v>
      </c>
      <c r="O648" s="16">
        <f t="shared" si="76"/>
        <v>0</v>
      </c>
    </row>
    <row r="649" spans="5:15" ht="15.75" thickBot="1">
      <c r="E649" s="135" t="e">
        <f>SUM(H650:H654)</f>
        <v>#REF!</v>
      </c>
      <c r="F649" s="115" t="s">
        <v>62</v>
      </c>
      <c r="G649" s="112" t="e">
        <f>G130+#REF!+#REF!</f>
        <v>#REF!</v>
      </c>
      <c r="H649" s="113" t="e">
        <f>H130+#REF!+#REF!</f>
        <v>#REF!</v>
      </c>
      <c r="I649" s="113" t="e">
        <f>I130+#REF!+#REF!</f>
        <v>#REF!</v>
      </c>
      <c r="J649" s="281">
        <f>J650+J651+J652+J653+J654</f>
        <v>36905.247</v>
      </c>
      <c r="K649" s="281">
        <f>K650+K651+K652+K653+K654</f>
        <v>35960.92046</v>
      </c>
      <c r="L649" s="265" t="e">
        <f>L650+L651+L652+L653+L654</f>
        <v>#DIV/0!</v>
      </c>
      <c r="M649" s="113" t="e">
        <f>M130+#REF!+#REF!</f>
        <v>#REF!</v>
      </c>
      <c r="N649" s="113" t="e">
        <f>N130+#REF!+#REF!</f>
        <v>#REF!</v>
      </c>
      <c r="O649" s="16">
        <f t="shared" si="76"/>
        <v>72866.16746</v>
      </c>
    </row>
    <row r="650" spans="5:15" ht="15">
      <c r="E650" s="135"/>
      <c r="F650" s="155" t="s">
        <v>427</v>
      </c>
      <c r="G650" s="101" t="e">
        <f>#REF!</f>
        <v>#REF!</v>
      </c>
      <c r="H650" s="101" t="e">
        <f>#REF!</f>
        <v>#REF!</v>
      </c>
      <c r="I650" s="101" t="e">
        <f>#REF!</f>
        <v>#REF!</v>
      </c>
      <c r="J650" s="277">
        <f>J486</f>
        <v>117.8</v>
      </c>
      <c r="K650" s="277">
        <f>K486</f>
        <v>116.57028</v>
      </c>
      <c r="L650" s="260">
        <f>L486</f>
        <v>98.95609507640067</v>
      </c>
      <c r="M650" s="129">
        <f>M486</f>
        <v>0</v>
      </c>
      <c r="N650" s="129">
        <f>N486</f>
        <v>0</v>
      </c>
      <c r="O650" s="16">
        <f t="shared" si="76"/>
        <v>234.37027999999998</v>
      </c>
    </row>
    <row r="651" spans="5:15" ht="15">
      <c r="E651" s="135"/>
      <c r="F651" s="156" t="s">
        <v>428</v>
      </c>
      <c r="G651" s="102" t="e">
        <f>#REF!</f>
        <v>#REF!</v>
      </c>
      <c r="H651" s="102" t="e">
        <f>#REF!</f>
        <v>#REF!</v>
      </c>
      <c r="I651" s="102" t="e">
        <f>#REF!</f>
        <v>#REF!</v>
      </c>
      <c r="J651" s="278">
        <f>J489</f>
        <v>306.54</v>
      </c>
      <c r="K651" s="278">
        <f>K489</f>
        <v>293.12506</v>
      </c>
      <c r="L651" s="253">
        <f>L489</f>
        <v>95.62375546421347</v>
      </c>
      <c r="M651" s="130">
        <f>M489</f>
        <v>0</v>
      </c>
      <c r="N651" s="130">
        <f>N489</f>
        <v>0</v>
      </c>
      <c r="O651" s="16">
        <f t="shared" si="76"/>
        <v>599.66506</v>
      </c>
    </row>
    <row r="652" spans="5:15" ht="15">
      <c r="E652" s="135"/>
      <c r="F652" s="156" t="s">
        <v>429</v>
      </c>
      <c r="G652" s="102" t="e">
        <f>#REF!+#REF!+G131</f>
        <v>#REF!</v>
      </c>
      <c r="H652" s="102" t="e">
        <f>#REF!+#REF!+H131</f>
        <v>#REF!</v>
      </c>
      <c r="I652" s="102" t="e">
        <f>#REF!+#REF!+I131</f>
        <v>#REF!</v>
      </c>
      <c r="J652" s="278">
        <f>J131+J495</f>
        <v>17451.107000000004</v>
      </c>
      <c r="K652" s="278">
        <f>K131+K495</f>
        <v>17451.107000000004</v>
      </c>
      <c r="L652" s="253" t="e">
        <f>L131+L495</f>
        <v>#DIV/0!</v>
      </c>
      <c r="M652" s="130" t="e">
        <f>M131+M495</f>
        <v>#REF!</v>
      </c>
      <c r="N652" s="130" t="e">
        <f>N131+N495</f>
        <v>#REF!</v>
      </c>
      <c r="O652" s="16">
        <f t="shared" si="76"/>
        <v>34902.21400000001</v>
      </c>
    </row>
    <row r="653" spans="5:15" ht="15">
      <c r="E653" s="135"/>
      <c r="F653" s="159" t="s">
        <v>430</v>
      </c>
      <c r="G653" s="106" t="e">
        <f aca="true" t="shared" si="85" ref="G653:N653">G134</f>
        <v>#REF!</v>
      </c>
      <c r="H653" s="106" t="e">
        <f t="shared" si="85"/>
        <v>#REF!</v>
      </c>
      <c r="I653" s="106" t="e">
        <f t="shared" si="85"/>
        <v>#REF!</v>
      </c>
      <c r="J653" s="280">
        <f t="shared" si="85"/>
        <v>18688.800000000003</v>
      </c>
      <c r="K653" s="280">
        <f t="shared" si="85"/>
        <v>17759.11812</v>
      </c>
      <c r="L653" s="262">
        <f t="shared" si="85"/>
        <v>95.02545974059328</v>
      </c>
      <c r="M653" s="131" t="e">
        <f t="shared" si="85"/>
        <v>#REF!</v>
      </c>
      <c r="N653" s="131" t="e">
        <f t="shared" si="85"/>
        <v>#REF!</v>
      </c>
      <c r="O653" s="16">
        <f t="shared" si="76"/>
        <v>36447.91812</v>
      </c>
    </row>
    <row r="654" spans="5:15" ht="15.75" thickBot="1">
      <c r="E654" s="135"/>
      <c r="F654" s="159" t="s">
        <v>431</v>
      </c>
      <c r="G654" s="106" t="e">
        <f>#REF!</f>
        <v>#REF!</v>
      </c>
      <c r="H654" s="106" t="e">
        <f>#REF!</f>
        <v>#REF!</v>
      </c>
      <c r="I654" s="106" t="e">
        <f>#REF!</f>
        <v>#REF!</v>
      </c>
      <c r="J654" s="280">
        <f>J516+J583</f>
        <v>341</v>
      </c>
      <c r="K654" s="280">
        <f>K516+K583</f>
        <v>341</v>
      </c>
      <c r="L654" s="262">
        <f>L516+L583</f>
        <v>200</v>
      </c>
      <c r="M654" s="131">
        <f>M516+M583</f>
        <v>0</v>
      </c>
      <c r="N654" s="131">
        <f>N516+N583</f>
        <v>0</v>
      </c>
      <c r="O654" s="16">
        <f t="shared" si="76"/>
        <v>682</v>
      </c>
    </row>
    <row r="655" spans="5:15" ht="15.75" hidden="1" thickBot="1">
      <c r="E655" s="135" t="e">
        <f>SUM(H656:H659)</f>
        <v>#REF!</v>
      </c>
      <c r="F655" s="115" t="s">
        <v>17</v>
      </c>
      <c r="G655" s="112" t="e">
        <f>#REF!</f>
        <v>#REF!</v>
      </c>
      <c r="H655" s="112" t="e">
        <f>#REF!</f>
        <v>#REF!</v>
      </c>
      <c r="I655" s="112" t="e">
        <f>#REF!</f>
        <v>#REF!</v>
      </c>
      <c r="J655" s="281">
        <f>J656+J657+J658+J659</f>
        <v>0</v>
      </c>
      <c r="K655" s="281">
        <f>K656+K657+K658+K659</f>
        <v>0</v>
      </c>
      <c r="L655" s="265">
        <f>L656+L657+L658+L659</f>
        <v>0</v>
      </c>
      <c r="M655" s="112" t="e">
        <f>#REF!</f>
        <v>#REF!</v>
      </c>
      <c r="N655" s="113" t="e">
        <f>#REF!</f>
        <v>#REF!</v>
      </c>
      <c r="O655" s="16">
        <f t="shared" si="76"/>
        <v>0</v>
      </c>
    </row>
    <row r="656" spans="5:15" ht="15" hidden="1">
      <c r="E656" s="135"/>
      <c r="F656" s="155" t="s">
        <v>432</v>
      </c>
      <c r="G656" s="101" t="e">
        <f>#REF!</f>
        <v>#REF!</v>
      </c>
      <c r="H656" s="101" t="e">
        <f>#REF!</f>
        <v>#REF!</v>
      </c>
      <c r="I656" s="101" t="e">
        <f>#REF!</f>
        <v>#REF!</v>
      </c>
      <c r="J656" s="277"/>
      <c r="K656" s="277"/>
      <c r="L656" s="260"/>
      <c r="M656" s="101" t="e">
        <f>#REF!</f>
        <v>#REF!</v>
      </c>
      <c r="N656" s="111" t="e">
        <f>#REF!</f>
        <v>#REF!</v>
      </c>
      <c r="O656" s="16">
        <f t="shared" si="76"/>
        <v>0</v>
      </c>
    </row>
    <row r="657" spans="5:15" ht="15" hidden="1">
      <c r="E657" s="135"/>
      <c r="F657" s="156" t="s">
        <v>433</v>
      </c>
      <c r="G657" s="102" t="e">
        <f>#REF!</f>
        <v>#REF!</v>
      </c>
      <c r="H657" s="102" t="e">
        <f>#REF!</f>
        <v>#REF!</v>
      </c>
      <c r="I657" s="102" t="e">
        <f>#REF!</f>
        <v>#REF!</v>
      </c>
      <c r="J657" s="278"/>
      <c r="K657" s="278"/>
      <c r="L657" s="253"/>
      <c r="M657" s="102" t="e">
        <f>#REF!</f>
        <v>#REF!</v>
      </c>
      <c r="N657" s="58" t="e">
        <f>#REF!</f>
        <v>#REF!</v>
      </c>
      <c r="O657" s="16">
        <f t="shared" si="76"/>
        <v>0</v>
      </c>
    </row>
    <row r="658" spans="5:15" ht="15" hidden="1">
      <c r="E658" s="135"/>
      <c r="F658" s="156" t="s">
        <v>434</v>
      </c>
      <c r="G658" s="102" t="e">
        <f>#REF!</f>
        <v>#REF!</v>
      </c>
      <c r="H658" s="102" t="e">
        <f>#REF!</f>
        <v>#REF!</v>
      </c>
      <c r="I658" s="102" t="e">
        <f>#REF!</f>
        <v>#REF!</v>
      </c>
      <c r="J658" s="278"/>
      <c r="K658" s="278"/>
      <c r="L658" s="253"/>
      <c r="M658" s="102" t="e">
        <f>#REF!</f>
        <v>#REF!</v>
      </c>
      <c r="N658" s="58" t="e">
        <f>#REF!</f>
        <v>#REF!</v>
      </c>
      <c r="O658" s="16">
        <f t="shared" si="76"/>
        <v>0</v>
      </c>
    </row>
    <row r="659" spans="5:15" ht="15.75" hidden="1" thickBot="1">
      <c r="E659" s="135"/>
      <c r="F659" s="110">
        <v>1104</v>
      </c>
      <c r="G659" s="110" t="e">
        <f>G245</f>
        <v>#REF!</v>
      </c>
      <c r="H659" s="110" t="e">
        <f>H245</f>
        <v>#REF!</v>
      </c>
      <c r="I659" s="110" t="e">
        <f>I245</f>
        <v>#REF!</v>
      </c>
      <c r="J659" s="282"/>
      <c r="K659" s="282"/>
      <c r="L659" s="264"/>
      <c r="M659" s="110" t="e">
        <f>M245</f>
        <v>#REF!</v>
      </c>
      <c r="N659" s="109" t="e">
        <f>N245</f>
        <v>#REF!</v>
      </c>
      <c r="O659" s="16">
        <f t="shared" si="76"/>
        <v>0</v>
      </c>
    </row>
    <row r="660" spans="5:15" ht="15.75" thickBot="1">
      <c r="E660" s="135"/>
      <c r="F660" s="168">
        <v>11</v>
      </c>
      <c r="G660" s="112"/>
      <c r="H660" s="112"/>
      <c r="I660" s="112"/>
      <c r="J660" s="281">
        <f>J661</f>
        <v>1686.6000000000001</v>
      </c>
      <c r="K660" s="281">
        <f>K661</f>
        <v>1686.6000000000001</v>
      </c>
      <c r="L660" s="263">
        <f>L661</f>
        <v>200</v>
      </c>
      <c r="M660" s="108"/>
      <c r="N660" s="109"/>
      <c r="O660" s="16">
        <f t="shared" si="76"/>
        <v>3373.2000000000003</v>
      </c>
    </row>
    <row r="661" spans="5:15" ht="15.75" thickBot="1">
      <c r="E661" s="135"/>
      <c r="F661" s="110">
        <v>1101</v>
      </c>
      <c r="G661" s="110"/>
      <c r="H661" s="110"/>
      <c r="I661" s="110"/>
      <c r="J661" s="282">
        <f>J590+J240</f>
        <v>1686.6000000000001</v>
      </c>
      <c r="K661" s="282">
        <f>K590+K240</f>
        <v>1686.6000000000001</v>
      </c>
      <c r="L661" s="264">
        <f>L590+L240</f>
        <v>200</v>
      </c>
      <c r="M661" s="108"/>
      <c r="N661" s="109"/>
      <c r="O661" s="16">
        <f t="shared" si="76"/>
        <v>3373.2000000000003</v>
      </c>
    </row>
    <row r="662" spans="5:15" ht="15.75" thickBot="1">
      <c r="E662" s="135"/>
      <c r="F662" s="169">
        <v>12</v>
      </c>
      <c r="G662" s="112"/>
      <c r="H662" s="112"/>
      <c r="I662" s="112"/>
      <c r="J662" s="281">
        <f>J663+J664+J665+J666</f>
        <v>969.6804</v>
      </c>
      <c r="K662" s="281">
        <f>K663+K664+K665+K666</f>
        <v>969.6804</v>
      </c>
      <c r="L662" s="263">
        <f>L663+L664+L665+L666</f>
        <v>100</v>
      </c>
      <c r="M662" s="108"/>
      <c r="N662" s="109"/>
      <c r="O662" s="16">
        <f t="shared" si="76"/>
        <v>1939.3608</v>
      </c>
    </row>
    <row r="663" spans="5:15" ht="15" hidden="1">
      <c r="E663" s="135"/>
      <c r="F663" s="101">
        <v>1201</v>
      </c>
      <c r="G663" s="101"/>
      <c r="H663" s="101"/>
      <c r="I663" s="101"/>
      <c r="J663" s="277"/>
      <c r="K663" s="277"/>
      <c r="L663" s="260"/>
      <c r="M663" s="110"/>
      <c r="N663" s="109"/>
      <c r="O663" s="16">
        <f t="shared" si="76"/>
        <v>0</v>
      </c>
    </row>
    <row r="664" spans="5:15" ht="15.75" thickBot="1">
      <c r="E664" s="135"/>
      <c r="F664" s="102">
        <v>1202</v>
      </c>
      <c r="G664" s="102"/>
      <c r="H664" s="102"/>
      <c r="I664" s="102"/>
      <c r="J664" s="278">
        <f>J523</f>
        <v>969.6804</v>
      </c>
      <c r="K664" s="278">
        <f>K523</f>
        <v>969.6804</v>
      </c>
      <c r="L664" s="253">
        <f>L523</f>
        <v>100</v>
      </c>
      <c r="M664" s="110"/>
      <c r="N664" s="109"/>
      <c r="O664" s="16">
        <f t="shared" si="76"/>
        <v>1939.3608</v>
      </c>
    </row>
    <row r="665" spans="5:15" ht="15" hidden="1">
      <c r="E665" s="135"/>
      <c r="F665" s="102">
        <v>1203</v>
      </c>
      <c r="G665" s="102"/>
      <c r="H665" s="102"/>
      <c r="I665" s="102"/>
      <c r="J665" s="278"/>
      <c r="K665" s="278"/>
      <c r="L665" s="253"/>
      <c r="M665" s="110"/>
      <c r="N665" s="109"/>
      <c r="O665" s="16">
        <f t="shared" si="76"/>
        <v>0</v>
      </c>
    </row>
    <row r="666" spans="5:15" ht="15.75" hidden="1" thickBot="1">
      <c r="E666" s="135"/>
      <c r="F666" s="106">
        <v>1204</v>
      </c>
      <c r="G666" s="106"/>
      <c r="H666" s="106"/>
      <c r="I666" s="106"/>
      <c r="J666" s="280"/>
      <c r="K666" s="280"/>
      <c r="L666" s="262"/>
      <c r="M666" s="110"/>
      <c r="N666" s="109"/>
      <c r="O666" s="16">
        <f t="shared" si="76"/>
        <v>0</v>
      </c>
    </row>
    <row r="667" spans="5:15" ht="15.75" thickBot="1">
      <c r="E667" s="135"/>
      <c r="F667" s="169">
        <v>13</v>
      </c>
      <c r="G667" s="112"/>
      <c r="H667" s="112"/>
      <c r="I667" s="112"/>
      <c r="J667" s="281">
        <f>J668+J669</f>
        <v>254.24926</v>
      </c>
      <c r="K667" s="281">
        <f>K668+K669</f>
        <v>254.24926</v>
      </c>
      <c r="L667" s="265">
        <f>L668+L669</f>
        <v>100</v>
      </c>
      <c r="M667" s="108"/>
      <c r="N667" s="109"/>
      <c r="O667" s="16">
        <f t="shared" si="76"/>
        <v>508.49852</v>
      </c>
    </row>
    <row r="668" spans="5:15" ht="15.75" thickBot="1">
      <c r="E668" s="135"/>
      <c r="F668" s="101">
        <v>1301</v>
      </c>
      <c r="G668" s="101"/>
      <c r="H668" s="101"/>
      <c r="I668" s="101"/>
      <c r="J668" s="277">
        <f>J245</f>
        <v>254.24926</v>
      </c>
      <c r="K668" s="277">
        <f>K245</f>
        <v>254.24926</v>
      </c>
      <c r="L668" s="260">
        <f>L245</f>
        <v>100</v>
      </c>
      <c r="M668" s="110"/>
      <c r="N668" s="109"/>
      <c r="O668" s="16">
        <f t="shared" si="76"/>
        <v>508.49852</v>
      </c>
    </row>
    <row r="669" spans="5:15" ht="15.75" hidden="1" thickBot="1">
      <c r="E669" s="135"/>
      <c r="F669" s="106">
        <v>1302</v>
      </c>
      <c r="G669" s="106"/>
      <c r="H669" s="106"/>
      <c r="I669" s="106"/>
      <c r="J669" s="280"/>
      <c r="K669" s="280"/>
      <c r="L669" s="262"/>
      <c r="M669" s="110"/>
      <c r="N669" s="109"/>
      <c r="O669" s="16">
        <f t="shared" si="76"/>
        <v>0</v>
      </c>
    </row>
    <row r="670" spans="5:15" ht="15.75" thickBot="1">
      <c r="E670" s="135"/>
      <c r="F670" s="169">
        <v>14</v>
      </c>
      <c r="G670" s="112"/>
      <c r="H670" s="112"/>
      <c r="I670" s="112"/>
      <c r="J670" s="281">
        <f>J671+J672+J673</f>
        <v>37409.9067</v>
      </c>
      <c r="K670" s="281">
        <f>K671+K672+K673</f>
        <v>37409.9067</v>
      </c>
      <c r="L670" s="265">
        <f>L671+L672+L673</f>
        <v>200</v>
      </c>
      <c r="M670" s="108"/>
      <c r="N670" s="109"/>
      <c r="O670" s="16">
        <f aca="true" t="shared" si="86" ref="O670:O675">J670+K670</f>
        <v>74819.8134</v>
      </c>
    </row>
    <row r="671" spans="5:15" ht="15">
      <c r="E671" s="135"/>
      <c r="F671" s="101">
        <v>1401</v>
      </c>
      <c r="G671" s="101"/>
      <c r="H671" s="101"/>
      <c r="I671" s="101"/>
      <c r="J671" s="277">
        <f>J250</f>
        <v>30877.1</v>
      </c>
      <c r="K671" s="277">
        <f>K250</f>
        <v>30877.1</v>
      </c>
      <c r="L671" s="260">
        <f>L250</f>
        <v>100</v>
      </c>
      <c r="M671" s="110"/>
      <c r="N671" s="109"/>
      <c r="O671" s="16">
        <f t="shared" si="86"/>
        <v>61754.2</v>
      </c>
    </row>
    <row r="672" spans="5:15" ht="15" hidden="1">
      <c r="E672" s="135"/>
      <c r="F672" s="102">
        <v>1402</v>
      </c>
      <c r="G672" s="102"/>
      <c r="H672" s="102"/>
      <c r="I672" s="102"/>
      <c r="J672" s="278"/>
      <c r="K672" s="278"/>
      <c r="L672" s="253"/>
      <c r="M672" s="110"/>
      <c r="N672" s="109"/>
      <c r="O672" s="16">
        <f t="shared" si="86"/>
        <v>0</v>
      </c>
    </row>
    <row r="673" spans="5:15" ht="15">
      <c r="E673" s="135"/>
      <c r="F673" s="106">
        <v>1403</v>
      </c>
      <c r="G673" s="106"/>
      <c r="H673" s="106"/>
      <c r="I673" s="106"/>
      <c r="J673" s="280">
        <f>J258</f>
        <v>6532.806699999999</v>
      </c>
      <c r="K673" s="280">
        <f>K258</f>
        <v>6532.806699999999</v>
      </c>
      <c r="L673" s="262">
        <f>L258</f>
        <v>100</v>
      </c>
      <c r="M673" s="110"/>
      <c r="N673" s="109"/>
      <c r="O673" s="16">
        <f t="shared" si="86"/>
        <v>13065.613399999998</v>
      </c>
    </row>
    <row r="674" spans="5:15" ht="15">
      <c r="E674" s="135"/>
      <c r="F674" s="102">
        <v>9999</v>
      </c>
      <c r="G674" s="102"/>
      <c r="H674" s="102"/>
      <c r="I674" s="102"/>
      <c r="J674" s="278"/>
      <c r="K674" s="278"/>
      <c r="L674" s="253"/>
      <c r="M674" s="102"/>
      <c r="N674" s="58"/>
      <c r="O674" s="16">
        <f t="shared" si="86"/>
        <v>0</v>
      </c>
    </row>
    <row r="675" spans="5:15" ht="15.75" thickBot="1">
      <c r="E675" s="135"/>
      <c r="F675" s="170" t="s">
        <v>435</v>
      </c>
      <c r="G675" s="171" t="e">
        <f>G603+G617+G621+G626+G631+G637+G642+G649+G655</f>
        <v>#REF!</v>
      </c>
      <c r="H675" s="171" t="e">
        <f>H603+H617+H621+H626+H631+H637+H642+H649+H655</f>
        <v>#REF!</v>
      </c>
      <c r="I675" s="171" t="e">
        <f>I603+I617+I621+I626+I631+I637+I642+I649+I655</f>
        <v>#REF!</v>
      </c>
      <c r="J675" s="284">
        <f>J603+J617+J621+J626+J631+J637+J642+J649+J655+J662+J667+J670+J660+J615</f>
        <v>481908.2915499999</v>
      </c>
      <c r="K675" s="284">
        <f>K603+K617+K621+K626+K631+K637+K642+K649+K655+K662+K667+K670+K660+K615</f>
        <v>479431.35440999997</v>
      </c>
      <c r="L675" s="267" t="e">
        <f>L603+L617+L621+L626+L631+L637+L642+L649+L655+L662+L667+L670+L660+L615</f>
        <v>#DIV/0!</v>
      </c>
      <c r="M675" s="120" t="e">
        <f>M603+M617+M621+M626+M631+M637+M642+M649+M655+M662+M667+M670+M660+M615</f>
        <v>#REF!</v>
      </c>
      <c r="N675" s="120" t="e">
        <f>N603+N617+N621+N626+N631+N637+N642+N649+N655+N662+N667+N670+N660+N615</f>
        <v>#REF!</v>
      </c>
      <c r="O675" s="16">
        <f t="shared" si="86"/>
        <v>961339.6459599999</v>
      </c>
    </row>
    <row r="676" spans="6:13" ht="15">
      <c r="F676" s="172"/>
      <c r="G676" s="121"/>
      <c r="I676" s="121"/>
      <c r="K676" s="285"/>
      <c r="L676" s="253">
        <v>408529.82753</v>
      </c>
      <c r="M676" s="121"/>
    </row>
    <row r="677" spans="6:13" ht="15">
      <c r="F677" s="172"/>
      <c r="G677" s="121"/>
      <c r="I677" s="121"/>
      <c r="K677" s="285"/>
      <c r="L677" s="252" t="e">
        <f>L675-L676</f>
        <v>#DIV/0!</v>
      </c>
      <c r="M677" s="121"/>
    </row>
    <row r="678" spans="6:13" ht="15">
      <c r="F678" s="172"/>
      <c r="G678" s="121"/>
      <c r="I678" s="121"/>
      <c r="K678" s="285"/>
      <c r="M678" s="121"/>
    </row>
    <row r="679" spans="6:13" ht="15">
      <c r="F679" s="172"/>
      <c r="G679" s="121"/>
      <c r="I679" s="121"/>
      <c r="K679" s="285"/>
      <c r="M679" s="121"/>
    </row>
    <row r="680" spans="6:13" ht="15">
      <c r="F680" s="172"/>
      <c r="G680" s="121"/>
      <c r="I680" s="121"/>
      <c r="K680" s="285"/>
      <c r="L680" s="252" t="e">
        <f>L40+L90+L128+L189+L213+L339+L352+L360+L377+L390+L414+L466+L481+L512+L520+L543+L584</f>
        <v>#DIV/0!</v>
      </c>
      <c r="M680" s="121"/>
    </row>
    <row r="681" spans="6:13" ht="15">
      <c r="F681" s="172"/>
      <c r="G681" s="121"/>
      <c r="I681" s="121"/>
      <c r="K681" s="285"/>
      <c r="M681" s="121"/>
    </row>
    <row r="682" spans="6:13" ht="15">
      <c r="F682" s="172"/>
      <c r="G682" s="121"/>
      <c r="I682" s="121"/>
      <c r="K682" s="285"/>
      <c r="M682" s="121"/>
    </row>
    <row r="683" spans="7:13" ht="15">
      <c r="G683" s="121"/>
      <c r="I683" s="121"/>
      <c r="K683" s="285"/>
      <c r="M683" s="121"/>
    </row>
    <row r="684" spans="7:13" ht="15">
      <c r="G684" s="121"/>
      <c r="I684" s="121"/>
      <c r="K684" s="285"/>
      <c r="M684" s="121"/>
    </row>
    <row r="685" spans="7:13" ht="15">
      <c r="G685" s="121"/>
      <c r="I685" s="121"/>
      <c r="K685" s="285"/>
      <c r="M685" s="121"/>
    </row>
    <row r="686" spans="7:13" ht="15">
      <c r="G686" s="121"/>
      <c r="I686" s="121"/>
      <c r="K686" s="285"/>
      <c r="M686" s="121"/>
    </row>
    <row r="687" spans="7:13" ht="15">
      <c r="G687" s="121"/>
      <c r="I687" s="121"/>
      <c r="K687" s="285"/>
      <c r="M687" s="121"/>
    </row>
    <row r="688" spans="7:13" ht="15">
      <c r="G688" s="121"/>
      <c r="I688" s="121"/>
      <c r="K688" s="285"/>
      <c r="M688" s="121"/>
    </row>
    <row r="689" spans="7:13" ht="15">
      <c r="G689" s="121"/>
      <c r="I689" s="121"/>
      <c r="K689" s="285"/>
      <c r="M689" s="121"/>
    </row>
    <row r="690" spans="7:13" ht="15">
      <c r="G690" s="121"/>
      <c r="I690" s="121"/>
      <c r="K690" s="285"/>
      <c r="M690" s="121"/>
    </row>
    <row r="691" spans="7:13" ht="15">
      <c r="G691" s="121"/>
      <c r="I691" s="121"/>
      <c r="K691" s="285"/>
      <c r="M691" s="121"/>
    </row>
    <row r="692" spans="7:13" ht="15">
      <c r="G692" s="121"/>
      <c r="I692" s="121"/>
      <c r="K692" s="285"/>
      <c r="M692" s="121"/>
    </row>
    <row r="693" spans="7:13" ht="15">
      <c r="G693" s="121"/>
      <c r="I693" s="121"/>
      <c r="K693" s="285"/>
      <c r="M693" s="121"/>
    </row>
    <row r="694" spans="7:13" ht="15">
      <c r="G694" s="121"/>
      <c r="I694" s="121"/>
      <c r="K694" s="285"/>
      <c r="M694" s="121"/>
    </row>
    <row r="695" spans="7:13" ht="15">
      <c r="G695" s="121"/>
      <c r="I695" s="121"/>
      <c r="K695" s="285"/>
      <c r="M695" s="121"/>
    </row>
    <row r="696" spans="7:13" ht="15">
      <c r="G696" s="121"/>
      <c r="I696" s="121"/>
      <c r="K696" s="285"/>
      <c r="M696" s="121"/>
    </row>
    <row r="697" spans="7:13" ht="15">
      <c r="G697" s="121"/>
      <c r="I697" s="121"/>
      <c r="K697" s="285"/>
      <c r="M697" s="121"/>
    </row>
    <row r="698" spans="7:13" ht="15">
      <c r="G698" s="121"/>
      <c r="I698" s="121"/>
      <c r="K698" s="285"/>
      <c r="M698" s="121"/>
    </row>
    <row r="699" spans="7:13" ht="15">
      <c r="G699" s="121"/>
      <c r="I699" s="121"/>
      <c r="K699" s="285"/>
      <c r="M699" s="121"/>
    </row>
    <row r="700" spans="7:13" ht="15">
      <c r="G700" s="121"/>
      <c r="I700" s="121"/>
      <c r="K700" s="285"/>
      <c r="M700" s="121"/>
    </row>
    <row r="701" spans="7:13" ht="15">
      <c r="G701" s="121"/>
      <c r="I701" s="121"/>
      <c r="K701" s="285"/>
      <c r="M701" s="121"/>
    </row>
    <row r="702" spans="7:13" ht="15">
      <c r="G702" s="121"/>
      <c r="I702" s="121"/>
      <c r="K702" s="285"/>
      <c r="M702" s="121"/>
    </row>
    <row r="703" spans="7:13" ht="15">
      <c r="G703" s="121"/>
      <c r="I703" s="121"/>
      <c r="K703" s="285"/>
      <c r="M703" s="121"/>
    </row>
    <row r="704" spans="7:13" ht="15">
      <c r="G704" s="121"/>
      <c r="I704" s="121"/>
      <c r="K704" s="285"/>
      <c r="M704" s="121"/>
    </row>
    <row r="705" spans="7:13" ht="15">
      <c r="G705" s="121"/>
      <c r="I705" s="121"/>
      <c r="K705" s="285"/>
      <c r="M705" s="121"/>
    </row>
    <row r="706" spans="7:13" ht="15">
      <c r="G706" s="121"/>
      <c r="I706" s="121"/>
      <c r="K706" s="285"/>
      <c r="M706" s="121"/>
    </row>
    <row r="707" spans="7:13" ht="15">
      <c r="G707" s="121"/>
      <c r="I707" s="121"/>
      <c r="K707" s="285"/>
      <c r="M707" s="121"/>
    </row>
    <row r="708" spans="7:13" ht="15">
      <c r="G708" s="121"/>
      <c r="I708" s="121"/>
      <c r="K708" s="285"/>
      <c r="M708" s="121"/>
    </row>
    <row r="709" spans="7:13" ht="15">
      <c r="G709" s="121"/>
      <c r="I709" s="121"/>
      <c r="K709" s="285"/>
      <c r="M709" s="121"/>
    </row>
    <row r="710" spans="7:13" ht="15">
      <c r="G710" s="121"/>
      <c r="I710" s="121"/>
      <c r="K710" s="285"/>
      <c r="M710" s="121"/>
    </row>
    <row r="711" spans="7:13" ht="15">
      <c r="G711" s="121"/>
      <c r="I711" s="121"/>
      <c r="K711" s="285"/>
      <c r="M711" s="121"/>
    </row>
    <row r="712" spans="7:13" ht="15">
      <c r="G712" s="121"/>
      <c r="I712" s="121"/>
      <c r="K712" s="285"/>
      <c r="M712" s="121"/>
    </row>
    <row r="713" spans="7:13" ht="15">
      <c r="G713" s="121"/>
      <c r="I713" s="121"/>
      <c r="K713" s="285"/>
      <c r="M713" s="121"/>
    </row>
    <row r="714" spans="7:13" ht="15">
      <c r="G714" s="121"/>
      <c r="I714" s="121"/>
      <c r="K714" s="285"/>
      <c r="M714" s="121"/>
    </row>
    <row r="715" spans="7:13" ht="15">
      <c r="G715" s="121"/>
      <c r="I715" s="121"/>
      <c r="K715" s="285"/>
      <c r="M715" s="121"/>
    </row>
    <row r="716" spans="7:13" ht="15">
      <c r="G716" s="121"/>
      <c r="I716" s="121"/>
      <c r="K716" s="285"/>
      <c r="M716" s="121"/>
    </row>
    <row r="717" spans="7:13" ht="15">
      <c r="G717" s="121"/>
      <c r="I717" s="121"/>
      <c r="K717" s="285"/>
      <c r="M717" s="121"/>
    </row>
    <row r="718" spans="7:13" ht="15">
      <c r="G718" s="121"/>
      <c r="I718" s="121"/>
      <c r="K718" s="285"/>
      <c r="M718" s="121"/>
    </row>
    <row r="719" spans="7:13" ht="15">
      <c r="G719" s="121"/>
      <c r="I719" s="121"/>
      <c r="K719" s="285"/>
      <c r="M719" s="121"/>
    </row>
    <row r="720" spans="7:13" ht="15">
      <c r="G720" s="121"/>
      <c r="I720" s="121"/>
      <c r="K720" s="285"/>
      <c r="M720" s="121"/>
    </row>
    <row r="721" spans="7:13" ht="15">
      <c r="G721" s="121"/>
      <c r="I721" s="121"/>
      <c r="K721" s="285"/>
      <c r="M721" s="121"/>
    </row>
    <row r="722" spans="7:13" ht="15">
      <c r="G722" s="121"/>
      <c r="I722" s="121"/>
      <c r="K722" s="285"/>
      <c r="M722" s="121"/>
    </row>
    <row r="723" spans="7:13" ht="15">
      <c r="G723" s="121"/>
      <c r="I723" s="121"/>
      <c r="K723" s="285"/>
      <c r="M723" s="121"/>
    </row>
    <row r="724" spans="7:13" ht="15">
      <c r="G724" s="121"/>
      <c r="I724" s="121"/>
      <c r="K724" s="285"/>
      <c r="M724" s="121"/>
    </row>
    <row r="725" spans="7:13" ht="15">
      <c r="G725" s="121"/>
      <c r="I725" s="121"/>
      <c r="K725" s="285"/>
      <c r="M725" s="121"/>
    </row>
    <row r="726" spans="7:13" ht="15">
      <c r="G726" s="121"/>
      <c r="I726" s="121"/>
      <c r="K726" s="285"/>
      <c r="M726" s="121"/>
    </row>
    <row r="727" spans="7:13" ht="15">
      <c r="G727" s="121"/>
      <c r="I727" s="121"/>
      <c r="K727" s="285"/>
      <c r="M727" s="121"/>
    </row>
    <row r="728" spans="7:13" ht="15">
      <c r="G728" s="121"/>
      <c r="I728" s="121"/>
      <c r="K728" s="285"/>
      <c r="M728" s="121"/>
    </row>
    <row r="729" spans="7:13" ht="15">
      <c r="G729" s="121"/>
      <c r="I729" s="121"/>
      <c r="K729" s="285"/>
      <c r="M729" s="121"/>
    </row>
    <row r="730" spans="7:13" ht="15">
      <c r="G730" s="121"/>
      <c r="I730" s="121"/>
      <c r="K730" s="285"/>
      <c r="M730" s="121"/>
    </row>
    <row r="731" spans="7:13" ht="15">
      <c r="G731" s="121"/>
      <c r="I731" s="121"/>
      <c r="K731" s="285"/>
      <c r="M731" s="121"/>
    </row>
    <row r="732" spans="7:13" ht="15">
      <c r="G732" s="121"/>
      <c r="I732" s="121"/>
      <c r="K732" s="285"/>
      <c r="M732" s="121"/>
    </row>
    <row r="733" spans="7:13" ht="15">
      <c r="G733" s="121"/>
      <c r="I733" s="121"/>
      <c r="K733" s="285"/>
      <c r="M733" s="121"/>
    </row>
    <row r="734" spans="7:13" ht="15">
      <c r="G734" s="121"/>
      <c r="I734" s="121"/>
      <c r="K734" s="285"/>
      <c r="M734" s="121"/>
    </row>
    <row r="735" spans="7:13" ht="15">
      <c r="G735" s="121"/>
      <c r="I735" s="121"/>
      <c r="K735" s="285"/>
      <c r="M735" s="121"/>
    </row>
    <row r="736" spans="7:13" ht="15">
      <c r="G736" s="121"/>
      <c r="I736" s="121"/>
      <c r="K736" s="285"/>
      <c r="M736" s="121"/>
    </row>
    <row r="737" spans="7:13" ht="15">
      <c r="G737" s="121"/>
      <c r="I737" s="121"/>
      <c r="K737" s="285"/>
      <c r="M737" s="121"/>
    </row>
    <row r="738" spans="7:13" ht="15">
      <c r="G738" s="121"/>
      <c r="I738" s="121"/>
      <c r="K738" s="285"/>
      <c r="M738" s="121"/>
    </row>
    <row r="739" spans="7:13" ht="15">
      <c r="G739" s="121"/>
      <c r="I739" s="121"/>
      <c r="K739" s="285"/>
      <c r="M739" s="121"/>
    </row>
    <row r="740" spans="7:13" ht="15">
      <c r="G740" s="121"/>
      <c r="I740" s="121"/>
      <c r="K740" s="285"/>
      <c r="M740" s="121"/>
    </row>
    <row r="741" spans="7:13" ht="15">
      <c r="G741" s="121"/>
      <c r="I741" s="121"/>
      <c r="K741" s="285"/>
      <c r="M741" s="121"/>
    </row>
    <row r="742" spans="7:13" ht="15">
      <c r="G742" s="121"/>
      <c r="I742" s="121"/>
      <c r="K742" s="285"/>
      <c r="M742" s="121"/>
    </row>
    <row r="743" spans="7:13" ht="15">
      <c r="G743" s="121"/>
      <c r="I743" s="121"/>
      <c r="K743" s="285"/>
      <c r="M743" s="121"/>
    </row>
    <row r="744" spans="7:13" ht="15">
      <c r="G744" s="121"/>
      <c r="I744" s="121"/>
      <c r="K744" s="285"/>
      <c r="M744" s="121"/>
    </row>
    <row r="745" spans="7:13" ht="15">
      <c r="G745" s="121"/>
      <c r="I745" s="121"/>
      <c r="K745" s="285"/>
      <c r="M745" s="121"/>
    </row>
    <row r="746" spans="7:13" ht="15">
      <c r="G746" s="121"/>
      <c r="I746" s="121"/>
      <c r="K746" s="285"/>
      <c r="M746" s="121"/>
    </row>
    <row r="747" spans="7:13" ht="15">
      <c r="G747" s="121"/>
      <c r="I747" s="121"/>
      <c r="K747" s="285"/>
      <c r="M747" s="121"/>
    </row>
    <row r="748" spans="7:13" ht="15">
      <c r="G748" s="121"/>
      <c r="I748" s="121"/>
      <c r="K748" s="285"/>
      <c r="M748" s="121"/>
    </row>
    <row r="749" spans="7:13" ht="15">
      <c r="G749" s="121"/>
      <c r="I749" s="121"/>
      <c r="K749" s="285"/>
      <c r="M749" s="121"/>
    </row>
    <row r="750" spans="7:13" ht="15">
      <c r="G750" s="121"/>
      <c r="I750" s="121"/>
      <c r="K750" s="285"/>
      <c r="M750" s="121"/>
    </row>
    <row r="751" spans="7:13" ht="15">
      <c r="G751" s="121"/>
      <c r="I751" s="121"/>
      <c r="K751" s="285"/>
      <c r="M751" s="121"/>
    </row>
    <row r="752" spans="7:13" ht="15">
      <c r="G752" s="121"/>
      <c r="I752" s="121"/>
      <c r="K752" s="285"/>
      <c r="M752" s="121"/>
    </row>
    <row r="753" spans="7:13" ht="15">
      <c r="G753" s="121"/>
      <c r="I753" s="121"/>
      <c r="K753" s="285"/>
      <c r="M753" s="121"/>
    </row>
    <row r="754" spans="7:13" ht="15">
      <c r="G754" s="121"/>
      <c r="I754" s="121"/>
      <c r="K754" s="285"/>
      <c r="M754" s="121"/>
    </row>
    <row r="755" spans="7:13" ht="15">
      <c r="G755" s="121"/>
      <c r="I755" s="121"/>
      <c r="K755" s="285"/>
      <c r="M755" s="121"/>
    </row>
    <row r="756" spans="7:13" ht="15">
      <c r="G756" s="121"/>
      <c r="I756" s="121"/>
      <c r="K756" s="285"/>
      <c r="M756" s="121"/>
    </row>
    <row r="757" spans="7:13" ht="15">
      <c r="G757" s="121"/>
      <c r="I757" s="121"/>
      <c r="K757" s="285"/>
      <c r="M757" s="121"/>
    </row>
    <row r="758" spans="7:13" ht="15">
      <c r="G758" s="121"/>
      <c r="I758" s="121"/>
      <c r="K758" s="285"/>
      <c r="M758" s="121"/>
    </row>
    <row r="759" spans="7:13" ht="15">
      <c r="G759" s="121"/>
      <c r="I759" s="121"/>
      <c r="K759" s="285"/>
      <c r="M759" s="121"/>
    </row>
    <row r="760" spans="7:13" ht="15">
      <c r="G760" s="121"/>
      <c r="I760" s="121"/>
      <c r="K760" s="285"/>
      <c r="M760" s="121"/>
    </row>
    <row r="761" spans="7:13" ht="15">
      <c r="G761" s="121"/>
      <c r="I761" s="121"/>
      <c r="K761" s="285"/>
      <c r="M761" s="121"/>
    </row>
    <row r="762" spans="7:13" ht="15">
      <c r="G762" s="121"/>
      <c r="I762" s="121"/>
      <c r="K762" s="285"/>
      <c r="M762" s="121"/>
    </row>
    <row r="763" spans="7:13" ht="15">
      <c r="G763" s="121"/>
      <c r="I763" s="121"/>
      <c r="K763" s="285"/>
      <c r="M763" s="121"/>
    </row>
    <row r="764" spans="7:13" ht="15">
      <c r="G764" s="121"/>
      <c r="I764" s="121"/>
      <c r="K764" s="285"/>
      <c r="M764" s="121"/>
    </row>
    <row r="765" spans="7:13" ht="15">
      <c r="G765" s="121"/>
      <c r="I765" s="121"/>
      <c r="K765" s="285"/>
      <c r="M765" s="121"/>
    </row>
    <row r="766" spans="7:13" ht="15">
      <c r="G766" s="121"/>
      <c r="I766" s="121"/>
      <c r="K766" s="285"/>
      <c r="M766" s="121"/>
    </row>
    <row r="767" spans="7:13" ht="15">
      <c r="G767" s="121"/>
      <c r="I767" s="121"/>
      <c r="K767" s="285"/>
      <c r="M767" s="121"/>
    </row>
    <row r="768" spans="7:13" ht="15">
      <c r="G768" s="121"/>
      <c r="I768" s="121"/>
      <c r="K768" s="285"/>
      <c r="M768" s="121"/>
    </row>
    <row r="769" spans="7:13" ht="15">
      <c r="G769" s="121"/>
      <c r="I769" s="121"/>
      <c r="K769" s="285"/>
      <c r="M769" s="121"/>
    </row>
    <row r="770" spans="7:13" ht="15">
      <c r="G770" s="121"/>
      <c r="I770" s="121"/>
      <c r="K770" s="285"/>
      <c r="M770" s="121"/>
    </row>
    <row r="771" spans="7:13" ht="15">
      <c r="G771" s="121"/>
      <c r="I771" s="121"/>
      <c r="K771" s="285"/>
      <c r="M771" s="121"/>
    </row>
    <row r="772" spans="7:13" ht="15">
      <c r="G772" s="121"/>
      <c r="I772" s="121"/>
      <c r="K772" s="285"/>
      <c r="M772" s="121"/>
    </row>
    <row r="773" spans="7:13" ht="15">
      <c r="G773" s="121"/>
      <c r="I773" s="121"/>
      <c r="K773" s="285"/>
      <c r="M773" s="121"/>
    </row>
    <row r="774" spans="7:13" ht="15">
      <c r="G774" s="121"/>
      <c r="I774" s="121"/>
      <c r="K774" s="285"/>
      <c r="M774" s="121"/>
    </row>
    <row r="775" spans="7:13" ht="15">
      <c r="G775" s="121"/>
      <c r="I775" s="121"/>
      <c r="K775" s="285"/>
      <c r="M775" s="121"/>
    </row>
    <row r="776" spans="7:13" ht="15">
      <c r="G776" s="121"/>
      <c r="I776" s="121"/>
      <c r="K776" s="285"/>
      <c r="M776" s="121"/>
    </row>
    <row r="777" spans="7:13" ht="15">
      <c r="G777" s="121"/>
      <c r="I777" s="121"/>
      <c r="K777" s="285"/>
      <c r="M777" s="121"/>
    </row>
    <row r="778" spans="7:13" ht="15">
      <c r="G778" s="121"/>
      <c r="I778" s="121"/>
      <c r="K778" s="285"/>
      <c r="M778" s="121"/>
    </row>
    <row r="779" spans="7:13" ht="15">
      <c r="G779" s="121"/>
      <c r="I779" s="121"/>
      <c r="K779" s="285"/>
      <c r="M779" s="121"/>
    </row>
    <row r="780" spans="7:13" ht="15">
      <c r="G780" s="121"/>
      <c r="I780" s="121"/>
      <c r="K780" s="285"/>
      <c r="M780" s="121"/>
    </row>
    <row r="781" spans="7:13" ht="15">
      <c r="G781" s="121"/>
      <c r="I781" s="121"/>
      <c r="K781" s="285"/>
      <c r="M781" s="121"/>
    </row>
    <row r="782" spans="7:13" ht="15">
      <c r="G782" s="121"/>
      <c r="I782" s="121"/>
      <c r="K782" s="285"/>
      <c r="M782" s="121"/>
    </row>
    <row r="783" spans="7:13" ht="15">
      <c r="G783" s="121"/>
      <c r="I783" s="121"/>
      <c r="K783" s="285"/>
      <c r="M783" s="121"/>
    </row>
    <row r="784" spans="7:13" ht="15">
      <c r="G784" s="121"/>
      <c r="I784" s="121"/>
      <c r="K784" s="285"/>
      <c r="M784" s="121"/>
    </row>
    <row r="785" spans="7:13" ht="15">
      <c r="G785" s="121"/>
      <c r="I785" s="121"/>
      <c r="K785" s="285"/>
      <c r="M785" s="121"/>
    </row>
    <row r="786" spans="7:13" ht="15">
      <c r="G786" s="121"/>
      <c r="I786" s="121"/>
      <c r="K786" s="285"/>
      <c r="M786" s="121"/>
    </row>
    <row r="787" spans="7:13" ht="15">
      <c r="G787" s="121"/>
      <c r="I787" s="121"/>
      <c r="K787" s="285"/>
      <c r="M787" s="121"/>
    </row>
    <row r="788" spans="7:13" ht="15">
      <c r="G788" s="121"/>
      <c r="I788" s="121"/>
      <c r="K788" s="285"/>
      <c r="M788" s="121"/>
    </row>
    <row r="789" spans="7:13" ht="15">
      <c r="G789" s="121"/>
      <c r="I789" s="121"/>
      <c r="K789" s="285"/>
      <c r="M789" s="121"/>
    </row>
    <row r="790" spans="7:13" ht="15">
      <c r="G790" s="121"/>
      <c r="I790" s="121"/>
      <c r="K790" s="285"/>
      <c r="M790" s="121"/>
    </row>
    <row r="791" spans="7:13" ht="15">
      <c r="G791" s="121"/>
      <c r="I791" s="121"/>
      <c r="K791" s="285"/>
      <c r="M791" s="121"/>
    </row>
    <row r="792" spans="7:13" ht="15">
      <c r="G792" s="121"/>
      <c r="I792" s="121"/>
      <c r="K792" s="285"/>
      <c r="M792" s="121"/>
    </row>
    <row r="793" spans="7:13" ht="15">
      <c r="G793" s="121"/>
      <c r="I793" s="121"/>
      <c r="K793" s="285"/>
      <c r="M793" s="121"/>
    </row>
    <row r="794" spans="7:13" ht="15">
      <c r="G794" s="121"/>
      <c r="I794" s="121"/>
      <c r="K794" s="285"/>
      <c r="M794" s="121"/>
    </row>
    <row r="795" spans="7:13" ht="15">
      <c r="G795" s="121"/>
      <c r="I795" s="121"/>
      <c r="K795" s="285"/>
      <c r="M795" s="121"/>
    </row>
    <row r="796" spans="7:13" ht="15">
      <c r="G796" s="121"/>
      <c r="I796" s="121"/>
      <c r="K796" s="285"/>
      <c r="M796" s="121"/>
    </row>
    <row r="797" spans="7:13" ht="15">
      <c r="G797" s="121"/>
      <c r="I797" s="121"/>
      <c r="K797" s="285"/>
      <c r="M797" s="121"/>
    </row>
    <row r="798" spans="7:13" ht="15">
      <c r="G798" s="121"/>
      <c r="I798" s="121"/>
      <c r="K798" s="285"/>
      <c r="M798" s="121"/>
    </row>
    <row r="799" spans="7:13" ht="15">
      <c r="G799" s="121"/>
      <c r="I799" s="121"/>
      <c r="K799" s="285"/>
      <c r="M799" s="121"/>
    </row>
    <row r="800" spans="7:13" ht="15">
      <c r="G800" s="121"/>
      <c r="I800" s="121"/>
      <c r="K800" s="285"/>
      <c r="M800" s="121"/>
    </row>
    <row r="801" spans="7:13" ht="15">
      <c r="G801" s="121"/>
      <c r="I801" s="121"/>
      <c r="K801" s="285"/>
      <c r="M801" s="121"/>
    </row>
    <row r="802" spans="7:13" ht="15">
      <c r="G802" s="121"/>
      <c r="I802" s="121"/>
      <c r="K802" s="285"/>
      <c r="M802" s="121"/>
    </row>
    <row r="803" spans="7:13" ht="15">
      <c r="G803" s="121"/>
      <c r="I803" s="121"/>
      <c r="K803" s="285"/>
      <c r="M803" s="121"/>
    </row>
    <row r="804" spans="7:13" ht="15">
      <c r="G804" s="121"/>
      <c r="I804" s="121"/>
      <c r="K804" s="285"/>
      <c r="M804" s="121"/>
    </row>
    <row r="805" spans="7:13" ht="15">
      <c r="G805" s="121"/>
      <c r="I805" s="121"/>
      <c r="K805" s="285"/>
      <c r="M805" s="121"/>
    </row>
    <row r="806" spans="7:13" ht="15">
      <c r="G806" s="121"/>
      <c r="I806" s="121"/>
      <c r="K806" s="285"/>
      <c r="M806" s="121"/>
    </row>
    <row r="807" spans="7:13" ht="15">
      <c r="G807" s="121"/>
      <c r="I807" s="121"/>
      <c r="K807" s="285"/>
      <c r="M807" s="121"/>
    </row>
    <row r="808" spans="7:13" ht="15">
      <c r="G808" s="121"/>
      <c r="I808" s="121"/>
      <c r="K808" s="285"/>
      <c r="M808" s="121"/>
    </row>
    <row r="809" spans="7:13" ht="15">
      <c r="G809" s="121"/>
      <c r="I809" s="121"/>
      <c r="K809" s="285"/>
      <c r="M809" s="121"/>
    </row>
    <row r="810" spans="7:13" ht="15">
      <c r="G810" s="121"/>
      <c r="I810" s="121"/>
      <c r="K810" s="285"/>
      <c r="M810" s="121"/>
    </row>
    <row r="811" spans="7:13" ht="15">
      <c r="G811" s="121"/>
      <c r="I811" s="121"/>
      <c r="K811" s="285"/>
      <c r="M811" s="121"/>
    </row>
    <row r="812" spans="7:13" ht="15">
      <c r="G812" s="121"/>
      <c r="I812" s="121"/>
      <c r="K812" s="285"/>
      <c r="M812" s="121"/>
    </row>
    <row r="813" spans="7:13" ht="15">
      <c r="G813" s="121"/>
      <c r="I813" s="121"/>
      <c r="K813" s="285"/>
      <c r="M813" s="121"/>
    </row>
    <row r="814" spans="7:13" ht="15">
      <c r="G814" s="121"/>
      <c r="I814" s="121"/>
      <c r="K814" s="285"/>
      <c r="M814" s="121"/>
    </row>
    <row r="815" spans="7:13" ht="15">
      <c r="G815" s="121"/>
      <c r="I815" s="121"/>
      <c r="K815" s="285"/>
      <c r="M815" s="121"/>
    </row>
    <row r="816" spans="7:13" ht="15">
      <c r="G816" s="121"/>
      <c r="I816" s="121"/>
      <c r="K816" s="285"/>
      <c r="M816" s="121"/>
    </row>
    <row r="817" spans="7:13" ht="15">
      <c r="G817" s="121"/>
      <c r="I817" s="121"/>
      <c r="K817" s="285"/>
      <c r="M817" s="121"/>
    </row>
    <row r="818" spans="7:13" ht="15">
      <c r="G818" s="121"/>
      <c r="I818" s="121"/>
      <c r="K818" s="285"/>
      <c r="M818" s="121"/>
    </row>
    <row r="819" spans="7:13" ht="15">
      <c r="G819" s="121"/>
      <c r="I819" s="121"/>
      <c r="K819" s="285"/>
      <c r="M819" s="121"/>
    </row>
    <row r="820" spans="7:13" ht="15">
      <c r="G820" s="121"/>
      <c r="I820" s="121"/>
      <c r="K820" s="285"/>
      <c r="M820" s="121"/>
    </row>
    <row r="821" spans="7:13" ht="15">
      <c r="G821" s="121"/>
      <c r="I821" s="121"/>
      <c r="K821" s="285"/>
      <c r="M821" s="121"/>
    </row>
    <row r="822" spans="7:13" ht="15">
      <c r="G822" s="121"/>
      <c r="I822" s="121"/>
      <c r="K822" s="285"/>
      <c r="M822" s="121"/>
    </row>
    <row r="823" spans="7:13" ht="15">
      <c r="G823" s="121"/>
      <c r="I823" s="121"/>
      <c r="K823" s="285"/>
      <c r="M823" s="121"/>
    </row>
    <row r="824" spans="7:13" ht="15">
      <c r="G824" s="121"/>
      <c r="I824" s="121"/>
      <c r="K824" s="285"/>
      <c r="M824" s="121"/>
    </row>
    <row r="825" spans="7:13" ht="15">
      <c r="G825" s="121"/>
      <c r="I825" s="121"/>
      <c r="K825" s="285"/>
      <c r="M825" s="121"/>
    </row>
    <row r="826" spans="7:13" ht="15">
      <c r="G826" s="121"/>
      <c r="I826" s="121"/>
      <c r="K826" s="285"/>
      <c r="M826" s="121"/>
    </row>
    <row r="827" spans="7:13" ht="15">
      <c r="G827" s="121"/>
      <c r="I827" s="121"/>
      <c r="K827" s="285"/>
      <c r="M827" s="121"/>
    </row>
    <row r="828" spans="7:13" ht="15">
      <c r="G828" s="121"/>
      <c r="I828" s="121"/>
      <c r="K828" s="285"/>
      <c r="M828" s="121"/>
    </row>
    <row r="829" spans="7:13" ht="15">
      <c r="G829" s="121"/>
      <c r="I829" s="121"/>
      <c r="K829" s="285"/>
      <c r="M829" s="121"/>
    </row>
    <row r="830" spans="7:13" ht="15">
      <c r="G830" s="121"/>
      <c r="I830" s="121"/>
      <c r="K830" s="285"/>
      <c r="M830" s="121"/>
    </row>
    <row r="831" spans="7:13" ht="15">
      <c r="G831" s="121"/>
      <c r="I831" s="121"/>
      <c r="K831" s="285"/>
      <c r="M831" s="121"/>
    </row>
    <row r="832" spans="7:13" ht="15">
      <c r="G832" s="121"/>
      <c r="I832" s="121"/>
      <c r="K832" s="285"/>
      <c r="M832" s="121"/>
    </row>
    <row r="833" spans="7:13" ht="15">
      <c r="G833" s="121"/>
      <c r="I833" s="121"/>
      <c r="K833" s="285"/>
      <c r="M833" s="121"/>
    </row>
    <row r="834" spans="7:13" ht="15">
      <c r="G834" s="121"/>
      <c r="I834" s="121"/>
      <c r="K834" s="285"/>
      <c r="M834" s="121"/>
    </row>
    <row r="835" spans="7:13" ht="15">
      <c r="G835" s="121"/>
      <c r="I835" s="121"/>
      <c r="K835" s="285"/>
      <c r="M835" s="121"/>
    </row>
    <row r="836" spans="7:13" ht="15">
      <c r="G836" s="121"/>
      <c r="I836" s="121"/>
      <c r="K836" s="285"/>
      <c r="M836" s="121"/>
    </row>
    <row r="837" spans="7:13" ht="15">
      <c r="G837" s="121"/>
      <c r="I837" s="121"/>
      <c r="K837" s="285"/>
      <c r="M837" s="121"/>
    </row>
    <row r="838" spans="7:13" ht="15">
      <c r="G838" s="121"/>
      <c r="I838" s="121"/>
      <c r="K838" s="285"/>
      <c r="M838" s="121"/>
    </row>
    <row r="839" spans="7:13" ht="15">
      <c r="G839" s="121"/>
      <c r="I839" s="121"/>
      <c r="K839" s="285"/>
      <c r="M839" s="121"/>
    </row>
    <row r="840" spans="7:13" ht="15">
      <c r="G840" s="121"/>
      <c r="I840" s="121"/>
      <c r="K840" s="285"/>
      <c r="M840" s="121"/>
    </row>
    <row r="841" spans="7:13" ht="15">
      <c r="G841" s="121"/>
      <c r="I841" s="121"/>
      <c r="K841" s="285"/>
      <c r="M841" s="121"/>
    </row>
    <row r="842" spans="7:13" ht="15">
      <c r="G842" s="121"/>
      <c r="I842" s="121"/>
      <c r="K842" s="285"/>
      <c r="M842" s="121"/>
    </row>
    <row r="843" spans="7:13" ht="15">
      <c r="G843" s="121"/>
      <c r="I843" s="121"/>
      <c r="K843" s="285"/>
      <c r="M843" s="121"/>
    </row>
    <row r="844" spans="7:13" ht="15">
      <c r="G844" s="121"/>
      <c r="I844" s="121"/>
      <c r="K844" s="285"/>
      <c r="M844" s="121"/>
    </row>
    <row r="845" spans="7:13" ht="15">
      <c r="G845" s="121"/>
      <c r="I845" s="121"/>
      <c r="K845" s="285"/>
      <c r="M845" s="121"/>
    </row>
    <row r="846" spans="7:13" ht="15">
      <c r="G846" s="121"/>
      <c r="I846" s="121"/>
      <c r="K846" s="285"/>
      <c r="M846" s="121"/>
    </row>
    <row r="847" spans="7:13" ht="15">
      <c r="G847" s="121"/>
      <c r="I847" s="121"/>
      <c r="K847" s="285"/>
      <c r="M847" s="121"/>
    </row>
    <row r="848" spans="7:13" ht="15">
      <c r="G848" s="121"/>
      <c r="I848" s="121"/>
      <c r="K848" s="285"/>
      <c r="M848" s="121"/>
    </row>
    <row r="849" spans="7:13" ht="15">
      <c r="G849" s="121"/>
      <c r="I849" s="121"/>
      <c r="K849" s="285"/>
      <c r="M849" s="121"/>
    </row>
    <row r="850" spans="7:13" ht="15">
      <c r="G850" s="121"/>
      <c r="I850" s="121"/>
      <c r="K850" s="285"/>
      <c r="M850" s="121"/>
    </row>
    <row r="851" spans="7:13" ht="15">
      <c r="G851" s="121"/>
      <c r="I851" s="121"/>
      <c r="K851" s="285"/>
      <c r="M851" s="121"/>
    </row>
    <row r="852" spans="7:13" ht="15">
      <c r="G852" s="121"/>
      <c r="I852" s="121"/>
      <c r="K852" s="285"/>
      <c r="M852" s="121"/>
    </row>
    <row r="853" spans="7:13" ht="15">
      <c r="G853" s="121"/>
      <c r="I853" s="121"/>
      <c r="K853" s="285"/>
      <c r="M853" s="121"/>
    </row>
    <row r="854" spans="7:13" ht="15">
      <c r="G854" s="121"/>
      <c r="I854" s="121"/>
      <c r="K854" s="285"/>
      <c r="M854" s="121"/>
    </row>
    <row r="855" spans="7:13" ht="15">
      <c r="G855" s="121"/>
      <c r="I855" s="121"/>
      <c r="K855" s="285"/>
      <c r="M855" s="121"/>
    </row>
    <row r="856" spans="7:13" ht="15">
      <c r="G856" s="121"/>
      <c r="I856" s="121"/>
      <c r="K856" s="285"/>
      <c r="M856" s="121"/>
    </row>
    <row r="857" spans="7:13" ht="15">
      <c r="G857" s="121"/>
      <c r="I857" s="121"/>
      <c r="K857" s="285"/>
      <c r="M857" s="121"/>
    </row>
    <row r="858" spans="7:13" ht="15">
      <c r="G858" s="121"/>
      <c r="I858" s="121"/>
      <c r="K858" s="285"/>
      <c r="M858" s="121"/>
    </row>
    <row r="859" spans="7:13" ht="15">
      <c r="G859" s="121"/>
      <c r="I859" s="121"/>
      <c r="K859" s="285"/>
      <c r="M859" s="121"/>
    </row>
    <row r="860" spans="7:13" ht="15">
      <c r="G860" s="121"/>
      <c r="I860" s="121"/>
      <c r="K860" s="285"/>
      <c r="M860" s="121"/>
    </row>
    <row r="861" spans="7:13" ht="15">
      <c r="G861" s="121"/>
      <c r="I861" s="121"/>
      <c r="K861" s="285"/>
      <c r="M861" s="121"/>
    </row>
    <row r="862" spans="7:13" ht="15">
      <c r="G862" s="121"/>
      <c r="I862" s="121"/>
      <c r="K862" s="285"/>
      <c r="M862" s="121"/>
    </row>
    <row r="863" spans="7:13" ht="15">
      <c r="G863" s="121"/>
      <c r="I863" s="121"/>
      <c r="K863" s="285"/>
      <c r="M863" s="121"/>
    </row>
    <row r="864" spans="7:13" ht="15">
      <c r="G864" s="121"/>
      <c r="I864" s="121"/>
      <c r="K864" s="285"/>
      <c r="M864" s="121"/>
    </row>
    <row r="865" spans="7:13" ht="15">
      <c r="G865" s="121"/>
      <c r="I865" s="121"/>
      <c r="K865" s="285"/>
      <c r="M865" s="121"/>
    </row>
    <row r="866" spans="7:13" ht="15">
      <c r="G866" s="121"/>
      <c r="I866" s="121"/>
      <c r="K866" s="285"/>
      <c r="M866" s="121"/>
    </row>
    <row r="867" spans="7:13" ht="15">
      <c r="G867" s="121"/>
      <c r="I867" s="121"/>
      <c r="K867" s="285"/>
      <c r="M867" s="121"/>
    </row>
    <row r="868" spans="7:13" ht="15">
      <c r="G868" s="121"/>
      <c r="I868" s="121"/>
      <c r="K868" s="285"/>
      <c r="M868" s="121"/>
    </row>
    <row r="869" spans="7:13" ht="15">
      <c r="G869" s="121"/>
      <c r="I869" s="121"/>
      <c r="K869" s="285"/>
      <c r="M869" s="121"/>
    </row>
    <row r="870" spans="7:13" ht="15">
      <c r="G870" s="121"/>
      <c r="I870" s="121"/>
      <c r="K870" s="285"/>
      <c r="M870" s="121"/>
    </row>
    <row r="871" spans="7:13" ht="15">
      <c r="G871" s="121"/>
      <c r="I871" s="121"/>
      <c r="K871" s="285"/>
      <c r="M871" s="121"/>
    </row>
    <row r="872" spans="7:13" ht="15">
      <c r="G872" s="121"/>
      <c r="I872" s="121"/>
      <c r="K872" s="285"/>
      <c r="M872" s="121"/>
    </row>
    <row r="873" spans="7:13" ht="15">
      <c r="G873" s="121"/>
      <c r="I873" s="121"/>
      <c r="K873" s="285"/>
      <c r="M873" s="121"/>
    </row>
    <row r="874" spans="7:13" ht="15">
      <c r="G874" s="121"/>
      <c r="I874" s="121"/>
      <c r="K874" s="285"/>
      <c r="M874" s="121"/>
    </row>
    <row r="875" spans="7:13" ht="15">
      <c r="G875" s="121"/>
      <c r="I875" s="121"/>
      <c r="K875" s="285"/>
      <c r="M875" s="121"/>
    </row>
    <row r="876" spans="7:13" ht="15">
      <c r="G876" s="121"/>
      <c r="I876" s="121"/>
      <c r="K876" s="285"/>
      <c r="M876" s="121"/>
    </row>
    <row r="877" spans="7:13" ht="15">
      <c r="G877" s="121"/>
      <c r="I877" s="121"/>
      <c r="K877" s="285"/>
      <c r="M877" s="121"/>
    </row>
    <row r="878" spans="7:13" ht="15">
      <c r="G878" s="121"/>
      <c r="I878" s="121"/>
      <c r="K878" s="285"/>
      <c r="M878" s="121"/>
    </row>
    <row r="879" spans="7:13" ht="15">
      <c r="G879" s="121"/>
      <c r="I879" s="121"/>
      <c r="K879" s="285"/>
      <c r="M879" s="121"/>
    </row>
    <row r="880" spans="7:13" ht="15">
      <c r="G880" s="121"/>
      <c r="I880" s="121"/>
      <c r="K880" s="285"/>
      <c r="M880" s="121"/>
    </row>
    <row r="881" spans="7:13" ht="15">
      <c r="G881" s="121"/>
      <c r="I881" s="121"/>
      <c r="K881" s="285"/>
      <c r="M881" s="121"/>
    </row>
    <row r="882" spans="7:13" ht="15">
      <c r="G882" s="121"/>
      <c r="I882" s="121"/>
      <c r="K882" s="285"/>
      <c r="M882" s="121"/>
    </row>
    <row r="883" spans="7:13" ht="15">
      <c r="G883" s="121"/>
      <c r="I883" s="121"/>
      <c r="K883" s="285"/>
      <c r="M883" s="121"/>
    </row>
    <row r="884" spans="7:13" ht="15">
      <c r="G884" s="121"/>
      <c r="I884" s="121"/>
      <c r="K884" s="285"/>
      <c r="M884" s="121"/>
    </row>
  </sheetData>
  <sheetProtection/>
  <mergeCells count="17">
    <mergeCell ref="E1:I1"/>
    <mergeCell ref="E2:I2"/>
    <mergeCell ref="M2:Q2"/>
    <mergeCell ref="J3:L3"/>
    <mergeCell ref="A5:L5"/>
    <mergeCell ref="A7:A9"/>
    <mergeCell ref="B7:F7"/>
    <mergeCell ref="G7:G9"/>
    <mergeCell ref="H7:H9"/>
    <mergeCell ref="I7:I9"/>
    <mergeCell ref="A4:L4"/>
    <mergeCell ref="J7:J9"/>
    <mergeCell ref="K7:K9"/>
    <mergeCell ref="L7:L9"/>
    <mergeCell ref="M7:M9"/>
    <mergeCell ref="N7:N9"/>
    <mergeCell ref="B8:F8"/>
  </mergeCells>
  <printOptions/>
  <pageMargins left="0.7874015748031497" right="0" top="0.1968503937007874" bottom="0" header="0" footer="0"/>
  <pageSetup horizontalDpi="600" verticalDpi="600" orientation="portrait" paperSize="9" scale="75" r:id="rId1"/>
  <colBreaks count="1" manualBreakCount="1">
    <brk id="12" min="1" max="5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Шалдин Евгений Юрьевич</cp:lastModifiedBy>
  <cp:lastPrinted>2013-06-13T12:18:29Z</cp:lastPrinted>
  <dcterms:created xsi:type="dcterms:W3CDTF">1996-10-08T23:32:33Z</dcterms:created>
  <dcterms:modified xsi:type="dcterms:W3CDTF">2013-06-25T18:36:09Z</dcterms:modified>
  <cp:category/>
  <cp:version/>
  <cp:contentType/>
  <cp:contentStatus/>
</cp:coreProperties>
</file>