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firstSheet="4" activeTab="8"/>
  </bookViews>
  <sheets>
    <sheet name="прилож 1" sheetId="1" r:id="rId1"/>
    <sheet name="прил 2 (2012)" sheetId="2" r:id="rId2"/>
    <sheet name="прилож 3" sheetId="3" r:id="rId3"/>
    <sheet name="прил4(2013-2014)" sheetId="4" r:id="rId4"/>
    <sheet name="прилож 6" sheetId="5" r:id="rId5"/>
    <sheet name="Прил 8 (2012)" sheetId="6" r:id="rId6"/>
    <sheet name="Прил9(2013-2014)" sheetId="7" r:id="rId7"/>
    <sheet name="прил10 (2012 " sheetId="8" r:id="rId8"/>
    <sheet name="прил11 (2013-2014)" sheetId="9" r:id="rId9"/>
    <sheet name="прилож &quot;20" sheetId="10" r:id="rId10"/>
    <sheet name="прилож 21" sheetId="11" r:id="rId11"/>
    <sheet name="прил 22" sheetId="12" r:id="rId12"/>
    <sheet name="Лист3" sheetId="13" r:id="rId13"/>
  </sheets>
  <externalReferences>
    <externalReference r:id="rId16"/>
  </externalReferences>
  <definedNames>
    <definedName name="_xlnm.Print_Titles" localSheetId="5">'Прил 8 (2012)'!$8:$8</definedName>
    <definedName name="_xlnm.Print_Titles" localSheetId="7">'прил10 (2012 '!$10:$10</definedName>
    <definedName name="_xlnm.Print_Titles" localSheetId="8">'прил11 (2013-2014)'!$8:$8</definedName>
    <definedName name="_xlnm.Print_Titles" localSheetId="6">'Прил9(2013-2014)'!$8:$8</definedName>
    <definedName name="_xlnm.Print_Area" localSheetId="5">'Прил 8 (2012)'!$A$1:$F$63</definedName>
    <definedName name="_xlnm.Print_Area" localSheetId="7">'прил10 (2012 '!$A$1:$L$633</definedName>
    <definedName name="_xlnm.Print_Area" localSheetId="8">'прил11 (2013-2014)'!$A$1:$O$612</definedName>
    <definedName name="_xlnm.Print_Area" localSheetId="6">'Прил9(2013-2014)'!$A$1:$G$63</definedName>
  </definedNames>
  <calcPr fullCalcOnLoad="1"/>
</workbook>
</file>

<file path=xl/sharedStrings.xml><?xml version="1.0" encoding="utf-8"?>
<sst xmlns="http://schemas.openxmlformats.org/spreadsheetml/2006/main" count="7717" uniqueCount="1085">
  <si>
    <t>Наименование источника</t>
  </si>
  <si>
    <t>Код бюджетной классификации</t>
  </si>
  <si>
    <t>сумма, тыс. руб.</t>
  </si>
  <si>
    <t>Дефицит бюджета</t>
  </si>
  <si>
    <t>Источники внутреннего финансирования дефицита бюджета: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</si>
  <si>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</si>
  <si>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</si>
  <si>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</si>
  <si>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</si>
  <si>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муниципального района кредитов от кредитных организаций в валюте Российской Федерации</t>
  </si>
  <si>
    <t>000 00 00 00 00 00 0000 000</t>
  </si>
  <si>
    <t>092 01 02 00 00 00 0000 000</t>
  </si>
  <si>
    <t>092 01 02 00 00 00 0000 700</t>
  </si>
  <si>
    <t>092 01 02 00 00 05 0000 710</t>
  </si>
  <si>
    <t>092 01 02 00 00 00 0000 800</t>
  </si>
  <si>
    <t>092 01 0200 00 05 0000 810</t>
  </si>
  <si>
    <t>Бюджетные кредиты от других бюджетов бюджетной системы Российской Федерации</t>
  </si>
  <si>
    <t>092 01 03 00 00 00 0000 000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</si>
  <si>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</si>
  <si>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092 01 03 00 00 00 0000 700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</si>
  <si>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</si>
  <si>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092 01 03 00 00 05 0000 710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</si>
  <si>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</si>
  <si>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092 01 03 00 00 00 0000 800</t>
  </si>
  <si>
    <t>Погашение бюджетами муниципального района кредитов от других бюджетов бюджетной системы Российской Федерации в валюте Российской Федерации</t>
  </si>
  <si>
    <t>092 01 03 00 00 05 0000 810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</si>
  <si>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</si>
  <si>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</si>
  <si>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находящихся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</si>
  <si>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</si>
  <si>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166 01 06 01 00 00 0000 000</t>
  </si>
  <si>
    <t>166 01 06 01 00 00 0000 630</t>
  </si>
  <si>
    <t>Средства от продажи акций и иных форм участия в капитале, находящихся в собственности муниципального района</t>
  </si>
  <si>
    <t>166 01 06 01 00 05 0000 630</t>
  </si>
  <si>
    <t>Бюджетные кредиты, предоставленные внутри страны в валюте Российской Федерации</t>
  </si>
  <si>
    <t>092 01 06 05 00 00 0000 000</t>
  </si>
  <si>
    <t>Возврат бюджетных кредитов, предоставленных внутри страны в валюте Российской Федерации</t>
  </si>
  <si>
    <t>092 01 06 05 00 00 0000 600</t>
  </si>
  <si>
    <t>092 01 06 05 01 05 0000 640</t>
  </si>
  <si>
    <t>092 01 06 05 02 05 0000 640</t>
  </si>
  <si>
    <t>Предоставление бюджетных кредитов внутри страны в валюте Российской Федерации</t>
  </si>
  <si>
    <t>092 01 06 05 00 00 0000 500</t>
  </si>
  <si>
    <t>092 01 06 05 02 05 0000 540</t>
  </si>
  <si>
    <t>Приложение 1</t>
  </si>
  <si>
    <t>2011 год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</si>
  <si>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</si>
  <si>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</si>
  <si>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</si>
  <si>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Сумма, тыс. руб.</t>
  </si>
  <si>
    <t xml:space="preserve">Перечень главных администраторов источников финансирования дефицита бюджета </t>
  </si>
  <si>
    <t>муниципального образования "Онгудайский район"</t>
  </si>
  <si>
    <t>Код главы</t>
  </si>
  <si>
    <t>Код группы, подгруппы, статьи и вида источников</t>
  </si>
  <si>
    <t>092</t>
  </si>
  <si>
    <t>Предоставление бюджетных кредитов юридическим лицам из бюджетов муниципальных районов в валюте Российской Федерации</t>
  </si>
  <si>
    <t>092 01 06 05 01 05 0000 540</t>
  </si>
  <si>
    <t>01 03 00 00 05 0000 710</t>
  </si>
  <si>
    <t>01 06 05 01 05 0000 640</t>
  </si>
  <si>
    <t>01 06 05 02 05 0000 640</t>
  </si>
  <si>
    <t>01 0200 00 05 0000 810</t>
  </si>
  <si>
    <t>01 03 00 00 05 0000 810</t>
  </si>
  <si>
    <t>01 06 05 01 05 0000 540</t>
  </si>
  <si>
    <t>Управление по экономике и финансам администрации муниципального образования "Онгудайский район"</t>
  </si>
  <si>
    <t>Объем средств, направляемых на погашение основной суммы долга</t>
  </si>
  <si>
    <t>Внутренние заимствования</t>
  </si>
  <si>
    <t>в том числе:</t>
  </si>
  <si>
    <t>Объем привлечения средств</t>
  </si>
  <si>
    <t>(тыс. рублей)</t>
  </si>
  <si>
    <t>Приложение 6</t>
  </si>
  <si>
    <t>Задолженность бюджета муниципального образования "Онгудайский район" по переоформленной в государственный внутренний долг Российской Федерации под гарантии Правительства Республики Алтай задолженности сельскохозяйственных организаций всех организационно-правовых форм и других организаций потребительской кооперации и организаций, осуществляющих завоз (хранение и реализацию) продукции (товаров) в районы Крайнего Севера и приравненные к ним местности, по централизованным кредитам, выданным в 1992-1994 годах и начисленным по ним процентам.</t>
  </si>
  <si>
    <t>2012 год</t>
  </si>
  <si>
    <t>Приложение №3</t>
  </si>
  <si>
    <t>Приложение 20</t>
  </si>
  <si>
    <t>к решению сессии Совета депутатов района (аймака) "О бюджете муниципального образования "Онгудайский район" на 2010 год и на плановый период 2011 и 2012 годов" от 30.11.2009г. № 15-3</t>
  </si>
  <si>
    <t>2013 год</t>
  </si>
  <si>
    <t>дефицит</t>
  </si>
  <si>
    <t>0,9 процент</t>
  </si>
  <si>
    <t>2,8 процент</t>
  </si>
  <si>
    <t>Приложение 21</t>
  </si>
  <si>
    <t>01 03 00 00 00 0000 700</t>
  </si>
  <si>
    <t>Погашение бюджетных кредитов от других бюджетов бюджетной системы Российской Федерации в валюте Российской Федерации</t>
  </si>
  <si>
    <t>01 03 00 00 00 0000 800</t>
  </si>
  <si>
    <t>01 06 05 00 00 0000 600</t>
  </si>
  <si>
    <t>к решению  "О бюджете муниципального образования "Онгудайский район" на 2012 год и на плановый период 2013 и 2014 годов"</t>
  </si>
  <si>
    <t xml:space="preserve">к решению "О бюджете муниципального образования "Онгудайский район" на 2012 год и на плановый период 2013 и 2014 годов" </t>
  </si>
  <si>
    <t>2014 год</t>
  </si>
  <si>
    <t>Программа внутренних заимствований муниципального образования "Онгудайский район" на 2012 год</t>
  </si>
  <si>
    <t xml:space="preserve">к решению  "О бюджете муниципального образования "Онгудайский район"на 2012 год и на плановый период 2013 и 2014 годов" </t>
  </si>
  <si>
    <t xml:space="preserve">к решению  "О бюджете муниципального образования "Онгудайский район" на 2012 год и на плановый период 2013 и 2014 годов" </t>
  </si>
  <si>
    <t>к решению  "О бюджете муниципального образования "Онгудайский район"на 2012 год и на плановый период 2013 и 2014 годов"</t>
  </si>
  <si>
    <t>Источники финансирования дефицита  бюджета  МО "Онгудайский район" на  плановый период 2013 и 2014 годы год</t>
  </si>
  <si>
    <t>проект</t>
  </si>
  <si>
    <t>Источники финансирования дефицита  бюджета  муниципального образования  "Онгудайский район" на 2012 год</t>
  </si>
  <si>
    <t>Наименование</t>
  </si>
  <si>
    <t>Программа внутренних заимствований муниципального образования "Онгудайский район" на  плановый период 2013 и 2014 годы</t>
  </si>
  <si>
    <t>Приложение 2</t>
  </si>
  <si>
    <t xml:space="preserve">к  решению "О бюджете муниципального образования "Онгудайский район" на 2012 год и на плановый период 2013-2014 годов" </t>
  </si>
  <si>
    <t>тыс.руб</t>
  </si>
  <si>
    <t>Наименование показателя</t>
  </si>
  <si>
    <t>Код дохода по КД</t>
  </si>
  <si>
    <t>Утвержденная сумма</t>
  </si>
  <si>
    <t>Изменение (+;-)</t>
  </si>
  <si>
    <t>Сумма с учетом изменений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</si>
  <si>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</si>
  <si>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</si>
  <si>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</si>
  <si>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</si>
  <si>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НАЛОГОВЫЕ  ДОХОДЫ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</si>
  <si>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</si>
  <si>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</si>
  <si>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</si>
  <si>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</si>
  <si>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</si>
  <si>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</si>
  <si>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</si>
  <si>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</si>
  <si>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</si>
  <si>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</si>
  <si>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</si>
  <si>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</si>
  <si>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</si>
  <si>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000  1  05  01000  00  0000  110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</si>
  <si>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</si>
  <si>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</si>
  <si>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</si>
  <si>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000  1  05  02000  00  0000  110</t>
  </si>
  <si>
    <t>Единый сельскохозяйственный налог</t>
  </si>
  <si>
    <t>000  1  05  03000  00  0000  110</t>
  </si>
  <si>
    <t>НАЛОГИ НА ИМУЩЕСТВО</t>
  </si>
  <si>
    <t>000  1  06  00000  00  0000  000</t>
  </si>
  <si>
    <t>Налог на имущество организаций</t>
  </si>
  <si>
    <t>000  1  06  02000  02  0000  110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</si>
  <si>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</si>
  <si>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</si>
  <si>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Транспортный налог</t>
  </si>
  <si>
    <t>000  1  06  04000  02  0000  110</t>
  </si>
  <si>
    <t>Транспортный налог с организаций</t>
  </si>
  <si>
    <t>000  1  06  04011  02  0000  110</t>
  </si>
  <si>
    <t>Транспортный налог с физических лиц</t>
  </si>
  <si>
    <t>000  1  06  04012  02  0000  110</t>
  </si>
  <si>
    <t>НАЛОГИ, СБОРЫ И РЕГУЛЯРНЫЕ ПЛАТЕЖИ ЗА ПОЛЬЗОВАНИЕ ПРИРОДНЫМИ РЕСУРСАМИ</t>
  </si>
  <si>
    <t>000  1  07  00000  00  0000  000</t>
  </si>
  <si>
    <t>Налог на добычу полезных ископаемых</t>
  </si>
  <si>
    <t>000  1  07  01000  01  0000  110</t>
  </si>
  <si>
    <t>Налог на добычу общераспространенных полезных ископаемых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</si>
  <si>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</si>
  <si>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</si>
  <si>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</si>
  <si>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</si>
  <si>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</si>
  <si>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</si>
  <si>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</si>
  <si>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</si>
  <si>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000  1  08  07080  01  1000  110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</si>
  <si>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</si>
  <si>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</si>
  <si>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000  1  08  07140  01  0000  110</t>
  </si>
  <si>
    <t>Государственная пошлина за выдачу разрешения на установку рекламной конструкции</t>
  </si>
  <si>
    <t xml:space="preserve"> НЕНАЛОГОВЫЕ ДОХОДЫ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</si>
  <si>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</si>
  <si>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</si>
  <si>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Проценты, полученные от предоставления бюджетных кредитов внутри страны</t>
  </si>
  <si>
    <t>000  1  11  03000  00  0000  120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</si>
  <si>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</si>
  <si>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000  1  11  03050  05  0000  120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</si>
  <si>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</si>
  <si>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</si>
  <si>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</si>
  <si>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</si>
  <si>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</si>
  <si>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</si>
  <si>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</si>
  <si>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ПЛАТЕЖИ ПРИ ПОЛЬЗОВАНИИ ПРИРОДНЫМИ РЕСУРСАМИ</t>
  </si>
  <si>
    <t>000  1  12  00000  00  0000  000</t>
  </si>
  <si>
    <t>ДОХОДЫ ОТ ОКАЗАНИЯ ПЛАТНЫХ УСЛУГ И КОМПЕНСАЦИИ ЗАТРАТ ГОСУДАРСТВА</t>
  </si>
  <si>
    <t>000  1  13  00000  00  0000  000</t>
  </si>
  <si>
    <t>ДОХОДЫ ОТ ПРОДАЖИ МАТЕРИАЛЬНЫХ И НЕМАТЕРИАЛЬНЫХ АКТИВОВ</t>
  </si>
  <si>
    <t>000  1  14  00000  00  0000  000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</si>
  <si>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</si>
  <si>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000  1  14  02000  00  0000  000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</si>
  <si>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</si>
  <si>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000  1  14  02030  05  0000  410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</si>
  <si>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</si>
  <si>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000  1  14  02032  05  0000  410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</si>
  <si>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</si>
  <si>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</si>
  <si>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</si>
  <si>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</si>
  <si>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</si>
  <si>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000  1  14  06014  10  0000  430</t>
  </si>
  <si>
    <t>АДМИНИСТРАТИВНЫЕ ПЛАТЕЖИ И СБОРЫ</t>
  </si>
  <si>
    <t>000  1  15  00000  00  0000  000</t>
  </si>
  <si>
    <t>Платежи, взимаемые государственными и муниципальными организациями за выполнение определенных функций</t>
  </si>
  <si>
    <t>000  1  15  02000  00  0000  140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</si>
  <si>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</si>
  <si>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</si>
  <si>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</si>
  <si>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</si>
  <si>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</si>
  <si>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</si>
  <si>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</si>
  <si>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</si>
  <si>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</si>
  <si>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000  1  16  25000  01  0000  140</t>
  </si>
  <si>
    <t>Денежные взыскания (штрафы) за нарушение законодательства о недрах</t>
  </si>
  <si>
    <t>Денежные взыскания (штрафы) за нарушение законодательства об охране и использовании животного мира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</si>
  <si>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</si>
  <si>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</si>
  <si>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Прочие денежные взыскания (штрафы) за административные правонарушения в области дорожного движения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</si>
  <si>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</si>
  <si>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</si>
  <si>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</si>
  <si>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</si>
  <si>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</si>
  <si>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</si>
  <si>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</si>
  <si>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НЕНАЛОГОВЫЕ ДОХОДЫ</t>
  </si>
  <si>
    <t>000  1  17  00000  00  0000  000</t>
  </si>
  <si>
    <t>Прочие неналоговые доходы</t>
  </si>
  <si>
    <t>000  1  17  05000  00  0000  180</t>
  </si>
  <si>
    <t>Прочие неналоговые доходы бюджетов муниципальных районов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</si>
  <si>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</si>
  <si>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</si>
  <si>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</si>
  <si>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</si>
  <si>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</si>
  <si>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</si>
  <si>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</si>
  <si>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</si>
  <si>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муниципальных районов на выравнивание бюджетной обеспеченности</t>
  </si>
  <si>
    <t xml:space="preserve"> муниципальному району</t>
  </si>
  <si>
    <t>сельским поселениям</t>
  </si>
  <si>
    <t>Дотации бюджетам на поддержку мер по обеспечению сбалансированности бюджетов</t>
  </si>
  <si>
    <t>000  2  02  01003  00  0000  151</t>
  </si>
  <si>
    <t>Дотации бюджетам муниципальных районов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</si>
  <si>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</si>
  <si>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000  2  02  02000  00  0000  151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</si>
  <si>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</si>
  <si>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000  2  02  02009  00  0000  151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</si>
  <si>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</si>
  <si>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000  2  02  02009  05  0000  151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</si>
  <si>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</si>
  <si>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000  2  02  02077  00  0000  151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</si>
  <si>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</si>
  <si>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000  2  02  02077  05  0000  151</t>
  </si>
  <si>
    <t>Субсидии бюджетам для обеспечения земельных участков коммунальной инфраструктурой в целях жилищного строительства</t>
  </si>
  <si>
    <t>000  2  02  02080  00  0000  151</t>
  </si>
  <si>
    <t>Субсидии бюджетам муниципальных районов для обеспечения земельных участков коммунальной инфраструктурой в целях жилищного строительства</t>
  </si>
  <si>
    <t>000  2  02  02080  05  0000  151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</si>
  <si>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</si>
  <si>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000  2  02  02085  00  0000  151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</si>
  <si>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</si>
  <si>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000  2  02  02085  05  0000  151</t>
  </si>
  <si>
    <t>Субсидии бюджетам на проведение противоаварийных мероприятий в зданиях государственных и муниципальных общеобразовательных учреждений</t>
  </si>
  <si>
    <t>000  2  02  02105  00  0000  151</t>
  </si>
  <si>
    <t>Субсидии бюджетам муниципальных районов на проведение противоаварийных мероприятий в зданиях государственных и муниципальных общеобразовательных учреждений</t>
  </si>
  <si>
    <t>000  2  02  02105  05  0000  151</t>
  </si>
  <si>
    <t>Субсидии бюджетам на модернизацию региональных систем общего образования</t>
  </si>
  <si>
    <t>000  2  02  02145  00  0000  151</t>
  </si>
  <si>
    <t>Субсидии бюджетам муниципальных районов на модернизацию региональных систем общего образования</t>
  </si>
  <si>
    <t>000  2  02  02145  05  0000  151</t>
  </si>
  <si>
    <t>Прочие субсидии</t>
  </si>
  <si>
    <t>000  2  02  02999  00  0000  151</t>
  </si>
  <si>
    <t>Прочие субсидии бюджетам муниципальных районов</t>
  </si>
  <si>
    <t xml:space="preserve">Субсидии на софинансирование расходов на решение вопросов местного значения поселений, связанных с реализацией Федерального закона "Об общих принципах организации местного самоуправления в Российской Федерации" </t>
  </si>
  <si>
    <t>Субсидии на реализацию республиканской целевой программы  "Демографическое развитие Республики  Алтай на 2010-2015 годы" (через Министерство регионального развития Республики Алтай)</t>
  </si>
  <si>
    <t>Субсидии на реализацию республиканской целевой программы "Развитие агропромышленного комплекса Республики Алтай на 2011-2017 годы" (через Министерство регионального развития Республики Алтай)</t>
  </si>
  <si>
    <t>Субсидии на предоставление ежемесячной надбавки к заработной плате молодым специалистам в муниципальных образовательных учреждениях</t>
  </si>
  <si>
    <t xml:space="preserve">Субсидии   на комплектование книжных фондов библиотек муниципальных образований Республики Алтай </t>
  </si>
  <si>
    <t>Субсидии на реализацию республиканской целевой программы "Развитие образования в Республике Алтай на 2010-2012 годы" (через Министерство образования, науки и молодежной политики Республики Алтай)</t>
  </si>
  <si>
    <t>Субсидии на реализацию республиканской целевой программы "Культура  Республики Алтай на 2011-2016 годы" (через Министерство культуры Республики Алтай)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</si>
  <si>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</si>
  <si>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</si>
  <si>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</si>
  <si>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</si>
  <si>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</si>
  <si>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на осуществление полномочий по подготовке проведения статистических переписей</t>
  </si>
  <si>
    <t>000  2  02  03002  00  0000  151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</si>
  <si>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</si>
  <si>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000  2  02  03002  05  0000  151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</si>
  <si>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</si>
  <si>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000  2  02  03004  00  0000  151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</si>
  <si>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</si>
  <si>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</si>
  <si>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000  2  02  03007  00  0000  151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</si>
  <si>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</si>
  <si>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000  2  02  03007  05  0000  151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</si>
  <si>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</si>
  <si>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000  2  02  03013  00  0000  151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</si>
  <si>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</si>
  <si>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</si>
  <si>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</si>
  <si>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</si>
  <si>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на ежемесячное денежное вознаграждение за классное руководство</t>
  </si>
  <si>
    <t>000  2  02  03021  00  0000  151</t>
  </si>
  <si>
    <t>Субвенции бюджетам муниципальных районов на ежемесячное денежное вознаграждение за классное руководство</t>
  </si>
  <si>
    <t>000  2  02  03021  05  0000  151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</si>
  <si>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</si>
  <si>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</si>
  <si>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</si>
  <si>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</si>
  <si>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</si>
  <si>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</si>
  <si>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на реализацию Закона Республики Алтай "О наделении органов местного самоуправления государственными полномочиями в области архивного дела"</t>
  </si>
  <si>
    <t>Субвенции на реализацию Закона Республики Алтай "О наделении органов местного самоуправления государственными полномочиями Республики Алтай по образованию и организации деятельности муниципальных комиссий по делам несовершеннолетних и защите их прав"</t>
  </si>
  <si>
    <t>Субвенции на реализацию пунктов 11-14 статьи 1 Закона Республики Алтай "О наделении органов местного самоуправления в Республике Алтай отдельными государственными полномочиями в области социальной поддержки, социального обслуживания отдельных категорий граждан и управления охраной труда"</t>
  </si>
  <si>
    <t>Субвенции на осуществление государственных полномочий по лицензированию продажи алкогольной продукции</t>
  </si>
  <si>
    <t>Субвенции на обеспечение государственных гарантий прав граждан на получение общедоступного и бесплатного дошкольного,  начального общего, основного общего, среднего (полного) общего образования, а так же дополнительного образования в общеобразовательных учреждениях</t>
  </si>
  <si>
    <t>Субвенции на организацию и осуществление деятельности органов местного самоуправления по осуществлению полномочий по опеке и попечительству , социальной поддержке детей-сирот,  детей, осташихся без попечения родителей, и лиц из их числа</t>
  </si>
  <si>
    <t>Субвенции на социальную поддержку детей-сирот и детей, оставшихся без попечения родителей, лиц из их числа, находящихся в учреждениях и приемных семьях муниципальных образований, в том числе дополнительные гарантии</t>
  </si>
  <si>
    <t>Субвенции на предоставление гарантированных услуг по погребению</t>
  </si>
  <si>
    <t>Субвенции на предоставление мер социальной поддержки ветеранам труда Республики Алтай</t>
  </si>
  <si>
    <t>Субвенции на предоставление мер социальной поддержки некоторым категориям работников, проживающих в сельской местности Республики Алтай</t>
  </si>
  <si>
    <t>Субвенции  на предоставление мер социальной  поддержки отдельным категориям ветеранов</t>
  </si>
  <si>
    <t>Субвенции  на осуществление  выплаты   ежемесячного пособия на ребенка</t>
  </si>
  <si>
    <t>Субвенции на предоставление мер социальной поддержки многодетным семьям</t>
  </si>
  <si>
    <t>Субвенции на осуществление  государственных полномочий по вопросам административного законодательства</t>
  </si>
  <si>
    <t>Субвенции на осуществление  назначения и выплаты доплат к пенсиям</t>
  </si>
  <si>
    <t>Субвенции на предоставление дополнительной гарантии по проведеию ремонта жилого помещения, закрепленного на праве собственности за детьми-сиротами, детьми, оставшимися без попечения родителей, а также лицами из числа детей-сирот и детей, оставшихся без попечения родителей (через Министерство образования, науки и молодежной политики Республики Алтай)</t>
  </si>
  <si>
    <t>Субвенции на реализацию Закона Республики Алтай "О наделении органов местного самоуправления муниципальных районов в Республике Алтай отдельными государственными полномочиями Республики Алтай по сбору информации от поселений, входящих в муниципальный район, необходимый для ведения регистра муниципальных нормативных правовых актов в Республике Алтай"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</si>
  <si>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</si>
  <si>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000  2  02  03026  00  0000  151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</si>
  <si>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</si>
  <si>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</si>
  <si>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000  2  02  03027  00  0000  151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</si>
  <si>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</si>
  <si>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</si>
  <si>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</si>
  <si>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</si>
  <si>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образований на оздоровление детей</t>
  </si>
  <si>
    <t>000  2  02  03033  00  0000  151</t>
  </si>
  <si>
    <t>Субвенции бюджетам муниципальных районов на оздоровление детей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</si>
  <si>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</si>
  <si>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000  2  02  03055  00  0000  151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</si>
  <si>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</si>
  <si>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000  2  02  03055  05  0000  151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</si>
  <si>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</si>
  <si>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000  2  02  03069  00  0000  151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</si>
  <si>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</si>
  <si>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000  2  02  03069  05  0000  151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</si>
  <si>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</si>
  <si>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000  2  02  03070  00  0000  151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</si>
  <si>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</si>
  <si>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000  2  02  03070  05  0000  151</t>
  </si>
  <si>
    <t>Иные межбюджетные трансферты</t>
  </si>
  <si>
    <t>000  2  02  04000  00  0000  151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</si>
  <si>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</si>
  <si>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000  2  02  04029  00  0000  151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</si>
  <si>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</si>
  <si>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000  2  02  04029  05  0000  151</t>
  </si>
  <si>
    <t>Межбюджетные трансферты, передаваемые бюджетам на реализацию программ модернизации здравоохранения</t>
  </si>
  <si>
    <t>000  2  02  04034  00  0000  151</t>
  </si>
  <si>
    <t>Межбюджетные трансферты,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</si>
  <si>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000  2  02  04034  05  0002  151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</si>
  <si>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</si>
  <si>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</si>
  <si>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муниципальных районов</t>
  </si>
  <si>
    <t>000  2  02  04999  05  0000  151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</si>
  <si>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</si>
  <si>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000  2  18  05000  05  0000  000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</si>
  <si>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</si>
  <si>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000  2  18  05030  05  0000  151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</si>
  <si>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</si>
  <si>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</si>
  <si>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</si>
  <si>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000  2  19  05000  05  0000  151</t>
  </si>
  <si>
    <t>тыс.руб.</t>
  </si>
  <si>
    <t>2013 г.</t>
  </si>
  <si>
    <t>2014 г.</t>
  </si>
  <si>
    <t>Сумма на утверждение</t>
  </si>
  <si>
    <t>Приложение 8</t>
  </si>
  <si>
    <t xml:space="preserve">к решению  "О бюджете муниципального образования "Онгудайский район" на 2012год и на плановый период 2013 и 2014 годов" </t>
  </si>
  <si>
    <t>РАСПРЕДЕЛЕНИЕ</t>
  </si>
  <si>
    <t>расходов бюджета муниципального образования  "Онгудайский район" на 2012 год                                           по разделам и подразделам   классификации расходов бюджетов Российской Федерации</t>
  </si>
  <si>
    <t>Наименование разделов и подразделов</t>
  </si>
  <si>
    <t>Рз</t>
  </si>
  <si>
    <t>Пр</t>
  </si>
  <si>
    <t>Сумма на  2012 г.</t>
  </si>
  <si>
    <t xml:space="preserve">Изменения и дополнения </t>
  </si>
  <si>
    <t>Сумма на утверждение 2012 г.</t>
  </si>
  <si>
    <t>Общегосударственные вопросы</t>
  </si>
  <si>
    <t>0100</t>
  </si>
  <si>
    <t>01</t>
  </si>
  <si>
    <t>02</t>
  </si>
  <si>
    <t>03</t>
  </si>
  <si>
    <t>04</t>
  </si>
  <si>
    <t>Судебная система</t>
  </si>
  <si>
    <t>05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</si>
  <si>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</si>
  <si>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</si>
  <si>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</si>
  <si>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</si>
  <si>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</si>
  <si>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12</t>
  </si>
  <si>
    <t>13</t>
  </si>
  <si>
    <t>Другие общегосударственные вопросы</t>
  </si>
  <si>
    <t>14</t>
  </si>
  <si>
    <t>Национальная оборона</t>
  </si>
  <si>
    <t>0200</t>
  </si>
  <si>
    <t>Мобилизационная и вневойсковая подготовка</t>
  </si>
  <si>
    <t>Национальная безопасность и правоохранительная деятельность</t>
  </si>
  <si>
    <t>0300</t>
  </si>
  <si>
    <t>Органы внутренних дел</t>
  </si>
  <si>
    <t>Защита населения  и территории от  чрезвычайных ситуаций природного 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</si>
  <si>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</si>
  <si>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</si>
  <si>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</si>
  <si>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0400</t>
  </si>
  <si>
    <t>Общеэкономические вопросы</t>
  </si>
  <si>
    <t>Сельское хозяйство и рыболовство</t>
  </si>
  <si>
    <t>08</t>
  </si>
  <si>
    <t>Другие вопросы в области национальной экономики</t>
  </si>
  <si>
    <t>Жилищно- коммунальное хозяйство</t>
  </si>
  <si>
    <t>0500</t>
  </si>
  <si>
    <t>Жилищное хозяйство</t>
  </si>
  <si>
    <t>Коммунальное хозяйство</t>
  </si>
  <si>
    <t>Благоустройство</t>
  </si>
  <si>
    <t>Образование</t>
  </si>
  <si>
    <t>0700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</si>
  <si>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</si>
  <si>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</si>
  <si>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</si>
  <si>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</si>
  <si>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</si>
  <si>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 xml:space="preserve">Культура и кинематография </t>
  </si>
  <si>
    <t>0800</t>
  </si>
  <si>
    <t>Культура</t>
  </si>
  <si>
    <t>Периодическая печать и издательства</t>
  </si>
  <si>
    <t xml:space="preserve">Другие вопросы в области культуры, кинематографии </t>
  </si>
  <si>
    <t xml:space="preserve">Здравоохранение </t>
  </si>
  <si>
    <t>0900</t>
  </si>
  <si>
    <t>Стационарная медицинская помощь</t>
  </si>
  <si>
    <t>Амбулаторная помощь</t>
  </si>
  <si>
    <t>Скорая медицинская помощь</t>
  </si>
  <si>
    <t>Физическая культура и спорт</t>
  </si>
  <si>
    <t>Другие вопросы в области здравоохранения</t>
  </si>
  <si>
    <t>Другие вопросы в области здравоохранения, физической культуры и спорта</t>
  </si>
  <si>
    <t>10</t>
  </si>
  <si>
    <t>Социальная политика</t>
  </si>
  <si>
    <t>1000</t>
  </si>
  <si>
    <t>Пенсионное обеспечение</t>
  </si>
  <si>
    <t>Социальное обслуживание населения</t>
  </si>
  <si>
    <t>Социальное обеспечение население</t>
  </si>
  <si>
    <t>Охрана семьи  и детства</t>
  </si>
  <si>
    <t>Другие вопросы в области социальной политики</t>
  </si>
  <si>
    <t>1100</t>
  </si>
  <si>
    <t>Физическая культура</t>
  </si>
  <si>
    <t>Средства массовой информации</t>
  </si>
  <si>
    <t>1200</t>
  </si>
  <si>
    <t>Обслуживание государственного и муниципального долга</t>
  </si>
  <si>
    <t>1300</t>
  </si>
  <si>
    <t>Обслуживание внутреннего государственного и муниципального долга</t>
  </si>
  <si>
    <t xml:space="preserve">Межбюджетные трансферты бюджетам субъектов РФ и муниципальных образований </t>
  </si>
  <si>
    <t>1400</t>
  </si>
  <si>
    <t>Дотации на выравнивание бюджетной обеспеченности субъектов РФ и муниципальных образований</t>
  </si>
  <si>
    <t>Иные дотации</t>
  </si>
  <si>
    <t>Прочие межбюджетные трансферты бюджетам субъектов РФ и муниципальных образований общего характера</t>
  </si>
  <si>
    <t>Условно утвержденные расходы</t>
  </si>
  <si>
    <t>ВСЕГО РАСХОДОВ</t>
  </si>
  <si>
    <t>Приложение 10</t>
  </si>
  <si>
    <t>к решению "О бюджете муниципального образования "Онгудайский район" на 2012 год и на плановый период 2013 и 2014 годов"</t>
  </si>
  <si>
    <t>Ведомственная структура  расходов бюджета муниципального образования "Онгудайский район"                                     на 2012 год</t>
  </si>
  <si>
    <t xml:space="preserve">Наименование </t>
  </si>
  <si>
    <t>КОДЫ</t>
  </si>
  <si>
    <t>Изменения и дополнения   (тыс.руб)</t>
  </si>
  <si>
    <t>Сумма на 2009 год (тыс.руб.)</t>
  </si>
  <si>
    <t>Сумма на 2012г (тыс.руб.)</t>
  </si>
  <si>
    <t>Сумма на утверждение  c учетом изменений 2012г (тыс.руб.)</t>
  </si>
  <si>
    <t>Сумма на утверждение   2009г (тыс.руб.)</t>
  </si>
  <si>
    <t>Функциональной классификации расходов</t>
  </si>
  <si>
    <r>
      <t>Главный</t>
    </r>
    <r>
      <rPr>
        <b/>
        <sz val="10"/>
        <rFont val="Times New Roman"/>
        <family val="1"/>
      </rPr>
      <t xml:space="preserve"> распорядитель, распорядитель средств</t>
    </r>
  </si>
  <si>
    <t>Раздел</t>
  </si>
  <si>
    <t>Подраздел</t>
  </si>
  <si>
    <t>Целевая статья**</t>
  </si>
  <si>
    <t>Вид расхода**</t>
  </si>
  <si>
    <t>А</t>
  </si>
  <si>
    <t>МУ  Онгудайская ЦРБ</t>
  </si>
  <si>
    <t>055</t>
  </si>
  <si>
    <t xml:space="preserve">Образование </t>
  </si>
  <si>
    <t>Профессиональная подготовка, переподготовка и повышение квалификации кадров</t>
  </si>
  <si>
    <t>Учебные заведения и курсы по переподготовке кадров</t>
  </si>
  <si>
    <t>4290000</t>
  </si>
  <si>
    <t>Переподготовка и повышение квалификации кадров</t>
  </si>
  <si>
    <t>4297800</t>
  </si>
  <si>
    <t>Выполнение функций государственными органами</t>
  </si>
  <si>
    <t>500</t>
  </si>
  <si>
    <t>4340000</t>
  </si>
  <si>
    <t>Выполнение функций органами местного самоуправления</t>
  </si>
  <si>
    <t>Здравоохранение</t>
  </si>
  <si>
    <t>Резервный фонд Правительства Республики Алтай по предупреждению и ликвидации чрезвычайных ситуаций и последствий стихийных бедствий</t>
  </si>
  <si>
    <t>0700400</t>
  </si>
  <si>
    <t xml:space="preserve">Резервный фонд Правительства Республики Алтай </t>
  </si>
  <si>
    <t>0700402</t>
  </si>
  <si>
    <t>Выполнение функций  бюджетными учреждениями</t>
  </si>
  <si>
    <t>001</t>
  </si>
  <si>
    <t>Больницы, клиники, госпитали, медико- санитарные части</t>
  </si>
  <si>
    <t>4700000</t>
  </si>
  <si>
    <t>Обеспечение деятельности подведомственных учреждений</t>
  </si>
  <si>
    <t>4709900</t>
  </si>
  <si>
    <t>Выполнение функций бюджетными учреждениями, за счет средств от предпринимательской и иной приносящей доход деятельности</t>
  </si>
  <si>
    <t>4709901</t>
  </si>
  <si>
    <t>Поликлиники, амбулатории, диагностические центры</t>
  </si>
  <si>
    <t>4710000</t>
  </si>
  <si>
    <t>4719900</t>
  </si>
  <si>
    <t>Выполнение функций бюджетными учреждениями</t>
  </si>
  <si>
    <t>Субсидии на капитальный,текущий ремонт объектов социо-культурной сферы</t>
  </si>
  <si>
    <t>4709902</t>
  </si>
  <si>
    <t>Софинансирование субсидии на кап.,текущий ремонт объктов социо-культ.сферы</t>
  </si>
  <si>
    <t>4709903</t>
  </si>
  <si>
    <t>Территориальная программа государственных гарантий оказания гражданам РФ на территории РА бесплатной медицинской помощи</t>
  </si>
  <si>
    <t>7959100</t>
  </si>
  <si>
    <t>Мероприятия по реализации проекта в рамках преимущественно одноканального финансирования</t>
  </si>
  <si>
    <t>797</t>
  </si>
  <si>
    <t>4719902</t>
  </si>
  <si>
    <t>4719903</t>
  </si>
  <si>
    <t>Фельдшерско- акушерские пункты</t>
  </si>
  <si>
    <t>4780000</t>
  </si>
  <si>
    <t>4789900</t>
  </si>
  <si>
    <t>4789902</t>
  </si>
  <si>
    <t>4789903</t>
  </si>
  <si>
    <t>Финансовое обеспечение государственного задания в соответствии с программой  государственных гарантий  оказания гражданам РФ бесплаттной мед.помощи на оказание дополнительной бесплатной  медицинской помощи, оказыавемой врачами - трапевтами участковыми, врачами-педиатрами участковыми, врачами общей практики и медицинскими сестрами врачей -терапевтов, врачей -педиатров участковыми и  врачей общей практики</t>
  </si>
  <si>
    <t>5054100</t>
  </si>
  <si>
    <t>Иные безвозмездные и безвозвратные перечисления</t>
  </si>
  <si>
    <t>5200000</t>
  </si>
  <si>
    <t>Денежные выплаты медицинскому персоналу фельдшерско- акушерских пунктов, врачам, фельдшерам и медицинским сестрам скорой медицинской помощи</t>
  </si>
  <si>
    <t>5201800</t>
  </si>
  <si>
    <t>Учебно- методические кабинеты, централизованные бухгалтерии, группы хозяйственного обслуживания</t>
  </si>
  <si>
    <t>4520000</t>
  </si>
  <si>
    <t>4529900</t>
  </si>
  <si>
    <t>МЦП "Вакцинопрофилактика заболеваний, управляемых иммунизацией в МО "Онгудайский район" на 2008-2010г"</t>
  </si>
  <si>
    <t>МЦП "Скорая медицинская помощь в МО "Онгудайский район" на 2011-2013г</t>
  </si>
  <si>
    <t>МЦП "Вакцинопрофилактика заболеваний, управляемых иммунизацией в МО "Онгудайский район" на 2011-2013г"</t>
  </si>
  <si>
    <t>МЦП "О мерах по предупреждению дальнейшего распространения заболеваний, передающихся преимущественно половым путем в МО "Онгудайский район" на 2010-2012г"</t>
  </si>
  <si>
    <t>МЦП "О мерах по предупреждению дальнейшего распространения заболеваний, вызываемого иммунодефицита человека и вирусного гепатитов В и С  на 2011-2013г"</t>
  </si>
  <si>
    <t>МЦП "Профилактика и предупреждение распространения туберкулеза в МО "Онгудайский район" на 2009-2011г</t>
  </si>
  <si>
    <t>МЦП "Совершенствование первичной медико-санитарной помощи населению МО "Онгудайский район" на 2009-2011г</t>
  </si>
  <si>
    <t>МЦП "О мерах по предупреждению дальнейшего распространения заболеваний, передающихся преимущественно половым путем в МО "Онгудайский район" на 2009-2011г"</t>
  </si>
  <si>
    <t>МЦП "Скорая медицинская помощь в МО "Онгудайский район" на 2009-2011г"</t>
  </si>
  <si>
    <t>Отдел образования Онгудайского района</t>
  </si>
  <si>
    <t>074</t>
  </si>
  <si>
    <t>Осуществление государственных полномочий в сфере организации деятельности комиссий по делам несовершеннолетних и защите их прав</t>
  </si>
  <si>
    <t>0016200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</si>
  <si>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</si>
  <si>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0020000</t>
  </si>
  <si>
    <t>Центральный аппарат</t>
  </si>
  <si>
    <t>0020400</t>
  </si>
  <si>
    <t>Детские дошкольные учреждения</t>
  </si>
  <si>
    <t>4200000</t>
  </si>
  <si>
    <t>4209900</t>
  </si>
  <si>
    <t>Выпонение функций бюджетными учреждениями</t>
  </si>
  <si>
    <t>4209901</t>
  </si>
  <si>
    <t>Школы- детские сады, школы начальные, неполные средние и средние</t>
  </si>
  <si>
    <t>4210000</t>
  </si>
  <si>
    <t>4219900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</si>
  <si>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</si>
  <si>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611</t>
  </si>
  <si>
    <t>4219901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</si>
  <si>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</t>
  </si>
  <si>
    <t>4219904</t>
  </si>
  <si>
    <t>4210001</t>
  </si>
  <si>
    <t>Субсидии на предоставление ежемесячной надбавки к зарплате молодым специалистам в муниципальных образовательных учреждениях</t>
  </si>
  <si>
    <t>4219905</t>
  </si>
  <si>
    <t>4219902</t>
  </si>
  <si>
    <t>612</t>
  </si>
  <si>
    <t>4219903</t>
  </si>
  <si>
    <t>Обеспечение питанием учащихся из малообеспеченных семей в муниципальных образовательных учреждениях</t>
  </si>
  <si>
    <t>4219906</t>
  </si>
  <si>
    <t>Учреждения по внешкольной работе с детьми</t>
  </si>
  <si>
    <t>4230000</t>
  </si>
  <si>
    <t>4239900</t>
  </si>
  <si>
    <t>Реализация РЦП "Развитие образования в Республике Алтай на 2010-2012годы"</t>
  </si>
  <si>
    <t>5221600</t>
  </si>
  <si>
    <t xml:space="preserve">Переподготовка и повышение квалификации </t>
  </si>
  <si>
    <t>Мероприятия по организации оздоровительной кампании детей и подростков</t>
  </si>
  <si>
    <t>4320000</t>
  </si>
  <si>
    <t>Оздоровление детей</t>
  </si>
  <si>
    <t>4320200</t>
  </si>
  <si>
    <t xml:space="preserve">Прочая закупка товаров, работ и услуг для государственных нужд
</t>
  </si>
  <si>
    <t>4320202</t>
  </si>
  <si>
    <t>244</t>
  </si>
  <si>
    <t>Выполнение функций бюджетными учреждениями, за счет средств от  предпринимательской и иной приносящей доход деятельности</t>
  </si>
  <si>
    <t>4320201</t>
  </si>
  <si>
    <t>4320203</t>
  </si>
  <si>
    <t>012</t>
  </si>
  <si>
    <t xml:space="preserve">Фонд оплаты труда и страховые взносы
</t>
  </si>
  <si>
    <t>121</t>
  </si>
  <si>
    <t>4365300</t>
  </si>
  <si>
    <t xml:space="preserve">Иные выплаты персоналу, за исключением фонда оплаты труда
</t>
  </si>
  <si>
    <t>122</t>
  </si>
  <si>
    <t>Учебно- методические кабинеты, централизованные бухгалтерии, группы хозяйственного обслуживания, учебные фильмотеки, межшкольные учебно- производственные комбинаты, логопедические пункты</t>
  </si>
  <si>
    <t>МЦП "Обеспечение санитарно-эпидемиологического благополучия школ Онгудайского района на 2009-2011 годы"</t>
  </si>
  <si>
    <t xml:space="preserve">Закупка товаров, работ, услуг в сфере информационно-коммуникационных технологий
</t>
  </si>
  <si>
    <t>242</t>
  </si>
  <si>
    <t xml:space="preserve"> Уплата налога на имущество организаций и земельного налога
</t>
  </si>
  <si>
    <t>851</t>
  </si>
  <si>
    <t>Уплата прочих налогов, сборов и иных платежей</t>
  </si>
  <si>
    <t>852</t>
  </si>
  <si>
    <t>7952018</t>
  </si>
  <si>
    <t>Субсидии бюджетным учреждениям на иные цели</t>
  </si>
  <si>
    <t>Социальное обеспечение населения</t>
  </si>
  <si>
    <t>Обеспечение жилыми помещениями детей- 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</si>
  <si>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5053600</t>
  </si>
  <si>
    <t>Социальные выплаты</t>
  </si>
  <si>
    <t>005</t>
  </si>
  <si>
    <t>5053601</t>
  </si>
  <si>
    <t>Охрана семьи и детства</t>
  </si>
  <si>
    <t>5052102</t>
  </si>
  <si>
    <t>Меры социальной  поддержки населения по публичным нормативным обязательствам</t>
  </si>
  <si>
    <t>314</t>
  </si>
  <si>
    <t>Осуществление полномочий по проведению ремонта жилого помещения, закрепленного на праве собственности за детьми-сиротами, детьми, оставшимися без попечения родителей, а также лицами из числа детей-сирот и детей, оставшихся  без попечения родителей</t>
  </si>
  <si>
    <t>505 36 02</t>
  </si>
  <si>
    <t>Компенсация части родительской платы за содержание  ребеннка в гос и мун. образовательных учреждениях, реализующих основную общеобразовательную программу дошкольного образования</t>
  </si>
  <si>
    <t>5201000</t>
  </si>
  <si>
    <t xml:space="preserve">Пособия и компенсации гражданам и иные социальные выплаты, кроме публичных нормативных обязательств
</t>
  </si>
  <si>
    <t>321</t>
  </si>
  <si>
    <t>Содержание ребенка в семье опекуна и приемной семье, а также оплпта труда приемного родителя</t>
  </si>
  <si>
    <t>5201300</t>
  </si>
  <si>
    <t>Содержание ребенка в семье опекуна и приемной семье, а также оплата труда приемного  родителя</t>
  </si>
  <si>
    <t>5201301</t>
  </si>
  <si>
    <t>Пособия и компенсации по публичным нормативным обязательствам</t>
  </si>
  <si>
    <t>313</t>
  </si>
  <si>
    <t>Управление по экономике и финансам Онгудайского района</t>
  </si>
  <si>
    <t>Ощегосударственные вопросы</t>
  </si>
  <si>
    <t>Функционирование Правительства Российской Федерации, высших органов испонительной власти субъектов Российской Федерации, местных администраций</t>
  </si>
  <si>
    <t>Осуществление государственных полномочий по лицензированию розничной продажи алкогольной продукции</t>
  </si>
  <si>
    <t>0016500</t>
  </si>
  <si>
    <t>Обеспечение деятельности  финансовых, налоговых и таможенных  органов и органов финансового надзора</t>
  </si>
  <si>
    <t>Руководство и управление в сфере установленных функций органов государственной власти  субъектов РФ и органов местного  самоуправления</t>
  </si>
  <si>
    <t>Выполнение функций  государственными органами</t>
  </si>
  <si>
    <t>Процентные платежи по долговым обязательствам</t>
  </si>
  <si>
    <t>Процентные платежи по муниципальному долгу</t>
  </si>
  <si>
    <t>Прочие расходы</t>
  </si>
  <si>
    <t>013</t>
  </si>
  <si>
    <t>0700000</t>
  </si>
  <si>
    <t>Резервные фонды местных администраций</t>
  </si>
  <si>
    <t>0700500</t>
  </si>
  <si>
    <t>Резервные средства</t>
  </si>
  <si>
    <t>870</t>
  </si>
  <si>
    <t>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</si>
  <si>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001 66 00</t>
  </si>
  <si>
    <t>Субвенции</t>
  </si>
  <si>
    <t>00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</si>
  <si>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</si>
  <si>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</si>
  <si>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0013600</t>
  </si>
  <si>
    <t>Фонд коменсаций</t>
  </si>
  <si>
    <t>009</t>
  </si>
  <si>
    <t>530</t>
  </si>
  <si>
    <t>МЦП «Профилактика правонарушений на территории Онгудайского района на 2010-2012 г.г»</t>
  </si>
  <si>
    <t>7950001</t>
  </si>
  <si>
    <t>МЦП «Повышение безопасности дорожного движения в Онгудайском районе на 2010-2012г</t>
  </si>
  <si>
    <t>7952006</t>
  </si>
  <si>
    <t>Субсидии юридическим лицам</t>
  </si>
  <si>
    <t>006</t>
  </si>
  <si>
    <t>Субсидии на поддержку малого и среднего предпринимательства, включая крестьянские (фермерские) хозяйства</t>
  </si>
  <si>
    <t>3450101</t>
  </si>
  <si>
    <t>Субсидии юридическим лицам (кроме государственных учреждений) и физическим лицам - производителям товаров, работ, услуг</t>
  </si>
  <si>
    <t>810</t>
  </si>
  <si>
    <t>МЦП  «Развитие малого предпринимательства  и туризма в Онгудайском районе на 2010-2012г</t>
  </si>
  <si>
    <t>7950002</t>
  </si>
  <si>
    <t>Жилищно-коммунальное хозяйство</t>
  </si>
  <si>
    <t>Обеспечение мероприятий по капит.ремонту многоквартирных домов и переселению граждан из аварийного жилищного фонда за счет средств бюджетов</t>
  </si>
  <si>
    <t>Субсидии юридическим лицам на финансовое обеспечение мероприятий по проведению капитального ремонта многоквартирных домов</t>
  </si>
  <si>
    <t>Переподготовка и повышение квалификации</t>
  </si>
  <si>
    <t>Иные выплаты персоналу, за исключением фонда оплаты труда</t>
  </si>
  <si>
    <t>Прочая закупка товаров, работ и услуг для государственных нужд</t>
  </si>
  <si>
    <t>Межбюджетные трансферты</t>
  </si>
  <si>
    <t>Выравнивание уровня бюджетной обеспеченности поселений из региональнгого фонда фин.поддержки</t>
  </si>
  <si>
    <t>5160110</t>
  </si>
  <si>
    <t>Фонд финансовой поддержки</t>
  </si>
  <si>
    <t>008</t>
  </si>
  <si>
    <t>Выравнивание уровня бюджетной обеспеченности поселений из районного фонда фин.поддержки</t>
  </si>
  <si>
    <t>5160130</t>
  </si>
  <si>
    <t>Субсидии бюджетам  субъектов Российской Федерации  и  муниципальных образований (межбюджетные субсидии)</t>
  </si>
  <si>
    <t>Субсидии бюджетам  муниципальных образований для софинансирования расходных обязательств, возникающих при выполнении  полномочий  органов местного самоуправления по вопросам местного значения</t>
  </si>
  <si>
    <t>8101000</t>
  </si>
  <si>
    <t>Субсидии на капитальный  и текущий ремонт  объектов  социально-культурной сферы</t>
  </si>
  <si>
    <t>8101001</t>
  </si>
  <si>
    <t>Фонд софинансирования</t>
  </si>
  <si>
    <t>010</t>
  </si>
  <si>
    <t>Субсидии на софинансирование  расходов на благоустройство</t>
  </si>
  <si>
    <t>8101002</t>
  </si>
  <si>
    <t>Субсидии на софинансирование  расходов  по решению  вопросов местного значения поселений, связанных с реализацией  Закона РФ  от06.10.2003г №131-ФЗ</t>
  </si>
  <si>
    <t>8101003</t>
  </si>
  <si>
    <t>Субвенции бюджетам субъектов  Российской Федерации и  муниципальных образований</t>
  </si>
  <si>
    <t>Осуществление  первичного  воинского учета на территориях, где отсутствуют военные комиссариаты</t>
  </si>
  <si>
    <t>Фонд компенсаций</t>
  </si>
  <si>
    <t>0650000</t>
  </si>
  <si>
    <t>0650300</t>
  </si>
  <si>
    <t>Обслуживание государственного долга субъекта Российской Федерации</t>
  </si>
  <si>
    <t>720</t>
  </si>
  <si>
    <t>Межбюджетные трансферты бюджетам субъектов РФ и муниципальных образований общего характера</t>
  </si>
  <si>
    <t xml:space="preserve">Дотации на выравнивание бюджетной обеспеченности субъектов РФ и муниципальных образований </t>
  </si>
  <si>
    <t>Выравнивание бюджетной обеспеченности</t>
  </si>
  <si>
    <t>5160100</t>
  </si>
  <si>
    <t xml:space="preserve">Выравнивание бюджетной обеспеченности поселений из регионального фонда финансовой поддержки </t>
  </si>
  <si>
    <t>Фонд финансовой помощи</t>
  </si>
  <si>
    <t>Дотация на выравнивание бюджетной обеспеченности муниципальных образований</t>
  </si>
  <si>
    <t>511</t>
  </si>
  <si>
    <t xml:space="preserve">Выравнивание бюджетной обеспеченности поселений из районного фонда финансовой поддержки </t>
  </si>
  <si>
    <t>Отдел труда и социального развития  Онгудайского района</t>
  </si>
  <si>
    <t>150</t>
  </si>
  <si>
    <t>Обеспечение деятельности подведомственных  учреждений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</si>
  <si>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</si>
  <si>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4910200</t>
  </si>
  <si>
    <t>Доплаты к пенсиям государственных служащих субъектов Российской Федерации и муниципальных служащих</t>
  </si>
  <si>
    <t>4910100</t>
  </si>
  <si>
    <t>5056900</t>
  </si>
  <si>
    <t>Осуществление государственных полномочий в области социальной поддержки, социального обслуживания отдельных категорий граждан и управления охраной труда</t>
  </si>
  <si>
    <t>0016300</t>
  </si>
  <si>
    <t>Учреждения социального обслуживания населения</t>
  </si>
  <si>
    <t>5070000</t>
  </si>
  <si>
    <t>5079900</t>
  </si>
  <si>
    <t>5089900</t>
  </si>
  <si>
    <t>Социальная помощь</t>
  </si>
  <si>
    <t>5050000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</si>
  <si>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</si>
  <si>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5052205</t>
  </si>
  <si>
    <t>Обеспечение мер социальной поддержки для лиц, награжденных знаком "Почетный донор России"</t>
  </si>
  <si>
    <t>5052901</t>
  </si>
  <si>
    <t>Пособия по социальной помощи населению</t>
  </si>
  <si>
    <t>5053000</t>
  </si>
  <si>
    <t>Ежемесячное пособие на ребенка</t>
  </si>
  <si>
    <t>5053001</t>
  </si>
  <si>
    <t>Обеспечение мер социальной поддержки ветеранов труда и тружеников тыла</t>
  </si>
  <si>
    <t>5053101</t>
  </si>
  <si>
    <t>5053100</t>
  </si>
  <si>
    <t>Обеспечение мер социальной поддержки ветеранов труда РА</t>
  </si>
  <si>
    <t>5053110</t>
  </si>
  <si>
    <t>Обеспечение мер социальной поддержки ветеранов труда федер.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</si>
  <si>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Ленинграда"</t>
  </si>
  <si>
    <t>5053400</t>
  </si>
  <si>
    <t>5053402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</si>
  <si>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</si>
  <si>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5054500</t>
  </si>
  <si>
    <t>Оплата жилищно-коммунальных услуг отдельным категориям граждан</t>
  </si>
  <si>
    <t>5054600</t>
  </si>
  <si>
    <t>Обеспечение мер социальной поддержки реабилитированных лиц и лиц, признанных пострадавшими от политических репрессий</t>
  </si>
  <si>
    <t>5054700</t>
  </si>
  <si>
    <t>5054701</t>
  </si>
  <si>
    <t>Предоставление гражданам субсидий на оплату жилого помещения и коммунальных услуг</t>
  </si>
  <si>
    <t>5054800</t>
  </si>
  <si>
    <t>5054801</t>
  </si>
  <si>
    <t>5055511</t>
  </si>
  <si>
    <t>5055521</t>
  </si>
  <si>
    <t>5055530</t>
  </si>
  <si>
    <t>5055531</t>
  </si>
  <si>
    <t>Предоставление гарантированных услуг по погребению</t>
  </si>
  <si>
    <t>5056500</t>
  </si>
  <si>
    <t>Предоставление мер социальной поддержки ветеранам труда Республики Алтай</t>
  </si>
  <si>
    <t>5056600</t>
  </si>
  <si>
    <t>Предоставление мер социальной поддержки некоторым категориям работников, проживающих в сельской местности Республики Алтай</t>
  </si>
  <si>
    <t>5056700</t>
  </si>
  <si>
    <t>Предоставление мер социальной поддержки многодетным семьям</t>
  </si>
  <si>
    <t>5056800</t>
  </si>
  <si>
    <t>Оказание других видов социальной помощи</t>
  </si>
  <si>
    <t>5058500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</si>
  <si>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</si>
  <si>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</si>
  <si>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Руководство и управление в сфере установленных функций</t>
  </si>
  <si>
    <t>Целевые программы муниципальных образований</t>
  </si>
  <si>
    <t>7950000</t>
  </si>
  <si>
    <t xml:space="preserve">Районная подпрограмма «Социальная поддержка населения МО "Онгудайский район" </t>
  </si>
  <si>
    <t>7952009</t>
  </si>
  <si>
    <t>482</t>
  </si>
  <si>
    <t>МЦП "Улучшения условий и охраны труда в МО "Онгудайский район на 2011-2013г.г."</t>
  </si>
  <si>
    <t>7952011</t>
  </si>
  <si>
    <t>ОВД   по Онгудайскому району</t>
  </si>
  <si>
    <t>188</t>
  </si>
  <si>
    <t>МЦП "Профилактика правонарушений в муниципальном образорвании "Онгудайский район" на 2006-2009 г.г.""</t>
  </si>
  <si>
    <t>Целевая программа "Повышение безопасности дорожного движения в Онгудайском районе на 2007-2009 годы"</t>
  </si>
  <si>
    <t>Администрация Онгудайского района (аймака)</t>
  </si>
  <si>
    <t>800</t>
  </si>
  <si>
    <t>Функционирование высшего должностного лица субъекта Российской Федерации и органа местного самоуправления</t>
  </si>
  <si>
    <t>Глава муниципального образования</t>
  </si>
  <si>
    <t>0020300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</si>
  <si>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</si>
  <si>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Председатель представительного органа муниципального образования</t>
  </si>
  <si>
    <t>0021100</t>
  </si>
  <si>
    <t>Осуществление государственных полномочий по вопросам административного законодательства</t>
  </si>
  <si>
    <t>0016000</t>
  </si>
  <si>
    <t xml:space="preserve">Уплата налога на имущество организаций и земельного налога
</t>
  </si>
  <si>
    <t xml:space="preserve">Уплата прочих налогов, сборов и иных платежей
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</si>
  <si>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</si>
  <si>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0014000</t>
  </si>
  <si>
    <t>80</t>
  </si>
  <si>
    <t>Обеспечение  проведения  выборов  и референдумов</t>
  </si>
  <si>
    <t>Проведение  выборов  и референдумов</t>
  </si>
  <si>
    <t>0200000</t>
  </si>
  <si>
    <t>Проведение выборов главы муниципального образования</t>
  </si>
  <si>
    <t>0200003</t>
  </si>
  <si>
    <t>Осуществление государственных полномочий в области архивного дела</t>
  </si>
  <si>
    <t>0016100</t>
  </si>
  <si>
    <t>Дворцы и дома культуры, другие учреждения культуры и средств массовой информации</t>
  </si>
  <si>
    <t>4400000</t>
  </si>
  <si>
    <t>4409900</t>
  </si>
  <si>
    <t>МЦП "Энергосбережение в мо "Онгудайский район" на 2010-2015г"</t>
  </si>
  <si>
    <t>7952020</t>
  </si>
  <si>
    <t xml:space="preserve">Защита населения  и территории от последствий чрезвычайных ситуаций природного и техногенного  характера, гражданская оборона </t>
  </si>
  <si>
    <t>Мероприятия по предупреждению и ликвидации последствий чрезвычайных ситуаций и стихийных бедствий</t>
  </si>
  <si>
    <t>2180000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</si>
  <si>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</si>
  <si>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</si>
  <si>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Функционирование органов в сфере национальной безопасности, правоохранительной деятельности и обороны</t>
  </si>
  <si>
    <t>014</t>
  </si>
  <si>
    <t>МЦП "Комплексные  меры по противодействию незаконному обороту и потреблению наркотических средств, психотропных веществ и их прекурсоров в Онгудайском районе на 2011-2014 годы»</t>
  </si>
  <si>
    <t>7952023</t>
  </si>
  <si>
    <t>МЦП "О мерах по противодействию терроризму и экстремизму в мо "Онгудайский район" на 2012-2014 годы"</t>
  </si>
  <si>
    <t>7952027</t>
  </si>
  <si>
    <t>МЦП "Развитие агропромышленного комплекса в Онгудайском районе" на 2011-2014 годы</t>
  </si>
  <si>
    <t>7952005</t>
  </si>
  <si>
    <t>Мероприятия в области сельскохозяйственного производства</t>
  </si>
  <si>
    <t>342</t>
  </si>
  <si>
    <t>Другие вопросы в области  национальной экономики</t>
  </si>
  <si>
    <t xml:space="preserve">Бюджетные инвестиции в объекты капитального строительства собственности муниципальных образований </t>
  </si>
  <si>
    <t>1020102</t>
  </si>
  <si>
    <t>Бюджетные инвестиции</t>
  </si>
  <si>
    <t>003</t>
  </si>
  <si>
    <t>Мероприятия в области строительства, архитектуры и градостроительства</t>
  </si>
  <si>
    <t>3380000</t>
  </si>
  <si>
    <t>Финансирование ОКС</t>
  </si>
  <si>
    <t>3380001</t>
  </si>
  <si>
    <t xml:space="preserve">Реализация государственных фнукций  в области национальной экономики </t>
  </si>
  <si>
    <t>3400000</t>
  </si>
  <si>
    <t>Мероприятия по землеустройству и землепользованию</t>
  </si>
  <si>
    <t>3400300</t>
  </si>
  <si>
    <t>МЦП «Оснащение многоквартирных домов коллективными (общедомовыми) приборами учета потребления коммунального ресурса на 2011-2013 годы»</t>
  </si>
  <si>
    <t>7952026</t>
  </si>
  <si>
    <t>Бюджетные инвестиции в объекты капитального строительства, не включенные в целевые программы</t>
  </si>
  <si>
    <t>1020000</t>
  </si>
  <si>
    <t>1020100</t>
  </si>
  <si>
    <t>Бюджетные инвестиции в объекты муниципальной собственности бюджетным учреждениям вне рамок гос. оборонного заказа</t>
  </si>
  <si>
    <t>413</t>
  </si>
  <si>
    <t>Мероприятия в области коммунального хозяйства</t>
  </si>
  <si>
    <t>3510500</t>
  </si>
  <si>
    <t>Муниципальные целевые программы</t>
  </si>
  <si>
    <t>МЦП "Обеспечение населения Онгудайского района питьевой водой на 2010-2015г."</t>
  </si>
  <si>
    <t>7952021</t>
  </si>
  <si>
    <t>Благоустрой ство</t>
  </si>
  <si>
    <t>6000000</t>
  </si>
  <si>
    <t>Организация и содержание  мест захоронения</t>
  </si>
  <si>
    <t>6000400</t>
  </si>
  <si>
    <t>Бюджетные инвестиции  в объекты капитального строительства собственности муниципальных образований</t>
  </si>
  <si>
    <t>Региональные целевые программы</t>
  </si>
  <si>
    <t>5220000</t>
  </si>
  <si>
    <t>Субсидии на реализацию РЦП "Развитие агропромышленного комплекса", на 2011-2017г</t>
  </si>
  <si>
    <t>5222702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</si>
  <si>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</si>
  <si>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Субсидии на реализацию РЦП "Демографическое развитие РА на 2010-2015г"</t>
  </si>
  <si>
    <t>5228400</t>
  </si>
  <si>
    <t>Муниципальное автономное образовательное учреждение дополнительного образования детей "Онгудайская детская школа искусств"</t>
  </si>
  <si>
    <t>Субсидии автономным учреждениям</t>
  </si>
  <si>
    <t>620</t>
  </si>
  <si>
    <t>Выполнение функций  государственными учреждениями</t>
  </si>
  <si>
    <t>МЦП "Патриотическое воспитание граждан в Онгудайском районе  на 2011-2015 годы»"</t>
  </si>
  <si>
    <t>7952025</t>
  </si>
  <si>
    <t>Культура,кинематография, средства массовой информации</t>
  </si>
  <si>
    <t>Периодические издания, учрежденные органами законодательной и исполнительной власти</t>
  </si>
  <si>
    <t>4570000</t>
  </si>
  <si>
    <t>Государственная поддержка в сфере культуры, кинематографии и средств массовой информации</t>
  </si>
  <si>
    <t>4578500</t>
  </si>
  <si>
    <t>Другие вопросы в области культуры,кинематографии</t>
  </si>
  <si>
    <t>Учебно-методические кабинеты, центральные бухгалтерии, группы хоз.обслуживания</t>
  </si>
  <si>
    <t>Физкультурно-оздоровительная работа и спортивные мероприятия</t>
  </si>
  <si>
    <t>Пенсии, выплачиваемые организациями сектора государственного управления</t>
  </si>
  <si>
    <t>312</t>
  </si>
  <si>
    <t>Районная целевая программа "Рализация молодежной политики в Онгудайской районе на 2010-2013г"</t>
  </si>
  <si>
    <t>7952008</t>
  </si>
  <si>
    <t>Субсидии гражданам на приобретение жилья</t>
  </si>
  <si>
    <t>322</t>
  </si>
  <si>
    <t xml:space="preserve">Отдел культуры, спорта и туризма </t>
  </si>
  <si>
    <t>Фонд оплаты труда и страховые взносы</t>
  </si>
  <si>
    <t>4319900</t>
  </si>
  <si>
    <t>Культура, кинематография и средства массовой информации</t>
  </si>
  <si>
    <t>Библиотека</t>
  </si>
  <si>
    <t>4420000</t>
  </si>
  <si>
    <t>4429900</t>
  </si>
  <si>
    <t>Театры, цирки, коцертные и другие организации и исполнительских искусств</t>
  </si>
  <si>
    <t>4430000</t>
  </si>
  <si>
    <t>4439900</t>
  </si>
  <si>
    <t>4439901</t>
  </si>
  <si>
    <t>Комплектование книжных фондов библиотек муниципальных образований</t>
  </si>
  <si>
    <t>4500600</t>
  </si>
  <si>
    <t>Другие вопросы в области культуры, кинематографии</t>
  </si>
  <si>
    <t>5120000</t>
  </si>
  <si>
    <t>5129700</t>
  </si>
  <si>
    <t xml:space="preserve">Физическая культура </t>
  </si>
  <si>
    <t>Мероприятия в области  физической культуры</t>
  </si>
  <si>
    <t>Итого условно утверждаемые расходы</t>
  </si>
  <si>
    <t>99</t>
  </si>
  <si>
    <t>9990000</t>
  </si>
  <si>
    <t>999</t>
  </si>
  <si>
    <t xml:space="preserve">Всего </t>
  </si>
  <si>
    <t>должны быть</t>
  </si>
  <si>
    <t>из собеса в Администр. 10 разд</t>
  </si>
  <si>
    <t>Одноканал</t>
  </si>
  <si>
    <t>0102</t>
  </si>
  <si>
    <t>0103</t>
  </si>
  <si>
    <t>0104</t>
  </si>
  <si>
    <t>0105</t>
  </si>
  <si>
    <t>0106</t>
  </si>
  <si>
    <t>0107</t>
  </si>
  <si>
    <t>0111</t>
  </si>
  <si>
    <t>0112</t>
  </si>
  <si>
    <t>0113</t>
  </si>
  <si>
    <t>0114</t>
  </si>
  <si>
    <t>0203</t>
  </si>
  <si>
    <t>0302</t>
  </si>
  <si>
    <t>0309</t>
  </si>
  <si>
    <t>0314</t>
  </si>
  <si>
    <t>0405</t>
  </si>
  <si>
    <t>0409</t>
  </si>
  <si>
    <t>0411</t>
  </si>
  <si>
    <t>0412</t>
  </si>
  <si>
    <t>0501</t>
  </si>
  <si>
    <t>0502</t>
  </si>
  <si>
    <t>0503</t>
  </si>
  <si>
    <t>0505</t>
  </si>
  <si>
    <t>0701</t>
  </si>
  <si>
    <t>0702</t>
  </si>
  <si>
    <t>0705</t>
  </si>
  <si>
    <t>0707</t>
  </si>
  <si>
    <t>0709</t>
  </si>
  <si>
    <t>0801</t>
  </si>
  <si>
    <t>0804</t>
  </si>
  <si>
    <t>0806</t>
  </si>
  <si>
    <t>0901</t>
  </si>
  <si>
    <t>0902</t>
  </si>
  <si>
    <t>0904</t>
  </si>
  <si>
    <t>,</t>
  </si>
  <si>
    <t>0908</t>
  </si>
  <si>
    <t>0909</t>
  </si>
  <si>
    <t>0910</t>
  </si>
  <si>
    <t>1001</t>
  </si>
  <si>
    <t>1002</t>
  </si>
  <si>
    <t>1003</t>
  </si>
  <si>
    <t>1004</t>
  </si>
  <si>
    <t>1006</t>
  </si>
  <si>
    <t>1101</t>
  </si>
  <si>
    <t>1102</t>
  </si>
  <si>
    <t>1103</t>
  </si>
  <si>
    <t>итог</t>
  </si>
  <si>
    <t>Приложение9</t>
  </si>
  <si>
    <t>расходов бюджета муниципального образования  "Онгудайский район"  на плановый период 2013 и 2014 годов  по разделам и подразделам   классификации расходов бюджетов Российской Федерации</t>
  </si>
  <si>
    <t>тыс.рублей</t>
  </si>
  <si>
    <t>Сумма на  2013 г.</t>
  </si>
  <si>
    <t>Сумма на утверждение 2013 г.</t>
  </si>
  <si>
    <t>Сумма на    2013г (тыс.руб.)</t>
  </si>
  <si>
    <t>Сумма на утверждение  c учетом изменений 2013 г (тыс.руб.)</t>
  </si>
  <si>
    <t>Главный распорядитель, распорядитель средств</t>
  </si>
  <si>
    <t>ПРОГРАММА</t>
  </si>
  <si>
    <t xml:space="preserve">МУНИЦИПАЛЬНЫХ ГАРАНТИЙ МУНИЦИПАЛЬНОГО ОБРАЗОВАНИЯ "ОНГУДАЙСКИЙ РАЙОН" </t>
  </si>
  <si>
    <t>В ВАЛЮТЕ РОССИЙСКОЙ ФЕДЕРАЦИИ НА 2012 ГОД</t>
  </si>
  <si>
    <t>1. Перечень подлежащих предоставлению муниципальных гарантий МО "Онгудайский район" в 2012 году</t>
  </si>
  <si>
    <t>Цель гарантирования</t>
  </si>
  <si>
    <t>Наименвоание принципала</t>
  </si>
  <si>
    <t>Сумма гарантирования, тыс.рублей</t>
  </si>
  <si>
    <t>Наличие права регрессного требования</t>
  </si>
  <si>
    <t>Проверка финансового состояния принципала</t>
  </si>
  <si>
    <t>Иные условия предоставления муниципальных гарантий</t>
  </si>
  <si>
    <t>Общая сумма</t>
  </si>
  <si>
    <t xml:space="preserve">Капитальный и текущий ремонт объектов социально-культурной сферы </t>
  </si>
  <si>
    <t>МУП "Онгудайсельстрой"</t>
  </si>
  <si>
    <t>есть</t>
  </si>
  <si>
    <t>Муниципальная гарантия МО "Онгудайский район" не обеспечивает исполнения обязательств по уплате процентов, неустоек (пеней, штрафов)</t>
  </si>
  <si>
    <t>Итого</t>
  </si>
  <si>
    <t>2. Общий объем бюджетных ассигнований, предусмотренных на исполнение муниципальных гарантий МО "Онгудайский район" по возможным гарантийным случаям в 2012 году</t>
  </si>
  <si>
    <t>Исполнение муниципальных гарантий МО "Онгудайский район"</t>
  </si>
  <si>
    <t>Объем бюджетных ассигнований на исполнение гарантий по возможным гарантийным случаям, тыс. рублей</t>
  </si>
  <si>
    <t>За счет расходов районного бюджета МО "Онгудайский район"</t>
  </si>
  <si>
    <t>Приложение № 22</t>
  </si>
  <si>
    <t xml:space="preserve">Обеспечение государственных гарантий прав граждан на получение общедоступного и бесплатного дошкольного,  начального общего, основного общего, среднего (полного) общего образования, а также дополнительного образования в общеобразовательных учреждениях </t>
  </si>
  <si>
    <t>421 00 01</t>
  </si>
  <si>
    <t>Организация и осуществление деятельности органов местного самоуправления по осуществлению полномочий по опеке и попечительству, социальной поддержке детей-сирот, детей, оставшихся без попечения родителей, и лиц из их числа</t>
  </si>
  <si>
    <t>Софинансирование субсидии на кап.,текущий ремонт объектов социо-культ.сферы</t>
  </si>
  <si>
    <t>Проведение  капитального  и текущего  ремонтов  объектов образования</t>
  </si>
  <si>
    <t>Оздоровлени детей за счет средств республиканского бюджета</t>
  </si>
  <si>
    <t>Оздоровлени детей за счет средств местного бюджета</t>
  </si>
  <si>
    <t>Оздоровление детей (федеральные средства)</t>
  </si>
  <si>
    <t>0010000</t>
  </si>
  <si>
    <t>товаров, работ, услуг в сфере информационно-коммуникационных технологий</t>
  </si>
  <si>
    <t>Субсидии бюджетным учрежедниям на иные цели</t>
  </si>
  <si>
    <t xml:space="preserve">Региональные  целевые программы </t>
  </si>
  <si>
    <t>РЦП "Совершенствование организации школьного питания в Республике Алтай на 2012 - 2014 годы"</t>
  </si>
  <si>
    <t>5221000</t>
  </si>
  <si>
    <t>0980201</t>
  </si>
  <si>
    <t>РЦП "Развитие агропромышленного комплекса Республики Алтай на 2011-2017 годы"</t>
  </si>
  <si>
    <t>5222700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</si>
  <si>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 (умерших) инвалидов войны, участников Великой Отечественной войны, ветеранов боевых действий, инвалидов и семей, имеющих детей-инвалидов</t>
  </si>
  <si>
    <t>5053401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</si>
  <si>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 07.05.2008 года № 714                               "Об обеспечении жильем ветеранов Великой Отечественной войны 1941-1945 годов"</t>
  </si>
  <si>
    <t>РЦП "Культура Республики Алтай на 2011-2016 годы"</t>
  </si>
  <si>
    <t>5228600</t>
  </si>
  <si>
    <t>ПОСТУПЛЕНИЕ ДОХОДОВ ПО ОСНОВНЫМ ИСТОЧНИКАМ  БЮДЖЕТА МУНИЦИПАЛЬНОГО ОБРАЗОВАНИЯ "ОНГУДАЙСКИЙ РАЙОН"  В 2012 ГОДУ</t>
  </si>
  <si>
    <t>182  1  01  02000  01  0000  110</t>
  </si>
  <si>
    <t>182  1  01  02010  01  0000  110</t>
  </si>
  <si>
    <t>182  1  01  02020  01  0000  110</t>
  </si>
  <si>
    <t>182  1  01  02021  01  0000  110</t>
  </si>
  <si>
    <t>182  1  01  02022  01  0000  110</t>
  </si>
  <si>
    <t>182  1  01  02030  01  0000  110</t>
  </si>
  <si>
    <t>182  1  01  02040  01  0000  110</t>
  </si>
  <si>
    <t>182  1  05  01010  00  0000  110</t>
  </si>
  <si>
    <t>182  1  05  01011  01  0000  110</t>
  </si>
  <si>
    <t>182  1  05  01020  00  0000  110</t>
  </si>
  <si>
    <t>182  1  05  01021  01  0000  110</t>
  </si>
  <si>
    <t>Минимальный налог, зачисляемый в бюджеты субъектов Российской Федерации</t>
  </si>
  <si>
    <t>182  1  05  01050  01  0000  110</t>
  </si>
  <si>
    <t>182  1  05  02010  02  0000  110</t>
  </si>
  <si>
    <t>182  1  05  03010  01  0000  110</t>
  </si>
  <si>
    <t>182  1  06  02010  02  0000  110</t>
  </si>
  <si>
    <t>182  1  06  02020  02  0000  110</t>
  </si>
  <si>
    <t>182  1  07  01020  01  0000  110</t>
  </si>
  <si>
    <t>182  1  08  03010  01  0000  110</t>
  </si>
  <si>
    <t>092  1  08  07084  01  0000  110</t>
  </si>
  <si>
    <t>092  1  08  07150  01  1000  110</t>
  </si>
  <si>
    <t>092  1  11  03050  05  0000  120</t>
  </si>
  <si>
    <t>000  1  11  05013  00  0000  120</t>
  </si>
  <si>
    <t>092  1  11  05013  10  0000  120</t>
  </si>
  <si>
    <t>092  1  11  05035  05  0000  120</t>
  </si>
  <si>
    <t>Плата за иные виды негативного воздействия на окружающую среду</t>
  </si>
  <si>
    <t>048  1  12  01050  01  0000  120</t>
  </si>
  <si>
    <t>Прочие доходы от оказания платных услуг (работ)  получателями средств бюджетов муниципальных районов</t>
  </si>
  <si>
    <t>092  1  13  01995  05  0000  130</t>
  </si>
  <si>
    <t>Платежи, взимаемые органами  управления (организациями) муниципальных районов за выполнение определенных функций</t>
  </si>
  <si>
    <t>092  1  15  02050  05  0000  140</t>
  </si>
  <si>
    <t>182  1  16  03010  01  0000  140</t>
  </si>
  <si>
    <t>182  1  16  03030  01  0000  140</t>
  </si>
  <si>
    <t>182  1  16  06000  01  0000  140</t>
  </si>
  <si>
    <t>182  1  16  08000  01  0000  140</t>
  </si>
  <si>
    <t>048  1  16  25010  01  0000  140</t>
  </si>
  <si>
    <t>048  1  16  25030  01  0000  140</t>
  </si>
  <si>
    <t>321  1  16  25060  01  0000  140</t>
  </si>
  <si>
    <t>141  1  16  28000  01  0000  140</t>
  </si>
  <si>
    <t>188  1  16  30030  01  0000  140</t>
  </si>
  <si>
    <t>161  1  16  33050  05  0000  140</t>
  </si>
  <si>
    <t>092  1  17  05050  05  0000  180</t>
  </si>
  <si>
    <t>092 2  02  01001  05  0000  151</t>
  </si>
  <si>
    <t>092  2  02  01003  05  0000  151</t>
  </si>
  <si>
    <t>Субсидии бюджетам на реализацию федеральных целевых программ</t>
  </si>
  <si>
    <t>000  2  02  02051  00  0000  151</t>
  </si>
  <si>
    <t>Субсидии бюджетам муниципальных районов на реализацию федеральных целевых программ</t>
  </si>
  <si>
    <t>000  2  02  02051  05  0000  151</t>
  </si>
  <si>
    <t>092  2  02  02077  05  0000  151</t>
  </si>
  <si>
    <t>092  2  02  02999  05  0000  151</t>
  </si>
  <si>
    <t>092  2  02  03001  05  0000  151</t>
  </si>
  <si>
    <t>092  2  02  03004  05  0000  151</t>
  </si>
  <si>
    <t>092  2  02  03007  05  0000  151</t>
  </si>
  <si>
    <t>092  2  02  03013  05  0000  151</t>
  </si>
  <si>
    <t>092  2  02  03015  05  0000  151</t>
  </si>
  <si>
    <t>092  2  02  03022  05  0000  151</t>
  </si>
  <si>
    <t>092  2  02  03024  05  0000  151</t>
  </si>
  <si>
    <t>092  2  02  03026  05  0000  151</t>
  </si>
  <si>
    <t>092  2  02  03027  05  0000  151</t>
  </si>
  <si>
    <t>092  2  02  03029  05  0000  151</t>
  </si>
  <si>
    <t>092  2  02  03033  05  0000  151</t>
  </si>
  <si>
    <t>092  2  02  03055  05  0000  151</t>
  </si>
  <si>
    <t>092  2  02  03069  05  0000  151</t>
  </si>
  <si>
    <t>092  2  02  03070  05  0000  151</t>
  </si>
  <si>
    <t>ПОСТУПЛЕНИЕ ДОХОДОВ ПО ОСНОВНЫМ ИСТОЧНИКАМ  БЮДЖЕТА МУНИЦИПАЛЬНОГО ОБРАЗОВАНИЯ "ОНГУДАЙСКИЙ РАЙОН"  НА 2013 -2014 ГОДЫ</t>
  </si>
  <si>
    <t>Плата за иные виды  негативного воздействия на окружающую среду</t>
  </si>
  <si>
    <t>Прочие доходы от оказания платных услуг (работ) и компенсации затрат государства</t>
  </si>
  <si>
    <t>000  1  13  00000  00  0000  130</t>
  </si>
  <si>
    <t xml:space="preserve">Прочие доходы от оказания платных услуг (работ) получателями средств бюджетов муниципальных районов </t>
  </si>
  <si>
    <t>Платежи, взимаемые органами управления (организациями) муниципальных районов за выполнение определенных функций</t>
  </si>
  <si>
    <t>092  2  02  01001  05  0000  151</t>
  </si>
  <si>
    <t>Субсидии на реализацию республиканской целевой программы "Совершенствование организации школьного питания в Республике Алтай на 2012-2014 годы" (через Министерство образования, науки и молодежной политики Республики Алтай)</t>
  </si>
  <si>
    <t>Сумма на    2014г (тыс.руб.)</t>
  </si>
  <si>
    <t>Собств доходы</t>
  </si>
  <si>
    <t>межбюдж.тр-ты мр</t>
  </si>
  <si>
    <t>дотация мр</t>
  </si>
  <si>
    <t>межбюдж.тр-ты сп</t>
  </si>
  <si>
    <t>платные услуги</t>
  </si>
  <si>
    <t>условноутвержд расх</t>
  </si>
  <si>
    <t>Районная целевая программа "Реализация молодежной политики в Онгудайской районе на 2010-2013г"</t>
  </si>
  <si>
    <t>Культура и кинематография</t>
  </si>
  <si>
    <t>Обеспечение мероприятий по капитальному ремонту многоквартирных домов и переселение граждан из аварийного жилого фонда  за счет средств местного бюджета</t>
  </si>
  <si>
    <t>Функционирование высшего должностного лица муниципального образования</t>
  </si>
  <si>
    <t>Функционирование представительных органов муниципальных образований</t>
  </si>
  <si>
    <t>Функционирование местных администраций</t>
  </si>
  <si>
    <t>Обеспечение деятельности финансовых,органов финансового (финансово-бюджетного) надзора</t>
  </si>
  <si>
    <t>Ведомственная структура  расходов бюджета муниципального образования "Онгудайский район"                                   на плановый период 2013 и 2014 годов</t>
  </si>
  <si>
    <t>МЦП "Медико -социальная  поддержка слабозащищенных категорий населения в муниципальном образовании "Онгудайский район" на 2012-2014 годы"</t>
  </si>
  <si>
    <t>7952030</t>
  </si>
  <si>
    <t>Приложение 4</t>
  </si>
  <si>
    <t xml:space="preserve"> Приложение 11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</si>
</sst>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0.000"/>
    <numFmt numFmtId="183" formatCode="_-* #,##0.0_р_._-;\-* #,##0.0_р_._-;_-* &quot;-&quot;??_р_._-;_-@_-"/>
    <numFmt numFmtId="184" formatCode="0.00000"/>
    <numFmt numFmtId="185" formatCode="0.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00000"/>
    <numFmt numFmtId="191" formatCode="0.0000000"/>
    <numFmt numFmtId="192" formatCode="0.000000"/>
  </numFmts>
  <fonts count="82">
    <font>
      <sz val="10"/>
      <name val="Arial"/>
      <family val="0"/>
    </font>
    <font>
      <sz val="9"/>
      <name val="Arial"/>
      <family val="2"/>
    </font>
    <font>
      <b/>
      <sz val="9"/>
      <name val="Arial Cyr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Arial"/>
      <family val="2"/>
    </font>
    <font>
      <b/>
      <sz val="8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b/>
      <sz val="11"/>
      <color indexed="48"/>
      <name val="Times New Roman"/>
      <family val="1"/>
    </font>
    <font>
      <b/>
      <sz val="12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48"/>
      <name val="Times New Roman"/>
      <family val="1"/>
    </font>
    <font>
      <sz val="8"/>
      <color indexed="10"/>
      <name val="Times New Roman"/>
      <family val="1"/>
    </font>
    <font>
      <sz val="8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6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48"/>
      <name val="Times New Roman"/>
      <family val="1"/>
    </font>
    <font>
      <sz val="10"/>
      <color indexed="12"/>
      <name val="Times New Roman"/>
      <family val="1"/>
    </font>
    <font>
      <sz val="7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9"/>
      <color indexed="8"/>
      <name val="Arial Cyr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3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9"/>
      <color theme="1"/>
      <name val="Arial Cyr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rgb="FF0070C0"/>
      <name val="Times New Roman"/>
      <family val="1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/>
      <right style="medium"/>
      <top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/>
      <top style="thin"/>
      <bottom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642">
    <xf numFmtId="0" fontId="0" fillId="0" borderId="0" xfId="0" applyAlignment="1">
      <alignment/>
    </xf>
    <xf numFmtId="0" fontId="0" fillId="0" borderId="10" xfId="0" applyBorder="1" applyAlignment="1">
      <alignment/>
    </xf>
    <xf numFmtId="2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/>
    </xf>
    <xf numFmtId="180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80" fontId="1" fillId="0" borderId="0" xfId="0" applyNumberFormat="1" applyFont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wrapText="1"/>
    </xf>
    <xf numFmtId="4" fontId="2" fillId="0" borderId="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2" fontId="0" fillId="0" borderId="10" xfId="0" applyNumberFormat="1" applyFont="1" applyBorder="1" applyAlignment="1">
      <alignment vertical="center" wrapText="1"/>
    </xf>
    <xf numFmtId="4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180" fontId="1" fillId="0" borderId="0" xfId="0" applyNumberFormat="1" applyFont="1" applyAlignment="1">
      <alignment horizontal="left"/>
    </xf>
    <xf numFmtId="4" fontId="2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180" fontId="1" fillId="0" borderId="0" xfId="0" applyNumberFormat="1" applyFont="1" applyFill="1" applyAlignment="1">
      <alignment horizontal="left"/>
    </xf>
    <xf numFmtId="180" fontId="1" fillId="0" borderId="0" xfId="0" applyNumberFormat="1" applyFont="1" applyFill="1" applyAlignment="1">
      <alignment horizontal="right"/>
    </xf>
    <xf numFmtId="180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180" fontId="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80" fontId="2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180" fontId="1" fillId="0" borderId="0" xfId="0" applyNumberFormat="1" applyFont="1" applyFill="1" applyAlignment="1">
      <alignment horizontal="center"/>
    </xf>
    <xf numFmtId="4" fontId="1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4" fontId="1" fillId="0" borderId="0" xfId="0" applyNumberFormat="1" applyFont="1" applyAlignment="1">
      <alignment wrapText="1"/>
    </xf>
    <xf numFmtId="0" fontId="1" fillId="0" borderId="10" xfId="0" applyFont="1" applyBorder="1" applyAlignment="1">
      <alignment horizontal="center"/>
    </xf>
    <xf numFmtId="180" fontId="1" fillId="0" borderId="10" xfId="0" applyNumberFormat="1" applyFont="1" applyBorder="1" applyAlignment="1">
      <alignment horizontal="center"/>
    </xf>
    <xf numFmtId="180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80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76" fillId="0" borderId="0" xfId="0" applyFont="1" applyAlignment="1">
      <alignment vertical="top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/>
    </xf>
    <xf numFmtId="0" fontId="9" fillId="0" borderId="0" xfId="0" applyFont="1" applyAlignment="1">
      <alignment horizontal="left" vertical="top" wrapText="1"/>
    </xf>
    <xf numFmtId="43" fontId="0" fillId="0" borderId="0" xfId="70" applyFont="1" applyAlignment="1">
      <alignment horizontal="center" vertical="center"/>
    </xf>
    <xf numFmtId="0" fontId="7" fillId="0" borderId="0" xfId="0" applyFont="1" applyFill="1" applyAlignment="1">
      <alignment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77" fillId="0" borderId="0" xfId="0" applyFont="1" applyAlignment="1">
      <alignment/>
    </xf>
    <xf numFmtId="0" fontId="77" fillId="0" borderId="0" xfId="0" applyFont="1" applyAlignment="1">
      <alignment wrapText="1"/>
    </xf>
    <xf numFmtId="49" fontId="77" fillId="0" borderId="0" xfId="0" applyNumberFormat="1" applyFont="1" applyAlignment="1">
      <alignment/>
    </xf>
    <xf numFmtId="0" fontId="78" fillId="0" borderId="0" xfId="0" applyFont="1" applyAlignment="1">
      <alignment horizontal="center" vertical="center" wrapText="1"/>
    </xf>
    <xf numFmtId="0" fontId="77" fillId="0" borderId="10" xfId="0" applyFont="1" applyBorder="1" applyAlignment="1">
      <alignment wrapText="1"/>
    </xf>
    <xf numFmtId="49" fontId="77" fillId="0" borderId="10" xfId="0" applyNumberFormat="1" applyFont="1" applyBorder="1" applyAlignment="1">
      <alignment/>
    </xf>
    <xf numFmtId="4" fontId="77" fillId="0" borderId="10" xfId="0" applyNumberFormat="1" applyFont="1" applyBorder="1" applyAlignment="1">
      <alignment/>
    </xf>
    <xf numFmtId="0" fontId="77" fillId="0" borderId="0" xfId="0" applyFont="1" applyAlignment="1">
      <alignment/>
    </xf>
    <xf numFmtId="4" fontId="77" fillId="0" borderId="0" xfId="0" applyNumberFormat="1" applyFont="1" applyAlignment="1">
      <alignment/>
    </xf>
    <xf numFmtId="0" fontId="77" fillId="0" borderId="10" xfId="0" applyFont="1" applyBorder="1" applyAlignment="1">
      <alignment horizontal="right" wrapText="1"/>
    </xf>
    <xf numFmtId="49" fontId="11" fillId="0" borderId="10" xfId="56" applyNumberFormat="1" applyFont="1" applyFill="1" applyBorder="1" applyAlignment="1">
      <alignment horizontal="left" vertical="top" wrapText="1"/>
      <protection/>
    </xf>
    <xf numFmtId="49" fontId="79" fillId="0" borderId="10" xfId="0" applyNumberFormat="1" applyFont="1" applyBorder="1" applyAlignment="1">
      <alignment/>
    </xf>
    <xf numFmtId="183" fontId="12" fillId="0" borderId="10" xfId="73" applyNumberFormat="1" applyFont="1" applyFill="1" applyBorder="1" applyAlignment="1">
      <alignment horizontal="left" vertical="top" wrapText="1"/>
    </xf>
    <xf numFmtId="4" fontId="79" fillId="0" borderId="10" xfId="0" applyNumberFormat="1" applyFont="1" applyBorder="1" applyAlignment="1">
      <alignment vertical="top" wrapText="1"/>
    </xf>
    <xf numFmtId="0" fontId="79" fillId="0" borderId="10" xfId="0" applyFont="1" applyBorder="1" applyAlignment="1">
      <alignment wrapText="1"/>
    </xf>
    <xf numFmtId="0" fontId="11" fillId="0" borderId="10" xfId="53" applyFont="1" applyFill="1" applyBorder="1" applyAlignment="1">
      <alignment horizontal="left" vertical="top" wrapText="1"/>
      <protection/>
    </xf>
    <xf numFmtId="183" fontId="12" fillId="0" borderId="10" xfId="70" applyNumberFormat="1" applyFont="1" applyFill="1" applyBorder="1" applyAlignment="1">
      <alignment horizontal="left" vertical="top" wrapText="1"/>
    </xf>
    <xf numFmtId="0" fontId="79" fillId="0" borderId="0" xfId="0" applyFont="1" applyAlignment="1">
      <alignment/>
    </xf>
    <xf numFmtId="4" fontId="77" fillId="0" borderId="10" xfId="0" applyNumberFormat="1" applyFont="1" applyBorder="1" applyAlignment="1">
      <alignment vertical="top" wrapText="1"/>
    </xf>
    <xf numFmtId="0" fontId="78" fillId="0" borderId="12" xfId="0" applyFont="1" applyBorder="1" applyAlignment="1">
      <alignment horizontal="center"/>
    </xf>
    <xf numFmtId="0" fontId="78" fillId="0" borderId="0" xfId="0" applyFont="1" applyAlignment="1">
      <alignment/>
    </xf>
    <xf numFmtId="0" fontId="78" fillId="0" borderId="10" xfId="0" applyFont="1" applyBorder="1" applyAlignment="1">
      <alignment vertical="center" wrapText="1"/>
    </xf>
    <xf numFmtId="0" fontId="77" fillId="0" borderId="13" xfId="0" applyFont="1" applyBorder="1" applyAlignment="1">
      <alignment wrapText="1"/>
    </xf>
    <xf numFmtId="49" fontId="77" fillId="0" borderId="13" xfId="0" applyNumberFormat="1" applyFont="1" applyBorder="1" applyAlignment="1">
      <alignment/>
    </xf>
    <xf numFmtId="0" fontId="77" fillId="0" borderId="0" xfId="0" applyFont="1" applyBorder="1" applyAlignment="1">
      <alignment wrapText="1"/>
    </xf>
    <xf numFmtId="49" fontId="77" fillId="0" borderId="0" xfId="0" applyNumberFormat="1" applyFont="1" applyBorder="1" applyAlignment="1">
      <alignment/>
    </xf>
    <xf numFmtId="0" fontId="77" fillId="0" borderId="0" xfId="0" applyFont="1" applyBorder="1" applyAlignment="1">
      <alignment/>
    </xf>
    <xf numFmtId="0" fontId="77" fillId="0" borderId="0" xfId="0" applyFont="1" applyBorder="1" applyAlignment="1">
      <alignment/>
    </xf>
    <xf numFmtId="4" fontId="77" fillId="0" borderId="0" xfId="0" applyNumberFormat="1" applyFont="1" applyBorder="1" applyAlignment="1">
      <alignment/>
    </xf>
    <xf numFmtId="183" fontId="13" fillId="0" borderId="0" xfId="70" applyNumberFormat="1" applyFont="1" applyFill="1" applyBorder="1" applyAlignment="1">
      <alignment horizontal="left" vertical="top" wrapText="1"/>
    </xf>
    <xf numFmtId="4" fontId="77" fillId="0" borderId="0" xfId="0" applyNumberFormat="1" applyFont="1" applyBorder="1" applyAlignment="1">
      <alignment/>
    </xf>
    <xf numFmtId="0" fontId="14" fillId="0" borderId="0" xfId="58" applyFont="1">
      <alignment/>
      <protection/>
    </xf>
    <xf numFmtId="0" fontId="14" fillId="0" borderId="0" xfId="58" applyFont="1" applyAlignment="1">
      <alignment/>
      <protection/>
    </xf>
    <xf numFmtId="0" fontId="14" fillId="0" borderId="0" xfId="58" applyFont="1" applyBorder="1">
      <alignment/>
      <protection/>
    </xf>
    <xf numFmtId="0" fontId="0" fillId="0" borderId="0" xfId="0" applyFont="1" applyAlignment="1">
      <alignment horizontal="left" wrapText="1"/>
    </xf>
    <xf numFmtId="0" fontId="1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5" fillId="0" borderId="10" xfId="58" applyFont="1" applyBorder="1" applyAlignment="1">
      <alignment horizontal="center" vertical="center" wrapText="1"/>
      <protection/>
    </xf>
    <xf numFmtId="0" fontId="14" fillId="0" borderId="10" xfId="0" applyFont="1" applyBorder="1" applyAlignment="1">
      <alignment horizontal="center" vertical="center" wrapText="1"/>
    </xf>
    <xf numFmtId="0" fontId="15" fillId="0" borderId="10" xfId="58" applyFont="1" applyBorder="1" applyAlignment="1">
      <alignment wrapText="1"/>
      <protection/>
    </xf>
    <xf numFmtId="49" fontId="15" fillId="0" borderId="10" xfId="58" applyNumberFormat="1" applyFont="1" applyBorder="1" applyAlignment="1">
      <alignment horizontal="center"/>
      <protection/>
    </xf>
    <xf numFmtId="2" fontId="15" fillId="0" borderId="10" xfId="58" applyNumberFormat="1" applyFont="1" applyBorder="1">
      <alignment/>
      <protection/>
    </xf>
    <xf numFmtId="0" fontId="14" fillId="0" borderId="10" xfId="58" applyFont="1" applyBorder="1" applyAlignment="1">
      <alignment wrapText="1"/>
      <protection/>
    </xf>
    <xf numFmtId="49" fontId="14" fillId="0" borderId="10" xfId="58" applyNumberFormat="1" applyFont="1" applyBorder="1" applyAlignment="1">
      <alignment horizontal="center"/>
      <protection/>
    </xf>
    <xf numFmtId="2" fontId="14" fillId="0" borderId="10" xfId="0" applyNumberFormat="1" applyFont="1" applyBorder="1" applyAlignment="1">
      <alignment horizontal="center" wrapText="1"/>
    </xf>
    <xf numFmtId="0" fontId="16" fillId="0" borderId="10" xfId="58" applyFont="1" applyBorder="1" applyAlignment="1">
      <alignment wrapText="1"/>
      <protection/>
    </xf>
    <xf numFmtId="2" fontId="15" fillId="0" borderId="10" xfId="0" applyNumberFormat="1" applyFont="1" applyBorder="1" applyAlignment="1">
      <alignment horizontal="center" wrapText="1"/>
    </xf>
    <xf numFmtId="2" fontId="15" fillId="0" borderId="10" xfId="58" applyNumberFormat="1" applyFont="1" applyBorder="1" applyAlignment="1">
      <alignment horizontal="center"/>
      <protection/>
    </xf>
    <xf numFmtId="0" fontId="14" fillId="0" borderId="10" xfId="0" applyFont="1" applyBorder="1" applyAlignment="1">
      <alignment wrapText="1"/>
    </xf>
    <xf numFmtId="2" fontId="14" fillId="0" borderId="0" xfId="58" applyNumberFormat="1" applyFont="1">
      <alignment/>
      <protection/>
    </xf>
    <xf numFmtId="0" fontId="13" fillId="0" borderId="0" xfId="0" applyFont="1" applyAlignment="1">
      <alignment/>
    </xf>
    <xf numFmtId="0" fontId="14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/>
    </xf>
    <xf numFmtId="182" fontId="14" fillId="0" borderId="10" xfId="0" applyNumberFormat="1" applyFont="1" applyFill="1" applyBorder="1" applyAlignment="1">
      <alignment/>
    </xf>
    <xf numFmtId="2" fontId="15" fillId="0" borderId="10" xfId="0" applyNumberFormat="1" applyFont="1" applyFill="1" applyBorder="1" applyAlignment="1">
      <alignment/>
    </xf>
    <xf numFmtId="2" fontId="13" fillId="0" borderId="14" xfId="0" applyNumberFormat="1" applyFont="1" applyFill="1" applyBorder="1" applyAlignment="1">
      <alignment/>
    </xf>
    <xf numFmtId="2" fontId="13" fillId="0" borderId="15" xfId="0" applyNumberFormat="1" applyFont="1" applyFill="1" applyBorder="1" applyAlignment="1">
      <alignment/>
    </xf>
    <xf numFmtId="181" fontId="15" fillId="0" borderId="10" xfId="0" applyNumberFormat="1" applyFont="1" applyFill="1" applyBorder="1" applyAlignment="1">
      <alignment/>
    </xf>
    <xf numFmtId="2" fontId="21" fillId="0" borderId="16" xfId="0" applyNumberFormat="1" applyFont="1" applyFill="1" applyBorder="1" applyAlignment="1">
      <alignment/>
    </xf>
    <xf numFmtId="2" fontId="21" fillId="0" borderId="17" xfId="0" applyNumberFormat="1" applyFont="1" applyFill="1" applyBorder="1" applyAlignment="1">
      <alignment/>
    </xf>
    <xf numFmtId="0" fontId="15" fillId="0" borderId="10" xfId="0" applyFont="1" applyFill="1" applyBorder="1" applyAlignment="1">
      <alignment wrapText="1"/>
    </xf>
    <xf numFmtId="49" fontId="15" fillId="0" borderId="10" xfId="0" applyNumberFormat="1" applyFont="1" applyFill="1" applyBorder="1" applyAlignment="1">
      <alignment/>
    </xf>
    <xf numFmtId="181" fontId="14" fillId="0" borderId="10" xfId="0" applyNumberFormat="1" applyFont="1" applyFill="1" applyBorder="1" applyAlignment="1">
      <alignment/>
    </xf>
    <xf numFmtId="2" fontId="14" fillId="0" borderId="10" xfId="0" applyNumberFormat="1" applyFont="1" applyFill="1" applyBorder="1" applyAlignment="1">
      <alignment/>
    </xf>
    <xf numFmtId="2" fontId="13" fillId="0" borderId="18" xfId="0" applyNumberFormat="1" applyFont="1" applyFill="1" applyBorder="1" applyAlignment="1">
      <alignment/>
    </xf>
    <xf numFmtId="2" fontId="13" fillId="0" borderId="19" xfId="0" applyNumberFormat="1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2" fontId="21" fillId="0" borderId="18" xfId="0" applyNumberFormat="1" applyFont="1" applyFill="1" applyBorder="1" applyAlignment="1">
      <alignment/>
    </xf>
    <xf numFmtId="2" fontId="21" fillId="0" borderId="19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justify" wrapText="1"/>
    </xf>
    <xf numFmtId="0" fontId="14" fillId="0" borderId="10" xfId="0" applyFont="1" applyFill="1" applyBorder="1" applyAlignment="1">
      <alignment/>
    </xf>
    <xf numFmtId="2" fontId="13" fillId="0" borderId="20" xfId="0" applyNumberFormat="1" applyFont="1" applyFill="1" applyBorder="1" applyAlignment="1">
      <alignment/>
    </xf>
    <xf numFmtId="0" fontId="14" fillId="0" borderId="10" xfId="57" applyFont="1" applyFill="1" applyBorder="1" applyAlignment="1">
      <alignment wrapText="1"/>
      <protection/>
    </xf>
    <xf numFmtId="2" fontId="13" fillId="0" borderId="21" xfId="0" applyNumberFormat="1" applyFont="1" applyFill="1" applyBorder="1" applyAlignment="1">
      <alignment/>
    </xf>
    <xf numFmtId="2" fontId="13" fillId="0" borderId="22" xfId="0" applyNumberFormat="1" applyFont="1" applyFill="1" applyBorder="1" applyAlignment="1">
      <alignment/>
    </xf>
    <xf numFmtId="2" fontId="20" fillId="0" borderId="16" xfId="0" applyNumberFormat="1" applyFont="1" applyFill="1" applyBorder="1" applyAlignment="1">
      <alignment/>
    </xf>
    <xf numFmtId="2" fontId="20" fillId="0" borderId="17" xfId="0" applyNumberFormat="1" applyFont="1" applyFill="1" applyBorder="1" applyAlignment="1">
      <alignment/>
    </xf>
    <xf numFmtId="184" fontId="13" fillId="0" borderId="0" xfId="0" applyNumberFormat="1" applyFont="1" applyAlignment="1">
      <alignment/>
    </xf>
    <xf numFmtId="49" fontId="14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wrapText="1"/>
    </xf>
    <xf numFmtId="2" fontId="20" fillId="0" borderId="18" xfId="0" applyNumberFormat="1" applyFont="1" applyFill="1" applyBorder="1" applyAlignment="1">
      <alignment/>
    </xf>
    <xf numFmtId="2" fontId="22" fillId="0" borderId="2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2" fontId="22" fillId="0" borderId="23" xfId="0" applyNumberFormat="1" applyFont="1" applyFill="1" applyBorder="1" applyAlignment="1">
      <alignment/>
    </xf>
    <xf numFmtId="181" fontId="13" fillId="0" borderId="0" xfId="0" applyNumberFormat="1" applyFont="1" applyFill="1" applyBorder="1" applyAlignment="1">
      <alignment/>
    </xf>
    <xf numFmtId="2" fontId="13" fillId="0" borderId="11" xfId="0" applyNumberFormat="1" applyFont="1" applyFill="1" applyBorder="1" applyAlignment="1">
      <alignment/>
    </xf>
    <xf numFmtId="2" fontId="13" fillId="0" borderId="24" xfId="0" applyNumberFormat="1" applyFont="1" applyFill="1" applyBorder="1" applyAlignment="1">
      <alignment/>
    </xf>
    <xf numFmtId="2" fontId="22" fillId="0" borderId="25" xfId="0" applyNumberFormat="1" applyFont="1" applyFill="1" applyBorder="1" applyAlignment="1">
      <alignment/>
    </xf>
    <xf numFmtId="2" fontId="13" fillId="0" borderId="26" xfId="0" applyNumberFormat="1" applyFont="1" applyFill="1" applyBorder="1" applyAlignment="1">
      <alignment/>
    </xf>
    <xf numFmtId="2" fontId="22" fillId="0" borderId="27" xfId="0" applyNumberFormat="1" applyFont="1" applyFill="1" applyBorder="1" applyAlignment="1">
      <alignment/>
    </xf>
    <xf numFmtId="2" fontId="13" fillId="0" borderId="28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/>
    </xf>
    <xf numFmtId="0" fontId="15" fillId="0" borderId="10" xfId="0" applyFont="1" applyFill="1" applyBorder="1" applyAlignment="1">
      <alignment horizontal="center" wrapText="1"/>
    </xf>
    <xf numFmtId="2" fontId="23" fillId="0" borderId="14" xfId="0" applyNumberFormat="1" applyFont="1" applyFill="1" applyBorder="1" applyAlignment="1">
      <alignment/>
    </xf>
    <xf numFmtId="2" fontId="23" fillId="0" borderId="29" xfId="0" applyNumberFormat="1" applyFont="1" applyFill="1" applyBorder="1" applyAlignment="1">
      <alignment/>
    </xf>
    <xf numFmtId="182" fontId="13" fillId="0" borderId="0" xfId="0" applyNumberFormat="1" applyFont="1" applyAlignment="1">
      <alignment/>
    </xf>
    <xf numFmtId="0" fontId="14" fillId="0" borderId="10" xfId="0" applyFont="1" applyFill="1" applyBorder="1" applyAlignment="1">
      <alignment horizontal="justify" vertical="top" wrapText="1"/>
    </xf>
    <xf numFmtId="2" fontId="20" fillId="0" borderId="19" xfId="0" applyNumberFormat="1" applyFont="1" applyFill="1" applyBorder="1" applyAlignment="1">
      <alignment/>
    </xf>
    <xf numFmtId="181" fontId="13" fillId="0" borderId="0" xfId="0" applyNumberFormat="1" applyFont="1" applyAlignment="1">
      <alignment/>
    </xf>
    <xf numFmtId="2" fontId="13" fillId="0" borderId="10" xfId="0" applyNumberFormat="1" applyFont="1" applyFill="1" applyBorder="1" applyAlignment="1">
      <alignment/>
    </xf>
    <xf numFmtId="2" fontId="24" fillId="0" borderId="18" xfId="0" applyNumberFormat="1" applyFont="1" applyFill="1" applyBorder="1" applyAlignment="1">
      <alignment/>
    </xf>
    <xf numFmtId="0" fontId="14" fillId="0" borderId="10" xfId="54" applyFont="1" applyFill="1" applyBorder="1" applyAlignment="1">
      <alignment horizontal="justify" vertical="top" wrapText="1" shrinkToFit="1"/>
      <protection/>
    </xf>
    <xf numFmtId="4" fontId="14" fillId="0" borderId="10" xfId="0" applyNumberFormat="1" applyFont="1" applyFill="1" applyBorder="1" applyAlignment="1">
      <alignment horizontal="justify" vertical="top" wrapText="1"/>
    </xf>
    <xf numFmtId="2" fontId="13" fillId="0" borderId="0" xfId="0" applyNumberFormat="1" applyFont="1" applyAlignment="1">
      <alignment/>
    </xf>
    <xf numFmtId="2" fontId="24" fillId="0" borderId="20" xfId="0" applyNumberFormat="1" applyFont="1" applyFill="1" applyBorder="1" applyAlignment="1">
      <alignment/>
    </xf>
    <xf numFmtId="2" fontId="24" fillId="0" borderId="30" xfId="0" applyNumberFormat="1" applyFont="1" applyFill="1" applyBorder="1" applyAlignment="1">
      <alignment/>
    </xf>
    <xf numFmtId="2" fontId="20" fillId="0" borderId="10" xfId="0" applyNumberFormat="1" applyFont="1" applyFill="1" applyBorder="1" applyAlignment="1">
      <alignment/>
    </xf>
    <xf numFmtId="0" fontId="14" fillId="0" borderId="10" xfId="54" applyFont="1" applyFill="1" applyBorder="1" applyAlignment="1">
      <alignment horizontal="justify" wrapText="1" shrinkToFit="1"/>
      <protection/>
    </xf>
    <xf numFmtId="2" fontId="13" fillId="0" borderId="30" xfId="0" applyNumberFormat="1" applyFont="1" applyFill="1" applyBorder="1" applyAlignment="1">
      <alignment/>
    </xf>
    <xf numFmtId="49" fontId="14" fillId="0" borderId="10" xfId="54" applyNumberFormat="1" applyFont="1" applyFill="1" applyBorder="1" applyAlignment="1">
      <alignment horizontal="center" wrapText="1"/>
      <protection/>
    </xf>
    <xf numFmtId="0" fontId="14" fillId="0" borderId="10" xfId="0" applyFont="1" applyFill="1" applyBorder="1" applyAlignment="1">
      <alignment wrapText="1" shrinkToFit="1"/>
    </xf>
    <xf numFmtId="2" fontId="13" fillId="0" borderId="31" xfId="0" applyNumberFormat="1" applyFont="1" applyFill="1" applyBorder="1" applyAlignment="1">
      <alignment/>
    </xf>
    <xf numFmtId="4" fontId="15" fillId="0" borderId="10" xfId="0" applyNumberFormat="1" applyFont="1" applyFill="1" applyBorder="1" applyAlignment="1">
      <alignment/>
    </xf>
    <xf numFmtId="2" fontId="23" fillId="0" borderId="26" xfId="0" applyNumberFormat="1" applyFont="1" applyFill="1" applyBorder="1" applyAlignment="1">
      <alignment/>
    </xf>
    <xf numFmtId="2" fontId="23" fillId="0" borderId="32" xfId="0" applyNumberFormat="1" applyFont="1" applyFill="1" applyBorder="1" applyAlignment="1">
      <alignment/>
    </xf>
    <xf numFmtId="2" fontId="21" fillId="0" borderId="33" xfId="0" applyNumberFormat="1" applyFont="1" applyFill="1" applyBorder="1" applyAlignment="1">
      <alignment/>
    </xf>
    <xf numFmtId="2" fontId="21" fillId="0" borderId="34" xfId="0" applyNumberFormat="1" applyFont="1" applyFill="1" applyBorder="1" applyAlignment="1">
      <alignment/>
    </xf>
    <xf numFmtId="0" fontId="15" fillId="0" borderId="10" xfId="58" applyFont="1" applyFill="1" applyBorder="1" applyAlignment="1">
      <alignment horizontal="left" wrapText="1"/>
      <protection/>
    </xf>
    <xf numFmtId="0" fontId="14" fillId="0" borderId="10" xfId="58" applyFont="1" applyFill="1" applyBorder="1" applyAlignment="1">
      <alignment horizontal="left" wrapText="1"/>
      <protection/>
    </xf>
    <xf numFmtId="0" fontId="15" fillId="0" borderId="10" xfId="57" applyFont="1" applyFill="1" applyBorder="1" applyAlignment="1">
      <alignment wrapText="1"/>
      <protection/>
    </xf>
    <xf numFmtId="0" fontId="20" fillId="0" borderId="0" xfId="0" applyFont="1" applyAlignment="1">
      <alignment/>
    </xf>
    <xf numFmtId="0" fontId="15" fillId="0" borderId="10" xfId="54" applyFont="1" applyFill="1" applyBorder="1" applyAlignment="1">
      <alignment horizontal="justify" vertical="top" wrapText="1" shrinkToFit="1"/>
      <protection/>
    </xf>
    <xf numFmtId="49" fontId="15" fillId="0" borderId="10" xfId="54" applyNumberFormat="1" applyFont="1" applyFill="1" applyBorder="1" applyAlignment="1">
      <alignment horizontal="center" wrapText="1"/>
      <protection/>
    </xf>
    <xf numFmtId="0" fontId="14" fillId="0" borderId="10" xfId="54" applyFont="1" applyFill="1" applyBorder="1" applyAlignment="1">
      <alignment horizontal="justify" vertical="center" wrapText="1" shrinkToFit="1"/>
      <protection/>
    </xf>
    <xf numFmtId="49" fontId="14" fillId="0" borderId="10" xfId="54" applyNumberFormat="1" applyFont="1" applyFill="1" applyBorder="1" applyAlignment="1">
      <alignment horizontal="left" wrapText="1" shrinkToFit="1"/>
      <protection/>
    </xf>
    <xf numFmtId="2" fontId="13" fillId="0" borderId="17" xfId="0" applyNumberFormat="1" applyFont="1" applyFill="1" applyBorder="1" applyAlignment="1">
      <alignment/>
    </xf>
    <xf numFmtId="2" fontId="13" fillId="0" borderId="16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wrapText="1"/>
    </xf>
    <xf numFmtId="4" fontId="14" fillId="0" borderId="10" xfId="0" applyNumberFormat="1" applyFont="1" applyFill="1" applyBorder="1" applyAlignment="1">
      <alignment/>
    </xf>
    <xf numFmtId="0" fontId="15" fillId="0" borderId="10" xfId="57" applyFont="1" applyFill="1" applyBorder="1">
      <alignment/>
      <protection/>
    </xf>
    <xf numFmtId="2" fontId="20" fillId="0" borderId="0" xfId="0" applyNumberFormat="1" applyFont="1" applyAlignment="1">
      <alignment/>
    </xf>
    <xf numFmtId="2" fontId="13" fillId="0" borderId="23" xfId="0" applyNumberFormat="1" applyFont="1" applyFill="1" applyBorder="1" applyAlignment="1">
      <alignment/>
    </xf>
    <xf numFmtId="2" fontId="13" fillId="0" borderId="35" xfId="0" applyNumberFormat="1" applyFont="1" applyFill="1" applyBorder="1" applyAlignment="1">
      <alignment/>
    </xf>
    <xf numFmtId="0" fontId="14" fillId="0" borderId="10" xfId="57" applyFont="1" applyFill="1" applyBorder="1">
      <alignment/>
      <protection/>
    </xf>
    <xf numFmtId="184" fontId="13" fillId="0" borderId="0" xfId="0" applyNumberFormat="1" applyFont="1" applyFill="1" applyAlignment="1">
      <alignment/>
    </xf>
    <xf numFmtId="2" fontId="20" fillId="0" borderId="20" xfId="0" applyNumberFormat="1" applyFont="1" applyFill="1" applyBorder="1" applyAlignment="1">
      <alignment/>
    </xf>
    <xf numFmtId="184" fontId="20" fillId="0" borderId="0" xfId="0" applyNumberFormat="1" applyFont="1" applyAlignment="1">
      <alignment/>
    </xf>
    <xf numFmtId="182" fontId="15" fillId="0" borderId="10" xfId="0" applyNumberFormat="1" applyFont="1" applyFill="1" applyBorder="1" applyAlignment="1">
      <alignment/>
    </xf>
    <xf numFmtId="2" fontId="15" fillId="0" borderId="10" xfId="55" applyNumberFormat="1" applyFont="1" applyFill="1" applyBorder="1">
      <alignment/>
      <protection/>
    </xf>
    <xf numFmtId="0" fontId="21" fillId="0" borderId="0" xfId="0" applyFont="1" applyAlignment="1">
      <alignment/>
    </xf>
    <xf numFmtId="2" fontId="14" fillId="0" borderId="10" xfId="55" applyNumberFormat="1" applyFont="1" applyFill="1" applyBorder="1">
      <alignment/>
      <protection/>
    </xf>
    <xf numFmtId="2" fontId="21" fillId="0" borderId="21" xfId="0" applyNumberFormat="1" applyFont="1" applyFill="1" applyBorder="1" applyAlignment="1">
      <alignment/>
    </xf>
    <xf numFmtId="179" fontId="14" fillId="0" borderId="10" xfId="72" applyNumberFormat="1" applyFont="1" applyFill="1" applyBorder="1" applyAlignment="1">
      <alignment horizontal="left" vertical="justify" wrapText="1"/>
    </xf>
    <xf numFmtId="2" fontId="13" fillId="0" borderId="18" xfId="55" applyNumberFormat="1" applyFont="1" applyFill="1" applyBorder="1">
      <alignment/>
      <protection/>
    </xf>
    <xf numFmtId="2" fontId="21" fillId="0" borderId="18" xfId="55" applyNumberFormat="1" applyFont="1" applyFill="1" applyBorder="1">
      <alignment/>
      <protection/>
    </xf>
    <xf numFmtId="179" fontId="15" fillId="0" borderId="10" xfId="72" applyNumberFormat="1" applyFont="1" applyFill="1" applyBorder="1" applyAlignment="1">
      <alignment wrapText="1"/>
    </xf>
    <xf numFmtId="2" fontId="20" fillId="0" borderId="18" xfId="55" applyNumberFormat="1" applyFont="1" applyFill="1" applyBorder="1">
      <alignment/>
      <protection/>
    </xf>
    <xf numFmtId="2" fontId="21" fillId="0" borderId="10" xfId="0" applyNumberFormat="1" applyFont="1" applyFill="1" applyBorder="1" applyAlignment="1">
      <alignment/>
    </xf>
    <xf numFmtId="2" fontId="20" fillId="0" borderId="20" xfId="55" applyNumberFormat="1" applyFont="1" applyFill="1" applyBorder="1">
      <alignment/>
      <protection/>
    </xf>
    <xf numFmtId="2" fontId="20" fillId="0" borderId="30" xfId="55" applyNumberFormat="1" applyFont="1" applyFill="1" applyBorder="1">
      <alignment/>
      <protection/>
    </xf>
    <xf numFmtId="49" fontId="14" fillId="0" borderId="10" xfId="58" applyNumberFormat="1" applyFont="1" applyBorder="1" applyAlignment="1">
      <alignment horizontal="left" wrapText="1"/>
      <protection/>
    </xf>
    <xf numFmtId="0" fontId="15" fillId="0" borderId="10" xfId="58" applyFont="1" applyFill="1" applyBorder="1" applyAlignment="1">
      <alignment horizontal="left"/>
      <protection/>
    </xf>
    <xf numFmtId="2" fontId="25" fillId="0" borderId="18" xfId="0" applyNumberFormat="1" applyFont="1" applyFill="1" applyBorder="1" applyAlignment="1">
      <alignment/>
    </xf>
    <xf numFmtId="2" fontId="25" fillId="0" borderId="19" xfId="0" applyNumberFormat="1" applyFont="1" applyFill="1" applyBorder="1" applyAlignment="1">
      <alignment/>
    </xf>
    <xf numFmtId="2" fontId="13" fillId="0" borderId="32" xfId="0" applyNumberFormat="1" applyFont="1" applyFill="1" applyBorder="1" applyAlignment="1">
      <alignment/>
    </xf>
    <xf numFmtId="2" fontId="80" fillId="0" borderId="16" xfId="0" applyNumberFormat="1" applyFont="1" applyFill="1" applyBorder="1" applyAlignment="1">
      <alignment/>
    </xf>
    <xf numFmtId="0" fontId="15" fillId="0" borderId="10" xfId="57" applyFont="1" applyFill="1" applyBorder="1" applyAlignment="1">
      <alignment vertical="center" wrapText="1"/>
      <protection/>
    </xf>
    <xf numFmtId="2" fontId="20" fillId="0" borderId="26" xfId="0" applyNumberFormat="1" applyFont="1" applyFill="1" applyBorder="1" applyAlignment="1">
      <alignment/>
    </xf>
    <xf numFmtId="2" fontId="20" fillId="0" borderId="32" xfId="0" applyNumberFormat="1" applyFont="1" applyFill="1" applyBorder="1" applyAlignment="1">
      <alignment/>
    </xf>
    <xf numFmtId="0" fontId="15" fillId="0" borderId="10" xfId="58" applyFont="1" applyFill="1" applyBorder="1" applyAlignment="1">
      <alignment horizontal="center" wrapText="1"/>
      <protection/>
    </xf>
    <xf numFmtId="180" fontId="14" fillId="0" borderId="10" xfId="0" applyNumberFormat="1" applyFont="1" applyFill="1" applyBorder="1" applyAlignment="1">
      <alignment/>
    </xf>
    <xf numFmtId="2" fontId="21" fillId="0" borderId="20" xfId="0" applyNumberFormat="1" applyFont="1" applyFill="1" applyBorder="1" applyAlignment="1">
      <alignment/>
    </xf>
    <xf numFmtId="2" fontId="21" fillId="0" borderId="30" xfId="0" applyNumberFormat="1" applyFont="1" applyFill="1" applyBorder="1" applyAlignment="1">
      <alignment/>
    </xf>
    <xf numFmtId="2" fontId="13" fillId="0" borderId="27" xfId="0" applyNumberFormat="1" applyFont="1" applyFill="1" applyBorder="1" applyAlignment="1">
      <alignment/>
    </xf>
    <xf numFmtId="2" fontId="23" fillId="0" borderId="36" xfId="0" applyNumberFormat="1" applyFont="1" applyFill="1" applyBorder="1" applyAlignment="1">
      <alignment/>
    </xf>
    <xf numFmtId="2" fontId="23" fillId="0" borderId="37" xfId="0" applyNumberFormat="1" applyFont="1" applyFill="1" applyBorder="1" applyAlignment="1">
      <alignment/>
    </xf>
    <xf numFmtId="182" fontId="23" fillId="0" borderId="0" xfId="0" applyNumberFormat="1" applyFont="1" applyAlignment="1">
      <alignment/>
    </xf>
    <xf numFmtId="0" fontId="23" fillId="0" borderId="0" xfId="0" applyFont="1" applyAlignment="1">
      <alignment/>
    </xf>
    <xf numFmtId="184" fontId="23" fillId="0" borderId="0" xfId="0" applyNumberFormat="1" applyFont="1" applyAlignment="1">
      <alignment/>
    </xf>
    <xf numFmtId="182" fontId="23" fillId="0" borderId="0" xfId="0" applyNumberFormat="1" applyFont="1" applyBorder="1" applyAlignment="1">
      <alignment/>
    </xf>
    <xf numFmtId="2" fontId="23" fillId="0" borderId="0" xfId="0" applyNumberFormat="1" applyFont="1" applyBorder="1" applyAlignment="1">
      <alignment/>
    </xf>
    <xf numFmtId="2" fontId="23" fillId="0" borderId="0" xfId="0" applyNumberFormat="1" applyFont="1" applyFill="1" applyBorder="1" applyAlignment="1">
      <alignment/>
    </xf>
    <xf numFmtId="0" fontId="13" fillId="0" borderId="10" xfId="0" applyFont="1" applyBorder="1" applyAlignment="1">
      <alignment/>
    </xf>
    <xf numFmtId="182" fontId="13" fillId="0" borderId="10" xfId="0" applyNumberFormat="1" applyFont="1" applyBorder="1" applyAlignment="1">
      <alignment/>
    </xf>
    <xf numFmtId="182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182" fontId="13" fillId="0" borderId="0" xfId="0" applyNumberFormat="1" applyFont="1" applyFill="1" applyAlignment="1">
      <alignment/>
    </xf>
    <xf numFmtId="0" fontId="13" fillId="33" borderId="0" xfId="0" applyFont="1" applyFill="1" applyAlignment="1">
      <alignment/>
    </xf>
    <xf numFmtId="182" fontId="13" fillId="33" borderId="0" xfId="0" applyNumberFormat="1" applyFont="1" applyFill="1" applyAlignment="1">
      <alignment/>
    </xf>
    <xf numFmtId="182" fontId="27" fillId="0" borderId="10" xfId="0" applyNumberFormat="1" applyFont="1" applyBorder="1" applyAlignment="1">
      <alignment/>
    </xf>
    <xf numFmtId="0" fontId="21" fillId="0" borderId="29" xfId="0" applyFont="1" applyBorder="1" applyAlignment="1">
      <alignment/>
    </xf>
    <xf numFmtId="2" fontId="21" fillId="0" borderId="29" xfId="0" applyNumberFormat="1" applyFont="1" applyBorder="1" applyAlignment="1">
      <alignment/>
    </xf>
    <xf numFmtId="2" fontId="21" fillId="0" borderId="29" xfId="0" applyNumberFormat="1" applyFont="1" applyFill="1" applyBorder="1" applyAlignment="1">
      <alignment/>
    </xf>
    <xf numFmtId="0" fontId="21" fillId="0" borderId="29" xfId="0" applyFont="1" applyFill="1" applyBorder="1" applyAlignment="1">
      <alignment/>
    </xf>
    <xf numFmtId="0" fontId="20" fillId="0" borderId="13" xfId="0" applyFont="1" applyBorder="1" applyAlignment="1">
      <alignment/>
    </xf>
    <xf numFmtId="0" fontId="20" fillId="0" borderId="13" xfId="0" applyFont="1" applyFill="1" applyBorder="1" applyAlignment="1">
      <alignment/>
    </xf>
    <xf numFmtId="185" fontId="13" fillId="0" borderId="0" xfId="0" applyNumberFormat="1" applyFont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Fill="1" applyBorder="1" applyAlignment="1">
      <alignment/>
    </xf>
    <xf numFmtId="2" fontId="20" fillId="0" borderId="10" xfId="0" applyNumberFormat="1" applyFont="1" applyBorder="1" applyAlignment="1">
      <alignment/>
    </xf>
    <xf numFmtId="181" fontId="20" fillId="0" borderId="10" xfId="0" applyNumberFormat="1" applyFont="1" applyBorder="1" applyAlignment="1">
      <alignment/>
    </xf>
    <xf numFmtId="181" fontId="20" fillId="0" borderId="10" xfId="0" applyNumberFormat="1" applyFont="1" applyFill="1" applyBorder="1" applyAlignment="1">
      <alignment/>
    </xf>
    <xf numFmtId="0" fontId="23" fillId="0" borderId="10" xfId="0" applyFont="1" applyBorder="1" applyAlignment="1">
      <alignment/>
    </xf>
    <xf numFmtId="2" fontId="23" fillId="0" borderId="10" xfId="0" applyNumberFormat="1" applyFont="1" applyFill="1" applyBorder="1" applyAlignment="1">
      <alignment/>
    </xf>
    <xf numFmtId="2" fontId="23" fillId="0" borderId="10" xfId="0" applyNumberFormat="1" applyFont="1" applyBorder="1" applyAlignment="1">
      <alignment/>
    </xf>
    <xf numFmtId="0" fontId="20" fillId="0" borderId="12" xfId="0" applyFont="1" applyBorder="1" applyAlignment="1">
      <alignment/>
    </xf>
    <xf numFmtId="2" fontId="20" fillId="0" borderId="12" xfId="0" applyNumberFormat="1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8" fillId="0" borderId="29" xfId="0" applyFont="1" applyBorder="1" applyAlignment="1">
      <alignment/>
    </xf>
    <xf numFmtId="2" fontId="28" fillId="0" borderId="29" xfId="0" applyNumberFormat="1" applyFont="1" applyFill="1" applyBorder="1" applyAlignment="1">
      <alignment/>
    </xf>
    <xf numFmtId="2" fontId="28" fillId="0" borderId="37" xfId="0" applyNumberFormat="1" applyFont="1" applyFill="1" applyBorder="1" applyAlignment="1">
      <alignment/>
    </xf>
    <xf numFmtId="0" fontId="20" fillId="0" borderId="28" xfId="0" applyFont="1" applyFill="1" applyBorder="1" applyAlignment="1">
      <alignment/>
    </xf>
    <xf numFmtId="2" fontId="20" fillId="0" borderId="38" xfId="0" applyNumberFormat="1" applyFont="1" applyFill="1" applyBorder="1" applyAlignment="1">
      <alignment/>
    </xf>
    <xf numFmtId="0" fontId="20" fillId="0" borderId="38" xfId="0" applyFont="1" applyBorder="1" applyAlignment="1">
      <alignment/>
    </xf>
    <xf numFmtId="0" fontId="20" fillId="0" borderId="38" xfId="0" applyFont="1" applyFill="1" applyBorder="1" applyAlignment="1">
      <alignment/>
    </xf>
    <xf numFmtId="0" fontId="20" fillId="0" borderId="29" xfId="0" applyFont="1" applyBorder="1" applyAlignment="1">
      <alignment/>
    </xf>
    <xf numFmtId="2" fontId="20" fillId="0" borderId="13" xfId="0" applyNumberFormat="1" applyFont="1" applyFill="1" applyBorder="1" applyAlignment="1">
      <alignment/>
    </xf>
    <xf numFmtId="0" fontId="20" fillId="0" borderId="29" xfId="0" applyFont="1" applyFill="1" applyBorder="1" applyAlignment="1">
      <alignment/>
    </xf>
    <xf numFmtId="2" fontId="20" fillId="0" borderId="29" xfId="0" applyNumberFormat="1" applyFont="1" applyFill="1" applyBorder="1" applyAlignment="1">
      <alignment/>
    </xf>
    <xf numFmtId="181" fontId="20" fillId="0" borderId="13" xfId="0" applyNumberFormat="1" applyFont="1" applyBorder="1" applyAlignment="1">
      <alignment/>
    </xf>
    <xf numFmtId="181" fontId="20" fillId="0" borderId="38" xfId="0" applyNumberFormat="1" applyFont="1" applyBorder="1" applyAlignment="1">
      <alignment/>
    </xf>
    <xf numFmtId="181" fontId="20" fillId="0" borderId="38" xfId="0" applyNumberFormat="1" applyFont="1" applyFill="1" applyBorder="1" applyAlignment="1">
      <alignment/>
    </xf>
    <xf numFmtId="49" fontId="21" fillId="0" borderId="39" xfId="0" applyNumberFormat="1" applyFont="1" applyFill="1" applyBorder="1" applyAlignment="1">
      <alignment horizontal="center"/>
    </xf>
    <xf numFmtId="4" fontId="20" fillId="0" borderId="29" xfId="0" applyNumberFormat="1" applyFont="1" applyBorder="1" applyAlignment="1">
      <alignment/>
    </xf>
    <xf numFmtId="4" fontId="28" fillId="0" borderId="29" xfId="0" applyNumberFormat="1" applyFont="1" applyFill="1" applyBorder="1" applyAlignment="1">
      <alignment/>
    </xf>
    <xf numFmtId="4" fontId="20" fillId="0" borderId="29" xfId="0" applyNumberFormat="1" applyFont="1" applyFill="1" applyBorder="1" applyAlignment="1">
      <alignment/>
    </xf>
    <xf numFmtId="4" fontId="20" fillId="0" borderId="13" xfId="0" applyNumberFormat="1" applyFont="1" applyBorder="1" applyAlignment="1">
      <alignment/>
    </xf>
    <xf numFmtId="4" fontId="20" fillId="0" borderId="13" xfId="0" applyNumberFormat="1" applyFont="1" applyFill="1" applyBorder="1" applyAlignment="1">
      <alignment/>
    </xf>
    <xf numFmtId="181" fontId="20" fillId="0" borderId="29" xfId="0" applyNumberFormat="1" applyFont="1" applyBorder="1" applyAlignment="1">
      <alignment/>
    </xf>
    <xf numFmtId="2" fontId="20" fillId="0" borderId="13" xfId="0" applyNumberFormat="1" applyFont="1" applyBorder="1" applyAlignment="1">
      <alignment/>
    </xf>
    <xf numFmtId="0" fontId="23" fillId="0" borderId="12" xfId="0" applyFont="1" applyBorder="1" applyAlignment="1">
      <alignment/>
    </xf>
    <xf numFmtId="2" fontId="23" fillId="0" borderId="12" xfId="0" applyNumberFormat="1" applyFont="1" applyFill="1" applyBorder="1" applyAlignment="1">
      <alignment/>
    </xf>
    <xf numFmtId="181" fontId="20" fillId="0" borderId="29" xfId="0" applyNumberFormat="1" applyFont="1" applyFill="1" applyBorder="1" applyAlignment="1">
      <alignment/>
    </xf>
    <xf numFmtId="2" fontId="20" fillId="0" borderId="29" xfId="0" applyNumberFormat="1" applyFont="1" applyBorder="1" applyAlignment="1">
      <alignment/>
    </xf>
    <xf numFmtId="181" fontId="20" fillId="0" borderId="40" xfId="0" applyNumberFormat="1" applyFont="1" applyBorder="1" applyAlignment="1">
      <alignment/>
    </xf>
    <xf numFmtId="2" fontId="29" fillId="0" borderId="40" xfId="0" applyNumberFormat="1" applyFont="1" applyFill="1" applyBorder="1" applyAlignment="1">
      <alignment/>
    </xf>
    <xf numFmtId="2" fontId="29" fillId="0" borderId="40" xfId="0" applyNumberFormat="1" applyFont="1" applyBorder="1" applyAlignment="1">
      <alignment/>
    </xf>
    <xf numFmtId="0" fontId="20" fillId="0" borderId="0" xfId="0" applyFont="1" applyFill="1" applyAlignment="1">
      <alignment/>
    </xf>
    <xf numFmtId="2" fontId="20" fillId="0" borderId="0" xfId="0" applyNumberFormat="1" applyFont="1" applyFill="1" applyAlignment="1">
      <alignment/>
    </xf>
    <xf numFmtId="0" fontId="15" fillId="0" borderId="10" xfId="58" applyFont="1" applyFill="1" applyBorder="1" applyAlignment="1">
      <alignment horizontal="center" vertical="center" wrapText="1"/>
      <protection/>
    </xf>
    <xf numFmtId="2" fontId="15" fillId="0" borderId="10" xfId="58" applyNumberFormat="1" applyFont="1" applyFill="1" applyBorder="1">
      <alignment/>
      <protection/>
    </xf>
    <xf numFmtId="2" fontId="14" fillId="0" borderId="10" xfId="0" applyNumberFormat="1" applyFont="1" applyFill="1" applyBorder="1" applyAlignment="1">
      <alignment horizontal="center" wrapText="1"/>
    </xf>
    <xf numFmtId="2" fontId="15" fillId="0" borderId="10" xfId="0" applyNumberFormat="1" applyFont="1" applyFill="1" applyBorder="1" applyAlignment="1">
      <alignment horizontal="center" wrapText="1"/>
    </xf>
    <xf numFmtId="2" fontId="15" fillId="0" borderId="10" xfId="58" applyNumberFormat="1" applyFont="1" applyFill="1" applyBorder="1" applyAlignment="1">
      <alignment horizontal="center"/>
      <protection/>
    </xf>
    <xf numFmtId="0" fontId="15" fillId="0" borderId="12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49" fontId="15" fillId="0" borderId="10" xfId="0" applyNumberFormat="1" applyFont="1" applyFill="1" applyBorder="1" applyAlignment="1">
      <alignment horizontal="left"/>
    </xf>
    <xf numFmtId="49" fontId="14" fillId="0" borderId="10" xfId="0" applyNumberFormat="1" applyFont="1" applyFill="1" applyBorder="1" applyAlignment="1">
      <alignment horizontal="left"/>
    </xf>
    <xf numFmtId="182" fontId="14" fillId="0" borderId="10" xfId="0" applyNumberFormat="1" applyFont="1" applyBorder="1" applyAlignment="1">
      <alignment/>
    </xf>
    <xf numFmtId="2" fontId="30" fillId="0" borderId="10" xfId="0" applyNumberFormat="1" applyFont="1" applyFill="1" applyBorder="1" applyAlignment="1">
      <alignment/>
    </xf>
    <xf numFmtId="181" fontId="31" fillId="0" borderId="10" xfId="0" applyNumberFormat="1" applyFont="1" applyBorder="1" applyAlignment="1">
      <alignment/>
    </xf>
    <xf numFmtId="2" fontId="31" fillId="0" borderId="10" xfId="0" applyNumberFormat="1" applyFont="1" applyFill="1" applyBorder="1" applyAlignment="1">
      <alignment/>
    </xf>
    <xf numFmtId="0" fontId="15" fillId="0" borderId="10" xfId="0" applyFont="1" applyBorder="1" applyAlignment="1">
      <alignment wrapText="1"/>
    </xf>
    <xf numFmtId="181" fontId="14" fillId="0" borderId="10" xfId="0" applyNumberFormat="1" applyFont="1" applyBorder="1" applyAlignment="1">
      <alignment/>
    </xf>
    <xf numFmtId="0" fontId="14" fillId="34" borderId="10" xfId="0" applyFont="1" applyFill="1" applyBorder="1" applyAlignment="1">
      <alignment horizontal="justify" wrapText="1"/>
    </xf>
    <xf numFmtId="0" fontId="31" fillId="0" borderId="10" xfId="0" applyFont="1" applyBorder="1" applyAlignment="1">
      <alignment/>
    </xf>
    <xf numFmtId="0" fontId="14" fillId="0" borderId="10" xfId="0" applyFont="1" applyBorder="1" applyAlignment="1">
      <alignment/>
    </xf>
    <xf numFmtId="2" fontId="16" fillId="0" borderId="10" xfId="0" applyNumberFormat="1" applyFont="1" applyFill="1" applyBorder="1" applyAlignment="1">
      <alignment/>
    </xf>
    <xf numFmtId="0" fontId="16" fillId="0" borderId="10" xfId="0" applyFont="1" applyBorder="1" applyAlignment="1">
      <alignment/>
    </xf>
    <xf numFmtId="181" fontId="16" fillId="0" borderId="10" xfId="0" applyNumberFormat="1" applyFont="1" applyBorder="1" applyAlignment="1">
      <alignment/>
    </xf>
    <xf numFmtId="2" fontId="15" fillId="0" borderId="10" xfId="0" applyNumberFormat="1" applyFont="1" applyBorder="1" applyAlignment="1">
      <alignment/>
    </xf>
    <xf numFmtId="181" fontId="15" fillId="0" borderId="10" xfId="0" applyNumberFormat="1" applyFont="1" applyBorder="1" applyAlignment="1">
      <alignment/>
    </xf>
    <xf numFmtId="2" fontId="14" fillId="0" borderId="10" xfId="0" applyNumberFormat="1" applyFont="1" applyBorder="1" applyAlignment="1">
      <alignment/>
    </xf>
    <xf numFmtId="49" fontId="14" fillId="0" borderId="10" xfId="0" applyNumberFormat="1" applyFont="1" applyFill="1" applyBorder="1" applyAlignment="1">
      <alignment horizontal="left" wrapText="1"/>
    </xf>
    <xf numFmtId="49" fontId="14" fillId="0" borderId="1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181" fontId="16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5" fillId="0" borderId="10" xfId="0" applyFont="1" applyBorder="1" applyAlignment="1">
      <alignment horizontal="center" wrapText="1"/>
    </xf>
    <xf numFmtId="2" fontId="30" fillId="0" borderId="10" xfId="0" applyNumberFormat="1" applyFont="1" applyBorder="1" applyAlignment="1">
      <alignment/>
    </xf>
    <xf numFmtId="2" fontId="31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justify" vertical="top" wrapText="1"/>
    </xf>
    <xf numFmtId="2" fontId="14" fillId="35" borderId="10" xfId="0" applyNumberFormat="1" applyFont="1" applyFill="1" applyBorder="1" applyAlignment="1">
      <alignment/>
    </xf>
    <xf numFmtId="0" fontId="30" fillId="0" borderId="10" xfId="0" applyFont="1" applyBorder="1" applyAlignment="1">
      <alignment/>
    </xf>
    <xf numFmtId="4" fontId="30" fillId="0" borderId="10" xfId="0" applyNumberFormat="1" applyFont="1" applyBorder="1" applyAlignment="1">
      <alignment/>
    </xf>
    <xf numFmtId="0" fontId="15" fillId="0" borderId="10" xfId="58" applyFont="1" applyBorder="1" applyAlignment="1">
      <alignment horizontal="left" wrapText="1"/>
      <protection/>
    </xf>
    <xf numFmtId="0" fontId="14" fillId="0" borderId="10" xfId="58" applyFont="1" applyBorder="1" applyAlignment="1">
      <alignment horizontal="left" wrapText="1"/>
      <protection/>
    </xf>
    <xf numFmtId="0" fontId="14" fillId="0" borderId="10" xfId="57" applyFont="1" applyBorder="1" applyAlignment="1">
      <alignment wrapText="1"/>
      <protection/>
    </xf>
    <xf numFmtId="0" fontId="15" fillId="0" borderId="10" xfId="57" applyFont="1" applyBorder="1" applyAlignment="1">
      <alignment wrapText="1"/>
      <protection/>
    </xf>
    <xf numFmtId="0" fontId="31" fillId="0" borderId="10" xfId="0" applyFont="1" applyFill="1" applyBorder="1" applyAlignment="1">
      <alignment/>
    </xf>
    <xf numFmtId="4" fontId="14" fillId="0" borderId="10" xfId="0" applyNumberFormat="1" applyFont="1" applyBorder="1" applyAlignment="1">
      <alignment/>
    </xf>
    <xf numFmtId="0" fontId="32" fillId="0" borderId="10" xfId="0" applyFont="1" applyBorder="1" applyAlignment="1">
      <alignment/>
    </xf>
    <xf numFmtId="181" fontId="32" fillId="0" borderId="10" xfId="0" applyNumberFormat="1" applyFont="1" applyBorder="1" applyAlignment="1">
      <alignment/>
    </xf>
    <xf numFmtId="0" fontId="81" fillId="0" borderId="10" xfId="0" applyFont="1" applyBorder="1" applyAlignment="1">
      <alignment/>
    </xf>
    <xf numFmtId="181" fontId="81" fillId="0" borderId="10" xfId="0" applyNumberFormat="1" applyFont="1" applyBorder="1" applyAlignment="1">
      <alignment/>
    </xf>
    <xf numFmtId="182" fontId="30" fillId="0" borderId="10" xfId="0" applyNumberFormat="1" applyFont="1" applyBorder="1" applyAlignment="1">
      <alignment/>
    </xf>
    <xf numFmtId="2" fontId="30" fillId="35" borderId="10" xfId="55" applyNumberFormat="1" applyFont="1" applyFill="1" applyBorder="1">
      <alignment/>
      <protection/>
    </xf>
    <xf numFmtId="2" fontId="31" fillId="0" borderId="10" xfId="55" applyNumberFormat="1" applyFont="1" applyFill="1" applyBorder="1">
      <alignment/>
      <protection/>
    </xf>
    <xf numFmtId="4" fontId="15" fillId="0" borderId="10" xfId="0" applyNumberFormat="1" applyFont="1" applyBorder="1" applyAlignment="1">
      <alignment/>
    </xf>
    <xf numFmtId="180" fontId="14" fillId="0" borderId="10" xfId="0" applyNumberFormat="1" applyFont="1" applyBorder="1" applyAlignment="1">
      <alignment/>
    </xf>
    <xf numFmtId="182" fontId="15" fillId="0" borderId="10" xfId="0" applyNumberFormat="1" applyFont="1" applyBorder="1" applyAlignment="1">
      <alignment/>
    </xf>
    <xf numFmtId="182" fontId="20" fillId="0" borderId="0" xfId="0" applyNumberFormat="1" applyFont="1" applyAlignment="1">
      <alignment/>
    </xf>
    <xf numFmtId="0" fontId="20" fillId="0" borderId="0" xfId="0" applyFont="1" applyBorder="1" applyAlignment="1">
      <alignment horizontal="center"/>
    </xf>
    <xf numFmtId="49" fontId="15" fillId="0" borderId="0" xfId="0" applyNumberFormat="1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/>
    </xf>
    <xf numFmtId="0" fontId="27" fillId="0" borderId="10" xfId="0" applyFont="1" applyBorder="1" applyAlignment="1">
      <alignment horizontal="center"/>
    </xf>
    <xf numFmtId="0" fontId="14" fillId="0" borderId="10" xfId="0" applyFont="1" applyFill="1" applyBorder="1" applyAlignment="1">
      <alignment horizontal="left"/>
    </xf>
    <xf numFmtId="0" fontId="27" fillId="0" borderId="10" xfId="0" applyFont="1" applyBorder="1" applyAlignment="1">
      <alignment horizontal="center" wrapText="1"/>
    </xf>
    <xf numFmtId="182" fontId="20" fillId="0" borderId="10" xfId="0" applyNumberFormat="1" applyFont="1" applyFill="1" applyBorder="1" applyAlignment="1">
      <alignment/>
    </xf>
    <xf numFmtId="49" fontId="15" fillId="0" borderId="39" xfId="0" applyNumberFormat="1" applyFont="1" applyFill="1" applyBorder="1" applyAlignment="1">
      <alignment horizontal="left"/>
    </xf>
    <xf numFmtId="49" fontId="15" fillId="0" borderId="13" xfId="0" applyNumberFormat="1" applyFont="1" applyFill="1" applyBorder="1" applyAlignment="1">
      <alignment horizontal="left"/>
    </xf>
    <xf numFmtId="49" fontId="15" fillId="0" borderId="12" xfId="0" applyNumberFormat="1" applyFont="1" applyFill="1" applyBorder="1" applyAlignment="1">
      <alignment horizontal="left"/>
    </xf>
    <xf numFmtId="49" fontId="15" fillId="0" borderId="38" xfId="0" applyNumberFormat="1" applyFont="1" applyFill="1" applyBorder="1" applyAlignment="1">
      <alignment horizontal="left"/>
    </xf>
    <xf numFmtId="49" fontId="15" fillId="0" borderId="28" xfId="0" applyNumberFormat="1" applyFont="1" applyFill="1" applyBorder="1" applyAlignment="1">
      <alignment horizontal="left"/>
    </xf>
    <xf numFmtId="49" fontId="15" fillId="0" borderId="39" xfId="58" applyNumberFormat="1" applyFont="1" applyFill="1" applyBorder="1" applyAlignment="1">
      <alignment horizontal="left"/>
      <protection/>
    </xf>
    <xf numFmtId="4" fontId="14" fillId="0" borderId="0" xfId="0" applyNumberFormat="1" applyFont="1" applyFill="1" applyAlignment="1">
      <alignment horizontal="left"/>
    </xf>
    <xf numFmtId="2" fontId="14" fillId="0" borderId="0" xfId="0" applyNumberFormat="1" applyFont="1" applyFill="1" applyAlignment="1">
      <alignment horizontal="left"/>
    </xf>
    <xf numFmtId="0" fontId="15" fillId="0" borderId="39" xfId="0" applyFont="1" applyFill="1" applyBorder="1" applyAlignment="1">
      <alignment horizontal="left"/>
    </xf>
    <xf numFmtId="0" fontId="15" fillId="0" borderId="13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2" xfId="0" applyFont="1" applyFill="1" applyBorder="1" applyAlignment="1">
      <alignment horizontal="left"/>
    </xf>
    <xf numFmtId="49" fontId="14" fillId="0" borderId="41" xfId="0" applyNumberFormat="1" applyFont="1" applyFill="1" applyBorder="1" applyAlignment="1">
      <alignment horizontal="left"/>
    </xf>
    <xf numFmtId="49" fontId="14" fillId="0" borderId="0" xfId="0" applyNumberFormat="1" applyFont="1" applyFill="1" applyAlignment="1">
      <alignment horizontal="left"/>
    </xf>
    <xf numFmtId="4" fontId="1" fillId="0" borderId="0" xfId="0" applyNumberFormat="1" applyFont="1" applyAlignment="1">
      <alignment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vertical="center" wrapText="1"/>
    </xf>
    <xf numFmtId="185" fontId="14" fillId="0" borderId="0" xfId="0" applyNumberFormat="1" applyFont="1" applyFill="1" applyAlignment="1">
      <alignment/>
    </xf>
    <xf numFmtId="185" fontId="13" fillId="0" borderId="0" xfId="0" applyNumberFormat="1" applyFont="1" applyFill="1" applyAlignment="1">
      <alignment vertical="top" wrapText="1"/>
    </xf>
    <xf numFmtId="185" fontId="13" fillId="0" borderId="0" xfId="0" applyNumberFormat="1" applyFont="1" applyFill="1" applyAlignment="1">
      <alignment/>
    </xf>
    <xf numFmtId="185" fontId="14" fillId="0" borderId="10" xfId="0" applyNumberFormat="1" applyFont="1" applyFill="1" applyBorder="1" applyAlignment="1">
      <alignment/>
    </xf>
    <xf numFmtId="185" fontId="14" fillId="0" borderId="10" xfId="55" applyNumberFormat="1" applyFont="1" applyFill="1" applyBorder="1">
      <alignment/>
      <protection/>
    </xf>
    <xf numFmtId="185" fontId="23" fillId="0" borderId="0" xfId="0" applyNumberFormat="1" applyFont="1" applyFill="1" applyBorder="1" applyAlignment="1">
      <alignment/>
    </xf>
    <xf numFmtId="185" fontId="13" fillId="0" borderId="10" xfId="0" applyNumberFormat="1" applyFont="1" applyFill="1" applyBorder="1" applyAlignment="1">
      <alignment/>
    </xf>
    <xf numFmtId="185" fontId="21" fillId="0" borderId="29" xfId="0" applyNumberFormat="1" applyFont="1" applyFill="1" applyBorder="1" applyAlignment="1">
      <alignment/>
    </xf>
    <xf numFmtId="185" fontId="20" fillId="0" borderId="13" xfId="0" applyNumberFormat="1" applyFont="1" applyFill="1" applyBorder="1" applyAlignment="1">
      <alignment/>
    </xf>
    <xf numFmtId="185" fontId="20" fillId="0" borderId="10" xfId="0" applyNumberFormat="1" applyFont="1" applyFill="1" applyBorder="1" applyAlignment="1">
      <alignment/>
    </xf>
    <xf numFmtId="185" fontId="23" fillId="0" borderId="10" xfId="0" applyNumberFormat="1" applyFont="1" applyFill="1" applyBorder="1" applyAlignment="1">
      <alignment/>
    </xf>
    <xf numFmtId="185" fontId="20" fillId="0" borderId="12" xfId="0" applyNumberFormat="1" applyFont="1" applyFill="1" applyBorder="1" applyAlignment="1">
      <alignment/>
    </xf>
    <xf numFmtId="185" fontId="28" fillId="0" borderId="29" xfId="0" applyNumberFormat="1" applyFont="1" applyFill="1" applyBorder="1" applyAlignment="1">
      <alignment/>
    </xf>
    <xf numFmtId="185" fontId="28" fillId="0" borderId="37" xfId="0" applyNumberFormat="1" applyFont="1" applyFill="1" applyBorder="1" applyAlignment="1">
      <alignment/>
    </xf>
    <xf numFmtId="185" fontId="20" fillId="0" borderId="38" xfId="0" applyNumberFormat="1" applyFont="1" applyFill="1" applyBorder="1" applyAlignment="1">
      <alignment/>
    </xf>
    <xf numFmtId="185" fontId="23" fillId="0" borderId="12" xfId="0" applyNumberFormat="1" applyFont="1" applyFill="1" applyBorder="1" applyAlignment="1">
      <alignment/>
    </xf>
    <xf numFmtId="185" fontId="29" fillId="0" borderId="40" xfId="0" applyNumberFormat="1" applyFont="1" applyFill="1" applyBorder="1" applyAlignment="1">
      <alignment/>
    </xf>
    <xf numFmtId="185" fontId="20" fillId="0" borderId="0" xfId="0" applyNumberFormat="1" applyFont="1" applyFill="1" applyAlignment="1">
      <alignment/>
    </xf>
    <xf numFmtId="0" fontId="14" fillId="36" borderId="42" xfId="0" applyFont="1" applyFill="1" applyBorder="1" applyAlignment="1">
      <alignment horizontal="justify" vertical="center" wrapText="1" shrinkToFit="1"/>
    </xf>
    <xf numFmtId="49" fontId="14" fillId="36" borderId="10" xfId="0" applyNumberFormat="1" applyFont="1" applyFill="1" applyBorder="1" applyAlignment="1">
      <alignment horizontal="center" wrapText="1"/>
    </xf>
    <xf numFmtId="0" fontId="14" fillId="0" borderId="0" xfId="0" applyFont="1" applyAlignment="1">
      <alignment/>
    </xf>
    <xf numFmtId="0" fontId="14" fillId="36" borderId="42" xfId="0" applyFont="1" applyFill="1" applyBorder="1" applyAlignment="1">
      <alignment horizontal="justify" vertical="top" wrapText="1" shrinkToFit="1"/>
    </xf>
    <xf numFmtId="2" fontId="20" fillId="0" borderId="21" xfId="0" applyNumberFormat="1" applyFont="1" applyFill="1" applyBorder="1" applyAlignment="1">
      <alignment/>
    </xf>
    <xf numFmtId="2" fontId="20" fillId="0" borderId="22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Alignment="1">
      <alignment vertical="top" wrapText="1"/>
    </xf>
    <xf numFmtId="2" fontId="13" fillId="0" borderId="0" xfId="0" applyNumberFormat="1" applyFont="1" applyFill="1" applyAlignment="1">
      <alignment/>
    </xf>
    <xf numFmtId="185" fontId="14" fillId="0" borderId="0" xfId="0" applyNumberFormat="1" applyFont="1" applyFill="1" applyAlignment="1">
      <alignment horizontal="left"/>
    </xf>
    <xf numFmtId="0" fontId="78" fillId="0" borderId="10" xfId="0" applyFont="1" applyBorder="1" applyAlignment="1">
      <alignment horizontal="center" vertical="center" wrapText="1"/>
    </xf>
    <xf numFmtId="49" fontId="78" fillId="0" borderId="10" xfId="0" applyNumberFormat="1" applyFont="1" applyBorder="1" applyAlignment="1">
      <alignment horizontal="center" vertical="center" wrapText="1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vertical="top" wrapText="1"/>
    </xf>
    <xf numFmtId="0" fontId="0" fillId="0" borderId="0" xfId="0" applyFill="1" applyAlignment="1">
      <alignment wrapText="1"/>
    </xf>
    <xf numFmtId="181" fontId="13" fillId="0" borderId="0" xfId="0" applyNumberFormat="1" applyFont="1" applyFill="1" applyAlignment="1">
      <alignment/>
    </xf>
    <xf numFmtId="0" fontId="14" fillId="0" borderId="42" xfId="0" applyFont="1" applyFill="1" applyBorder="1" applyAlignment="1">
      <alignment horizontal="justify" vertical="center" wrapText="1" shrinkToFit="1"/>
    </xf>
    <xf numFmtId="0" fontId="14" fillId="0" borderId="42" xfId="0" applyFont="1" applyFill="1" applyBorder="1" applyAlignment="1">
      <alignment horizontal="justify" vertical="top" wrapText="1" shrinkToFit="1"/>
    </xf>
    <xf numFmtId="0" fontId="14" fillId="0" borderId="0" xfId="0" applyFont="1" applyFill="1" applyAlignment="1">
      <alignment/>
    </xf>
    <xf numFmtId="184" fontId="20" fillId="0" borderId="0" xfId="0" applyNumberFormat="1" applyFont="1" applyFill="1" applyAlignment="1">
      <alignment/>
    </xf>
    <xf numFmtId="2" fontId="23" fillId="0" borderId="43" xfId="55" applyNumberFormat="1" applyFont="1" applyFill="1" applyBorder="1">
      <alignment/>
      <protection/>
    </xf>
    <xf numFmtId="185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49" fontId="14" fillId="0" borderId="10" xfId="58" applyNumberFormat="1" applyFont="1" applyFill="1" applyBorder="1" applyAlignment="1">
      <alignment horizontal="left" wrapText="1"/>
      <protection/>
    </xf>
    <xf numFmtId="2" fontId="13" fillId="0" borderId="0" xfId="0" applyNumberFormat="1" applyFont="1" applyFill="1" applyBorder="1" applyAlignment="1">
      <alignment/>
    </xf>
    <xf numFmtId="0" fontId="80" fillId="0" borderId="0" xfId="0" applyFont="1" applyFill="1" applyAlignment="1">
      <alignment/>
    </xf>
    <xf numFmtId="0" fontId="27" fillId="0" borderId="10" xfId="57" applyNumberFormat="1" applyFont="1" applyFill="1" applyBorder="1" applyAlignment="1">
      <alignment wrapText="1"/>
      <protection/>
    </xf>
    <xf numFmtId="0" fontId="14" fillId="0" borderId="10" xfId="57" applyFont="1" applyFill="1" applyBorder="1" applyAlignment="1">
      <alignment horizontal="left" wrapText="1"/>
      <protection/>
    </xf>
    <xf numFmtId="181" fontId="14" fillId="0" borderId="10" xfId="0" applyNumberFormat="1" applyFont="1" applyFill="1" applyBorder="1" applyAlignment="1">
      <alignment horizontal="left"/>
    </xf>
    <xf numFmtId="2" fontId="13" fillId="0" borderId="26" xfId="0" applyNumberFormat="1" applyFont="1" applyFill="1" applyBorder="1" applyAlignment="1">
      <alignment horizontal="left"/>
    </xf>
    <xf numFmtId="2" fontId="13" fillId="0" borderId="32" xfId="0" applyNumberFormat="1" applyFont="1" applyFill="1" applyBorder="1" applyAlignment="1">
      <alignment horizontal="left"/>
    </xf>
    <xf numFmtId="2" fontId="20" fillId="0" borderId="35" xfId="0" applyNumberFormat="1" applyFont="1" applyFill="1" applyBorder="1" applyAlignment="1">
      <alignment/>
    </xf>
    <xf numFmtId="0" fontId="23" fillId="0" borderId="41" xfId="0" applyFont="1" applyFill="1" applyBorder="1" applyAlignment="1">
      <alignment horizontal="center"/>
    </xf>
    <xf numFmtId="49" fontId="23" fillId="0" borderId="40" xfId="0" applyNumberFormat="1" applyFont="1" applyFill="1" applyBorder="1" applyAlignment="1">
      <alignment/>
    </xf>
    <xf numFmtId="182" fontId="23" fillId="0" borderId="44" xfId="0" applyNumberFormat="1" applyFont="1" applyFill="1" applyBorder="1" applyAlignment="1">
      <alignment/>
    </xf>
    <xf numFmtId="2" fontId="23" fillId="0" borderId="45" xfId="0" applyNumberFormat="1" applyFont="1" applyFill="1" applyBorder="1" applyAlignment="1">
      <alignment/>
    </xf>
    <xf numFmtId="182" fontId="23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184" fontId="23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/>
    </xf>
    <xf numFmtId="182" fontId="23" fillId="0" borderId="0" xfId="0" applyNumberFormat="1" applyFont="1" applyFill="1" applyBorder="1" applyAlignment="1">
      <alignment/>
    </xf>
    <xf numFmtId="0" fontId="26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wrapText="1"/>
    </xf>
    <xf numFmtId="182" fontId="27" fillId="0" borderId="10" xfId="0" applyNumberFormat="1" applyFont="1" applyFill="1" applyBorder="1" applyAlignment="1">
      <alignment/>
    </xf>
    <xf numFmtId="49" fontId="20" fillId="0" borderId="13" xfId="0" applyNumberFormat="1" applyFont="1" applyFill="1" applyBorder="1" applyAlignment="1">
      <alignment/>
    </xf>
    <xf numFmtId="49" fontId="2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/>
    </xf>
    <xf numFmtId="49" fontId="20" fillId="0" borderId="12" xfId="0" applyNumberFormat="1" applyFont="1" applyFill="1" applyBorder="1" applyAlignment="1">
      <alignment/>
    </xf>
    <xf numFmtId="49" fontId="28" fillId="0" borderId="39" xfId="0" applyNumberFormat="1" applyFont="1" applyFill="1" applyBorder="1" applyAlignment="1">
      <alignment/>
    </xf>
    <xf numFmtId="0" fontId="28" fillId="0" borderId="29" xfId="0" applyFont="1" applyFill="1" applyBorder="1" applyAlignment="1">
      <alignment/>
    </xf>
    <xf numFmtId="49" fontId="20" fillId="0" borderId="38" xfId="0" applyNumberFormat="1" applyFont="1" applyFill="1" applyBorder="1" applyAlignment="1">
      <alignment/>
    </xf>
    <xf numFmtId="49" fontId="20" fillId="0" borderId="28" xfId="0" applyNumberFormat="1" applyFont="1" applyFill="1" applyBorder="1" applyAlignment="1">
      <alignment/>
    </xf>
    <xf numFmtId="49" fontId="21" fillId="0" borderId="39" xfId="58" applyNumberFormat="1" applyFont="1" applyFill="1" applyBorder="1" applyAlignment="1">
      <alignment horizontal="center"/>
      <protection/>
    </xf>
    <xf numFmtId="181" fontId="20" fillId="0" borderId="13" xfId="0" applyNumberFormat="1" applyFont="1" applyFill="1" applyBorder="1" applyAlignment="1">
      <alignment/>
    </xf>
    <xf numFmtId="49" fontId="23" fillId="0" borderId="12" xfId="0" applyNumberFormat="1" applyFont="1" applyFill="1" applyBorder="1" applyAlignment="1">
      <alignment/>
    </xf>
    <xf numFmtId="0" fontId="23" fillId="0" borderId="12" xfId="0" applyFont="1" applyFill="1" applyBorder="1" applyAlignment="1">
      <alignment/>
    </xf>
    <xf numFmtId="0" fontId="21" fillId="0" borderId="39" xfId="0" applyFont="1" applyFill="1" applyBorder="1" applyAlignment="1">
      <alignment horizontal="left"/>
    </xf>
    <xf numFmtId="0" fontId="28" fillId="0" borderId="39" xfId="0" applyFont="1" applyFill="1" applyBorder="1" applyAlignment="1">
      <alignment horizontal="center"/>
    </xf>
    <xf numFmtId="49" fontId="13" fillId="0" borderId="41" xfId="0" applyNumberFormat="1" applyFont="1" applyFill="1" applyBorder="1" applyAlignment="1">
      <alignment/>
    </xf>
    <xf numFmtId="181" fontId="20" fillId="0" borderId="40" xfId="0" applyNumberFormat="1" applyFont="1" applyFill="1" applyBorder="1" applyAlignment="1">
      <alignment/>
    </xf>
    <xf numFmtId="49" fontId="13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/>
    </xf>
    <xf numFmtId="2" fontId="27" fillId="0" borderId="0" xfId="0" applyNumberFormat="1" applyFont="1" applyFill="1" applyAlignment="1">
      <alignment/>
    </xf>
    <xf numFmtId="185" fontId="27" fillId="0" borderId="0" xfId="0" applyNumberFormat="1" applyFont="1" applyFill="1" applyAlignment="1">
      <alignment/>
    </xf>
    <xf numFmtId="0" fontId="77" fillId="0" borderId="10" xfId="0" applyFont="1" applyBorder="1" applyAlignment="1">
      <alignment vertical="top" wrapText="1"/>
    </xf>
    <xf numFmtId="0" fontId="77" fillId="0" borderId="10" xfId="0" applyFont="1" applyBorder="1" applyAlignment="1">
      <alignment horizontal="left" vertical="top" wrapText="1"/>
    </xf>
    <xf numFmtId="0" fontId="77" fillId="0" borderId="10" xfId="0" applyFont="1" applyBorder="1" applyAlignment="1">
      <alignment horizontal="right" vertical="top" wrapText="1"/>
    </xf>
    <xf numFmtId="0" fontId="79" fillId="0" borderId="10" xfId="0" applyFont="1" applyBorder="1" applyAlignment="1">
      <alignment vertical="top" wrapText="1"/>
    </xf>
    <xf numFmtId="0" fontId="0" fillId="0" borderId="33" xfId="0" applyBorder="1" applyAlignment="1">
      <alignment/>
    </xf>
    <xf numFmtId="0" fontId="13" fillId="0" borderId="0" xfId="0" applyFont="1" applyFill="1" applyAlignment="1">
      <alignment/>
    </xf>
    <xf numFmtId="0" fontId="27" fillId="0" borderId="10" xfId="0" applyFont="1" applyFill="1" applyBorder="1" applyAlignment="1">
      <alignment horizontal="left"/>
    </xf>
    <xf numFmtId="2" fontId="33" fillId="0" borderId="10" xfId="0" applyNumberFormat="1" applyFont="1" applyFill="1" applyBorder="1" applyAlignment="1">
      <alignment horizontal="left"/>
    </xf>
    <xf numFmtId="2" fontId="27" fillId="0" borderId="10" xfId="0" applyNumberFormat="1" applyFont="1" applyFill="1" applyBorder="1" applyAlignment="1">
      <alignment horizontal="left"/>
    </xf>
    <xf numFmtId="181" fontId="14" fillId="0" borderId="0" xfId="58" applyNumberFormat="1" applyFont="1">
      <alignment/>
      <protection/>
    </xf>
    <xf numFmtId="0" fontId="15" fillId="0" borderId="33" xfId="58" applyFont="1" applyBorder="1" applyAlignment="1">
      <alignment horizontal="center"/>
      <protection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/>
    </xf>
    <xf numFmtId="49" fontId="27" fillId="0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/>
    </xf>
    <xf numFmtId="0" fontId="27" fillId="0" borderId="46" xfId="0" applyFont="1" applyFill="1" applyBorder="1" applyAlignment="1">
      <alignment/>
    </xf>
    <xf numFmtId="0" fontId="27" fillId="0" borderId="47" xfId="0" applyFont="1" applyFill="1" applyBorder="1" applyAlignment="1">
      <alignment vertical="center"/>
    </xf>
    <xf numFmtId="49" fontId="14" fillId="0" borderId="10" xfId="0" applyNumberFormat="1" applyFont="1" applyFill="1" applyBorder="1" applyAlignment="1">
      <alignment/>
    </xf>
    <xf numFmtId="0" fontId="15" fillId="0" borderId="10" xfId="0" applyFont="1" applyFill="1" applyBorder="1" applyAlignment="1">
      <alignment/>
    </xf>
    <xf numFmtId="181" fontId="14" fillId="0" borderId="10" xfId="0" applyNumberFormat="1" applyFont="1" applyFill="1" applyBorder="1" applyAlignment="1">
      <alignment/>
    </xf>
    <xf numFmtId="2" fontId="21" fillId="0" borderId="21" xfId="0" applyNumberFormat="1" applyFont="1" applyFill="1" applyBorder="1" applyAlignment="1">
      <alignment/>
    </xf>
    <xf numFmtId="2" fontId="13" fillId="0" borderId="22" xfId="0" applyNumberFormat="1" applyFont="1" applyFill="1" applyBorder="1" applyAlignment="1">
      <alignment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 vertical="center"/>
    </xf>
    <xf numFmtId="0" fontId="33" fillId="0" borderId="0" xfId="0" applyFont="1" applyAlignment="1">
      <alignment horizontal="center"/>
    </xf>
    <xf numFmtId="2" fontId="14" fillId="0" borderId="10" xfId="0" applyNumberFormat="1" applyFont="1" applyFill="1" applyBorder="1" applyAlignment="1">
      <alignment horizontal="center"/>
    </xf>
    <xf numFmtId="2" fontId="14" fillId="0" borderId="10" xfId="55" applyNumberFormat="1" applyFont="1" applyFill="1" applyBorder="1" applyAlignment="1">
      <alignment/>
      <protection/>
    </xf>
    <xf numFmtId="2" fontId="14" fillId="0" borderId="10" xfId="0" applyNumberFormat="1" applyFont="1" applyFill="1" applyBorder="1" applyAlignment="1">
      <alignment/>
    </xf>
    <xf numFmtId="2" fontId="14" fillId="0" borderId="10" xfId="0" applyNumberFormat="1" applyFont="1" applyFill="1" applyBorder="1" applyAlignment="1">
      <alignment horizontal="left"/>
    </xf>
    <xf numFmtId="2" fontId="14" fillId="0" borderId="10" xfId="0" applyNumberFormat="1" applyFont="1" applyFill="1" applyBorder="1" applyAlignment="1">
      <alignment horizontal="right"/>
    </xf>
    <xf numFmtId="2" fontId="23" fillId="0" borderId="48" xfId="0" applyNumberFormat="1" applyFont="1" applyFill="1" applyBorder="1" applyAlignment="1">
      <alignment/>
    </xf>
    <xf numFmtId="2" fontId="23" fillId="0" borderId="44" xfId="0" applyNumberFormat="1" applyFont="1" applyFill="1" applyBorder="1" applyAlignment="1">
      <alignment/>
    </xf>
    <xf numFmtId="4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180" fontId="1" fillId="0" borderId="0" xfId="0" applyNumberFormat="1" applyFont="1" applyFill="1" applyAlignment="1">
      <alignment horizontal="left" wrapText="1"/>
    </xf>
    <xf numFmtId="180" fontId="1" fillId="0" borderId="0" xfId="0" applyNumberFormat="1" applyFont="1" applyAlignment="1">
      <alignment horizontal="left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49" fontId="78" fillId="0" borderId="10" xfId="0" applyNumberFormat="1" applyFont="1" applyBorder="1" applyAlignment="1">
      <alignment horizontal="center" vertical="center" wrapText="1"/>
    </xf>
    <xf numFmtId="0" fontId="78" fillId="0" borderId="11" xfId="0" applyFont="1" applyBorder="1" applyAlignment="1">
      <alignment horizontal="center"/>
    </xf>
    <xf numFmtId="0" fontId="78" fillId="0" borderId="20" xfId="0" applyFont="1" applyBorder="1" applyAlignment="1">
      <alignment horizontal="center"/>
    </xf>
    <xf numFmtId="0" fontId="78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15" fillId="0" borderId="10" xfId="58" applyNumberFormat="1" applyFont="1" applyBorder="1" applyAlignment="1">
      <alignment horizontal="center"/>
      <protection/>
    </xf>
    <xf numFmtId="0" fontId="14" fillId="0" borderId="0" xfId="58" applyFont="1" applyAlignment="1">
      <alignment horizontal="left" wrapText="1"/>
      <protection/>
    </xf>
    <xf numFmtId="0" fontId="0" fillId="0" borderId="0" xfId="0" applyAlignment="1">
      <alignment horizontal="left" wrapText="1"/>
    </xf>
    <xf numFmtId="0" fontId="14" fillId="0" borderId="0" xfId="0" applyFont="1" applyAlignment="1">
      <alignment wrapText="1"/>
    </xf>
    <xf numFmtId="0" fontId="15" fillId="0" borderId="0" xfId="58" applyFont="1" applyBorder="1" applyAlignment="1">
      <alignment horizontal="center" vertical="center" wrapText="1"/>
      <protection/>
    </xf>
    <xf numFmtId="0" fontId="14" fillId="0" borderId="0" xfId="58" applyFont="1" applyAlignment="1">
      <alignment vertical="center" wrapText="1"/>
      <protection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58" applyFont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14" fillId="0" borderId="0" xfId="0" applyFont="1" applyAlignment="1">
      <alignment vertical="top" wrapText="1"/>
    </xf>
    <xf numFmtId="0" fontId="15" fillId="0" borderId="33" xfId="58" applyFont="1" applyBorder="1" applyAlignment="1">
      <alignment horizontal="center" wrapText="1"/>
      <protection/>
    </xf>
    <xf numFmtId="0" fontId="0" fillId="0" borderId="33" xfId="0" applyBorder="1" applyAlignment="1">
      <alignment/>
    </xf>
    <xf numFmtId="0" fontId="0" fillId="0" borderId="0" xfId="0" applyFont="1" applyAlignment="1">
      <alignment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left"/>
    </xf>
    <xf numFmtId="185" fontId="14" fillId="0" borderId="0" xfId="0" applyNumberFormat="1" applyFont="1" applyFill="1" applyAlignment="1">
      <alignment vertical="top" wrapText="1"/>
    </xf>
    <xf numFmtId="0" fontId="17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/>
    </xf>
    <xf numFmtId="185" fontId="15" fillId="0" borderId="10" xfId="0" applyNumberFormat="1" applyFont="1" applyFill="1" applyBorder="1" applyAlignment="1">
      <alignment horizontal="center" vertical="center" wrapText="1"/>
    </xf>
    <xf numFmtId="185" fontId="15" fillId="0" borderId="10" xfId="0" applyNumberFormat="1" applyFont="1" applyFill="1" applyBorder="1" applyAlignment="1">
      <alignment horizontal="center" vertical="center"/>
    </xf>
    <xf numFmtId="185" fontId="15" fillId="0" borderId="10" xfId="0" applyNumberFormat="1" applyFont="1" applyFill="1" applyBorder="1" applyAlignment="1">
      <alignment horizontal="center"/>
    </xf>
    <xf numFmtId="0" fontId="18" fillId="0" borderId="46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47" xfId="0" applyFont="1" applyFill="1" applyBorder="1" applyAlignment="1">
      <alignment horizontal="center" vertical="center" wrapText="1"/>
    </xf>
    <xf numFmtId="0" fontId="18" fillId="0" borderId="49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27" fillId="0" borderId="0" xfId="0" applyFont="1" applyAlignment="1">
      <alignment horizontal="left" wrapText="1"/>
    </xf>
    <xf numFmtId="0" fontId="27" fillId="0" borderId="0" xfId="0" applyFont="1" applyAlignment="1">
      <alignment horizontal="left"/>
    </xf>
    <xf numFmtId="0" fontId="13" fillId="0" borderId="0" xfId="0" applyFont="1" applyAlignment="1">
      <alignment vertical="top" wrapText="1"/>
    </xf>
    <xf numFmtId="0" fontId="27" fillId="0" borderId="0" xfId="0" applyFont="1" applyAlignment="1">
      <alignment vertical="top" wrapText="1"/>
    </xf>
    <xf numFmtId="0" fontId="20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50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/>
    </xf>
    <xf numFmtId="0" fontId="18" fillId="0" borderId="12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4" fontId="1" fillId="0" borderId="0" xfId="0" applyNumberFormat="1" applyFont="1" applyAlignment="1">
      <alignment horizontal="left" wrapText="1"/>
    </xf>
    <xf numFmtId="0" fontId="0" fillId="0" borderId="11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0" xfId="0" applyFill="1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left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2" xfId="53"/>
    <cellStyle name="Обычный 2" xfId="54"/>
    <cellStyle name="Обычный 3" xfId="55"/>
    <cellStyle name="Обычный 7" xfId="56"/>
    <cellStyle name="Обычный_прил 7,9-2009-2010 нов классиф." xfId="57"/>
    <cellStyle name="Обычный_прилож 8,10 -2008г.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перечис.11" xfId="66"/>
    <cellStyle name="Тысячи_перечис.11" xfId="67"/>
    <cellStyle name="Comma" xfId="68"/>
    <cellStyle name="Comma [0]" xfId="69"/>
    <cellStyle name="Финансовый 13" xfId="70"/>
    <cellStyle name="Финансовый 2" xfId="71"/>
    <cellStyle name="Финансовый 3" xfId="72"/>
    <cellStyle name="Финансовый 9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2&#1075;%20&#1055;&#1088;&#1080;&#1083;&#1086;&#1078;%20&#1088;&#1072;&#1079;&#1076;%20&#1087;&#1086;&#1076;&#1088;,&#1042;&#1077;&#1076;%20&#1089;&#1090;&#1088;&#1091;&#108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8,9"/>
      <sheetName val="прил11 (2012-2013рабоч "/>
      <sheetName val="#ССЫЛКА"/>
    </sheetNames>
    <sheetDataSet>
      <sheetData sheetId="1">
        <row r="846">
          <cell r="K846">
            <v>-9647.17</v>
          </cell>
          <cell r="L8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="60" zoomScalePageLayoutView="0" workbookViewId="0" topLeftCell="A1">
      <selection activeCell="B1" sqref="B1:C1"/>
    </sheetView>
  </sheetViews>
  <sheetFormatPr defaultColWidth="9.140625" defaultRowHeight="12.75"/>
  <cols>
    <col min="1" max="1" width="50.28125" style="2" customWidth="1"/>
    <col min="2" max="2" width="26.28125" style="3" customWidth="1"/>
    <col min="3" max="3" width="24.7109375" style="38" hidden="1" customWidth="1"/>
    <col min="4" max="4" width="20.57421875" style="5" hidden="1" customWidth="1"/>
    <col min="5" max="5" width="17.8515625" style="5" hidden="1" customWidth="1"/>
    <col min="6" max="6" width="24.7109375" style="38" customWidth="1"/>
    <col min="7" max="16384" width="9.140625" style="5" customWidth="1"/>
  </cols>
  <sheetData>
    <row r="1" spans="2:6" ht="12.75" customHeight="1">
      <c r="B1" s="543"/>
      <c r="C1" s="543"/>
      <c r="F1" s="60"/>
    </row>
    <row r="2" spans="2:6" ht="12" customHeight="1">
      <c r="B2" s="543" t="s">
        <v>43</v>
      </c>
      <c r="C2" s="543"/>
      <c r="F2" s="60"/>
    </row>
    <row r="3" spans="2:6" ht="24" customHeight="1">
      <c r="B3" s="544" t="s">
        <v>83</v>
      </c>
      <c r="C3" s="544"/>
      <c r="D3" s="544"/>
      <c r="E3" s="544"/>
      <c r="F3" s="544"/>
    </row>
    <row r="4" spans="2:6" ht="16.5" customHeight="1">
      <c r="B4" s="544"/>
      <c r="C4" s="544"/>
      <c r="D4" s="544"/>
      <c r="E4" s="544"/>
      <c r="F4" s="544"/>
    </row>
    <row r="5" spans="2:6" ht="14.25" customHeight="1">
      <c r="B5" s="75"/>
      <c r="C5" s="75"/>
      <c r="D5" s="75"/>
      <c r="E5" s="75"/>
      <c r="F5" s="75"/>
    </row>
    <row r="6" spans="3:6" ht="21.75" customHeight="1">
      <c r="C6" s="33"/>
      <c r="F6" s="33"/>
    </row>
    <row r="7" spans="1:6" ht="12.75">
      <c r="A7" s="545" t="s">
        <v>92</v>
      </c>
      <c r="B7" s="545"/>
      <c r="C7" s="545"/>
      <c r="D7" s="546"/>
      <c r="E7" s="546"/>
      <c r="F7" s="546"/>
    </row>
    <row r="8" spans="1:6" ht="18.75" customHeight="1">
      <c r="A8" s="8"/>
      <c r="B8" s="7"/>
      <c r="C8" s="34"/>
      <c r="D8" s="5">
        <v>2011</v>
      </c>
      <c r="E8" s="5">
        <v>2012</v>
      </c>
      <c r="F8" s="34"/>
    </row>
    <row r="9" spans="1:6" ht="24">
      <c r="A9" s="9" t="s">
        <v>0</v>
      </c>
      <c r="B9" s="10" t="s">
        <v>1</v>
      </c>
      <c r="C9" s="35" t="s">
        <v>48</v>
      </c>
      <c r="D9" s="35" t="s">
        <v>48</v>
      </c>
      <c r="E9" s="57" t="s">
        <v>48</v>
      </c>
      <c r="F9" s="35" t="s">
        <v>48</v>
      </c>
    </row>
    <row r="10" spans="1:6" ht="12">
      <c r="A10" s="12" t="s">
        <v>3</v>
      </c>
      <c r="B10" s="13"/>
      <c r="C10" s="36">
        <f>C11</f>
        <v>2580</v>
      </c>
      <c r="D10" s="36">
        <f>D11</f>
        <v>2604</v>
      </c>
      <c r="E10" s="58">
        <f>E11</f>
        <v>2671</v>
      </c>
      <c r="F10" s="36">
        <f>F11</f>
        <v>1800.0006700000001</v>
      </c>
    </row>
    <row r="11" spans="1:6" ht="24">
      <c r="A11" s="12" t="s">
        <v>4</v>
      </c>
      <c r="B11" s="13" t="s">
        <v>10</v>
      </c>
      <c r="C11" s="36">
        <f>C12+C17+C22</f>
        <v>2580</v>
      </c>
      <c r="D11" s="36">
        <f>D12+D17+D22</f>
        <v>2604</v>
      </c>
      <c r="E11" s="58">
        <f>E12+E17+E22</f>
        <v>2671</v>
      </c>
      <c r="F11" s="36">
        <f>F12+F17+F22</f>
        <v>1800.0006700000001</v>
      </c>
    </row>
    <row r="12" spans="1:6" ht="24" hidden="1">
      <c r="A12" s="12" t="s">
        <v>5</v>
      </c>
      <c r="B12" s="13" t="s">
        <v>11</v>
      </c>
      <c r="C12" s="36">
        <f>C13+C15</f>
        <v>2700</v>
      </c>
      <c r="D12" s="36">
        <f>D13+D15</f>
        <v>1794</v>
      </c>
      <c r="E12" s="58">
        <f>E13+E15</f>
        <v>1861</v>
      </c>
      <c r="F12" s="36">
        <f>F13+F15</f>
        <v>0</v>
      </c>
    </row>
    <row r="13" spans="1:8" ht="27.75" customHeight="1" hidden="1">
      <c r="A13" s="14" t="s">
        <v>6</v>
      </c>
      <c r="B13" s="15" t="s">
        <v>12</v>
      </c>
      <c r="C13" s="37">
        <f>C14</f>
        <v>6330</v>
      </c>
      <c r="D13" s="37">
        <f>D14</f>
        <v>6234</v>
      </c>
      <c r="E13" s="59">
        <f>E14</f>
        <v>7442</v>
      </c>
      <c r="F13" s="37">
        <f>F14</f>
        <v>0</v>
      </c>
      <c r="H13" s="73"/>
    </row>
    <row r="14" spans="1:8" ht="27.75" customHeight="1" hidden="1">
      <c r="A14" s="14" t="s">
        <v>7</v>
      </c>
      <c r="B14" s="15" t="s">
        <v>13</v>
      </c>
      <c r="C14" s="37">
        <f>2580+3630+120</f>
        <v>6330</v>
      </c>
      <c r="D14" s="37">
        <f>2604+3630</f>
        <v>6234</v>
      </c>
      <c r="E14" s="59">
        <f>2671+3630+1141</f>
        <v>7442</v>
      </c>
      <c r="F14" s="37"/>
      <c r="H14" s="73"/>
    </row>
    <row r="15" spans="1:8" ht="25.5" customHeight="1" hidden="1">
      <c r="A15" s="14" t="s">
        <v>8</v>
      </c>
      <c r="B15" s="15" t="s">
        <v>14</v>
      </c>
      <c r="C15" s="37">
        <f>C16</f>
        <v>-3630</v>
      </c>
      <c r="D15" s="37">
        <f>D16</f>
        <v>-4440</v>
      </c>
      <c r="E15" s="59">
        <f>E16</f>
        <v>-5581</v>
      </c>
      <c r="F15" s="37">
        <f>F16</f>
        <v>0</v>
      </c>
      <c r="H15" s="73"/>
    </row>
    <row r="16" spans="1:6" ht="28.5" customHeight="1" hidden="1">
      <c r="A16" s="14" t="s">
        <v>9</v>
      </c>
      <c r="B16" s="15" t="s">
        <v>15</v>
      </c>
      <c r="C16" s="37">
        <v>-3630</v>
      </c>
      <c r="D16" s="37">
        <f>-3630+(-810)</f>
        <v>-4440</v>
      </c>
      <c r="E16" s="59">
        <f>-4440+(-1141)</f>
        <v>-5581</v>
      </c>
      <c r="F16" s="37"/>
    </row>
    <row r="17" spans="1:6" ht="30" customHeight="1">
      <c r="A17" s="12" t="s">
        <v>16</v>
      </c>
      <c r="B17" s="13" t="s">
        <v>17</v>
      </c>
      <c r="C17" s="36">
        <f>C18+C20</f>
        <v>-1319</v>
      </c>
      <c r="D17" s="36">
        <f>D18+D20</f>
        <v>-390</v>
      </c>
      <c r="E17" s="58">
        <f>E18+E20</f>
        <v>-390</v>
      </c>
      <c r="F17" s="36">
        <f>F18+F20</f>
        <v>403.14557000000013</v>
      </c>
    </row>
    <row r="18" spans="1:6" ht="36" customHeight="1">
      <c r="A18" s="14" t="s">
        <v>18</v>
      </c>
      <c r="B18" s="15" t="s">
        <v>19</v>
      </c>
      <c r="C18" s="37">
        <f>C19</f>
        <v>5000</v>
      </c>
      <c r="D18" s="37">
        <f>D19</f>
        <v>5000</v>
      </c>
      <c r="E18" s="59">
        <f>E19</f>
        <v>5000</v>
      </c>
      <c r="F18" s="37">
        <f>F19</f>
        <v>2338.82</v>
      </c>
    </row>
    <row r="19" spans="1:6" ht="42" customHeight="1">
      <c r="A19" s="14" t="s">
        <v>20</v>
      </c>
      <c r="B19" s="15" t="s">
        <v>21</v>
      </c>
      <c r="C19" s="37">
        <v>5000</v>
      </c>
      <c r="D19" s="37">
        <v>5000</v>
      </c>
      <c r="E19" s="59">
        <v>5000</v>
      </c>
      <c r="F19" s="37">
        <v>2338.82</v>
      </c>
    </row>
    <row r="20" spans="1:6" ht="40.5" customHeight="1">
      <c r="A20" s="14" t="s">
        <v>22</v>
      </c>
      <c r="B20" s="15" t="s">
        <v>23</v>
      </c>
      <c r="C20" s="37">
        <f>C21</f>
        <v>-6319</v>
      </c>
      <c r="D20" s="37">
        <f>D21</f>
        <v>-5390</v>
      </c>
      <c r="E20" s="59">
        <f>E21</f>
        <v>-5390</v>
      </c>
      <c r="F20" s="37">
        <f>F21</f>
        <v>-1935.67443</v>
      </c>
    </row>
    <row r="21" spans="1:6" ht="39" customHeight="1">
      <c r="A21" s="14" t="s">
        <v>24</v>
      </c>
      <c r="B21" s="15" t="s">
        <v>25</v>
      </c>
      <c r="C21" s="37">
        <f>-929+(-390)+(-5000)</f>
        <v>-6319</v>
      </c>
      <c r="D21" s="37">
        <f>(-390)+(-5000)</f>
        <v>-5390</v>
      </c>
      <c r="E21" s="59">
        <f>(-390)+(-5000)</f>
        <v>-5390</v>
      </c>
      <c r="F21" s="37">
        <v>-1935.67443</v>
      </c>
    </row>
    <row r="22" spans="1:6" ht="24" customHeight="1">
      <c r="A22" s="12" t="s">
        <v>26</v>
      </c>
      <c r="B22" s="13" t="s">
        <v>27</v>
      </c>
      <c r="C22" s="36">
        <f>C23+C26</f>
        <v>1199</v>
      </c>
      <c r="D22" s="36">
        <f>D23+D26</f>
        <v>1200</v>
      </c>
      <c r="E22" s="58">
        <f>E23+E26</f>
        <v>1200</v>
      </c>
      <c r="F22" s="36">
        <f>F23+F26</f>
        <v>1396.8551</v>
      </c>
    </row>
    <row r="23" spans="1:6" ht="21" customHeight="1" hidden="1">
      <c r="A23" s="12" t="s">
        <v>28</v>
      </c>
      <c r="B23" s="13" t="s">
        <v>30</v>
      </c>
      <c r="C23" s="36">
        <f aca="true" t="shared" si="0" ref="C23:F24">C24</f>
        <v>0</v>
      </c>
      <c r="D23" s="36">
        <f t="shared" si="0"/>
        <v>0</v>
      </c>
      <c r="E23" s="58">
        <f t="shared" si="0"/>
        <v>0</v>
      </c>
      <c r="F23" s="36">
        <f t="shared" si="0"/>
        <v>0</v>
      </c>
    </row>
    <row r="24" spans="1:6" ht="36.75" customHeight="1" hidden="1">
      <c r="A24" s="14" t="s">
        <v>29</v>
      </c>
      <c r="B24" s="15" t="s">
        <v>31</v>
      </c>
      <c r="C24" s="37">
        <f t="shared" si="0"/>
        <v>0</v>
      </c>
      <c r="D24" s="37">
        <f t="shared" si="0"/>
        <v>0</v>
      </c>
      <c r="E24" s="59">
        <f t="shared" si="0"/>
        <v>0</v>
      </c>
      <c r="F24" s="37">
        <f t="shared" si="0"/>
        <v>0</v>
      </c>
    </row>
    <row r="25" spans="1:6" ht="37.5" customHeight="1" hidden="1">
      <c r="A25" s="14" t="s">
        <v>32</v>
      </c>
      <c r="B25" s="15" t="s">
        <v>33</v>
      </c>
      <c r="C25" s="37"/>
      <c r="D25" s="37"/>
      <c r="E25" s="59"/>
      <c r="F25" s="37"/>
    </row>
    <row r="26" spans="1:8" ht="24" customHeight="1">
      <c r="A26" s="12" t="s">
        <v>34</v>
      </c>
      <c r="B26" s="13" t="s">
        <v>35</v>
      </c>
      <c r="C26" s="36">
        <f>C27-C30</f>
        <v>1199</v>
      </c>
      <c r="D26" s="36">
        <f>D27-D30</f>
        <v>1200</v>
      </c>
      <c r="E26" s="58">
        <f>E27-E30</f>
        <v>1200</v>
      </c>
      <c r="F26" s="36">
        <f>F27-F30</f>
        <v>1396.8551</v>
      </c>
      <c r="H26" s="73"/>
    </row>
    <row r="27" spans="1:6" ht="26.25" customHeight="1">
      <c r="A27" s="14" t="s">
        <v>36</v>
      </c>
      <c r="B27" s="15" t="s">
        <v>37</v>
      </c>
      <c r="C27" s="37">
        <f>C28+C29</f>
        <v>1199</v>
      </c>
      <c r="D27" s="37">
        <f>D28+D29</f>
        <v>1200</v>
      </c>
      <c r="E27" s="59">
        <f>E28+E29</f>
        <v>1200</v>
      </c>
      <c r="F27" s="37">
        <f>F28+F29</f>
        <v>1396.8551</v>
      </c>
    </row>
    <row r="28" spans="1:6" ht="34.5" customHeight="1">
      <c r="A28" s="14" t="s">
        <v>45</v>
      </c>
      <c r="B28" s="15" t="s">
        <v>38</v>
      </c>
      <c r="C28" s="37">
        <f>1199</f>
        <v>1199</v>
      </c>
      <c r="D28" s="37">
        <f>1200</f>
        <v>1200</v>
      </c>
      <c r="E28" s="59">
        <v>1200</v>
      </c>
      <c r="F28" s="37">
        <v>1396.8551</v>
      </c>
    </row>
    <row r="29" spans="1:6" ht="54.75" customHeight="1" hidden="1">
      <c r="A29" s="14" t="s">
        <v>46</v>
      </c>
      <c r="B29" s="15" t="s">
        <v>39</v>
      </c>
      <c r="C29" s="37">
        <v>0</v>
      </c>
      <c r="D29" s="37">
        <v>0</v>
      </c>
      <c r="E29" s="59">
        <v>0</v>
      </c>
      <c r="F29" s="37">
        <v>0</v>
      </c>
    </row>
    <row r="30" spans="1:6" ht="26.25" customHeight="1" hidden="1">
      <c r="A30" s="14" t="s">
        <v>40</v>
      </c>
      <c r="B30" s="15" t="s">
        <v>41</v>
      </c>
      <c r="C30" s="37">
        <f>C32+C31</f>
        <v>0</v>
      </c>
      <c r="D30" s="37">
        <f>D32+D31</f>
        <v>0</v>
      </c>
      <c r="E30" s="59">
        <f>E32+E31</f>
        <v>0</v>
      </c>
      <c r="F30" s="37">
        <f>F32+F31</f>
        <v>0</v>
      </c>
    </row>
    <row r="31" spans="1:6" ht="45" customHeight="1" hidden="1">
      <c r="A31" s="14" t="s">
        <v>54</v>
      </c>
      <c r="B31" s="15" t="s">
        <v>55</v>
      </c>
      <c r="C31" s="37">
        <v>0</v>
      </c>
      <c r="D31" s="37">
        <v>0</v>
      </c>
      <c r="E31" s="59">
        <v>0</v>
      </c>
      <c r="F31" s="37">
        <v>0</v>
      </c>
    </row>
    <row r="32" spans="1:6" ht="38.25" customHeight="1" hidden="1">
      <c r="A32" s="14" t="s">
        <v>47</v>
      </c>
      <c r="B32" s="15" t="s">
        <v>42</v>
      </c>
      <c r="C32" s="37">
        <v>0</v>
      </c>
      <c r="D32" s="37">
        <v>0</v>
      </c>
      <c r="E32" s="59">
        <v>0</v>
      </c>
      <c r="F32" s="37">
        <v>0</v>
      </c>
    </row>
    <row r="33" ht="31.5" customHeight="1"/>
    <row r="34" ht="18.75" customHeight="1"/>
  </sheetData>
  <sheetProtection/>
  <mergeCells count="4">
    <mergeCell ref="B1:C1"/>
    <mergeCell ref="B2:C2"/>
    <mergeCell ref="B3:F4"/>
    <mergeCell ref="A7:F7"/>
  </mergeCells>
  <printOptions/>
  <pageMargins left="0.984251968503937" right="0.1968503937007874" top="0.5905511811023623" bottom="0" header="0.5118110236220472" footer="0.5118110236220472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4"/>
  <sheetViews>
    <sheetView view="pageBreakPreview" zoomScale="60" zoomScalePageLayoutView="0" workbookViewId="0" topLeftCell="A1">
      <selection activeCell="B9" sqref="B9"/>
    </sheetView>
  </sheetViews>
  <sheetFormatPr defaultColWidth="9.140625" defaultRowHeight="12.75"/>
  <cols>
    <col min="1" max="1" width="63.8515625" style="0" customWidth="1"/>
    <col min="2" max="2" width="17.8515625" style="30" customWidth="1"/>
    <col min="3" max="3" width="19.28125" style="30" customWidth="1"/>
    <col min="4" max="4" width="13.421875" style="0" customWidth="1"/>
    <col min="5" max="5" width="12.7109375" style="0" customWidth="1"/>
  </cols>
  <sheetData>
    <row r="1" spans="2:3" ht="12.75">
      <c r="B1" s="84"/>
      <c r="C1" s="28"/>
    </row>
    <row r="2" spans="2:3" ht="12.75">
      <c r="B2" s="624" t="s">
        <v>72</v>
      </c>
      <c r="C2" s="624"/>
    </row>
    <row r="3" spans="2:3" ht="62.25" customHeight="1">
      <c r="B3" s="623" t="s">
        <v>89</v>
      </c>
      <c r="C3" s="623"/>
    </row>
    <row r="6" spans="1:3" ht="12.75">
      <c r="A6" s="622" t="s">
        <v>86</v>
      </c>
      <c r="B6" s="622"/>
      <c r="C6" s="622"/>
    </row>
    <row r="8" ht="12.75">
      <c r="C8" s="28" t="s">
        <v>67</v>
      </c>
    </row>
    <row r="9" spans="1:3" s="27" customFormat="1" ht="55.5" customHeight="1">
      <c r="A9" s="85" t="s">
        <v>93</v>
      </c>
      <c r="B9" s="29" t="s">
        <v>66</v>
      </c>
      <c r="C9" s="29" t="s">
        <v>63</v>
      </c>
    </row>
    <row r="10" spans="1:3" ht="12.75">
      <c r="A10" s="48" t="s">
        <v>64</v>
      </c>
      <c r="B10" s="31">
        <f>B12+B13+B14</f>
        <v>2338.82</v>
      </c>
      <c r="C10" s="31">
        <f>C12+C13+C14</f>
        <v>-1935.67443</v>
      </c>
    </row>
    <row r="11" spans="1:3" ht="12.75">
      <c r="A11" s="1" t="s">
        <v>65</v>
      </c>
      <c r="B11" s="31"/>
      <c r="C11" s="31"/>
    </row>
    <row r="12" spans="1:3" ht="18.75" customHeight="1" hidden="1">
      <c r="A12" s="12" t="s">
        <v>5</v>
      </c>
      <c r="B12" s="31"/>
      <c r="C12" s="31"/>
    </row>
    <row r="13" spans="1:3" ht="27.75" customHeight="1">
      <c r="A13" s="12" t="s">
        <v>16</v>
      </c>
      <c r="B13" s="31">
        <f>'прилож 1'!F19</f>
        <v>2338.82</v>
      </c>
      <c r="C13" s="31">
        <f>'прилож 1'!F20</f>
        <v>-1935.67443</v>
      </c>
    </row>
    <row r="14" spans="1:3" s="27" customFormat="1" ht="126" customHeight="1" hidden="1">
      <c r="A14" s="26" t="s">
        <v>69</v>
      </c>
      <c r="B14" s="32"/>
      <c r="C14" s="32"/>
    </row>
  </sheetData>
  <sheetProtection/>
  <mergeCells count="3">
    <mergeCell ref="A6:C6"/>
    <mergeCell ref="B3:C3"/>
    <mergeCell ref="B2:C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="60" zoomScalePageLayoutView="0" workbookViewId="0" topLeftCell="A1">
      <selection activeCell="D1" sqref="D1"/>
    </sheetView>
  </sheetViews>
  <sheetFormatPr defaultColWidth="9.140625" defaultRowHeight="12.75"/>
  <cols>
    <col min="1" max="1" width="48.28125" style="41" customWidth="1"/>
    <col min="2" max="2" width="13.140625" style="41" customWidth="1"/>
    <col min="3" max="3" width="16.140625" style="41" customWidth="1"/>
    <col min="4" max="4" width="13.00390625" style="42" customWidth="1"/>
    <col min="5" max="5" width="19.00390625" style="42" customWidth="1"/>
    <col min="6" max="16384" width="9.140625" style="41" customWidth="1"/>
  </cols>
  <sheetData>
    <row r="1" spans="4:5" ht="12.75">
      <c r="D1" s="83"/>
      <c r="E1" s="43"/>
    </row>
    <row r="2" spans="4:5" s="39" customFormat="1" ht="12.75">
      <c r="D2" s="626" t="s">
        <v>78</v>
      </c>
      <c r="E2" s="626"/>
    </row>
    <row r="3" spans="4:5" s="39" customFormat="1" ht="82.5" customHeight="1">
      <c r="D3" s="625" t="s">
        <v>87</v>
      </c>
      <c r="E3" s="625"/>
    </row>
    <row r="6" spans="1:5" ht="33.75" customHeight="1">
      <c r="A6" s="627" t="s">
        <v>94</v>
      </c>
      <c r="B6" s="628"/>
      <c r="C6" s="628"/>
      <c r="D6" s="628"/>
      <c r="E6" s="628"/>
    </row>
    <row r="7" spans="1:5" ht="12.75">
      <c r="A7" s="40"/>
      <c r="B7" s="40"/>
      <c r="C7" s="40"/>
      <c r="D7" s="40"/>
      <c r="E7" s="40"/>
    </row>
    <row r="9" ht="12.75">
      <c r="E9" s="43" t="s">
        <v>67</v>
      </c>
    </row>
    <row r="10" spans="1:5" ht="12.75">
      <c r="A10" s="629" t="s">
        <v>93</v>
      </c>
      <c r="B10" s="632" t="s">
        <v>74</v>
      </c>
      <c r="C10" s="633"/>
      <c r="D10" s="631" t="s">
        <v>85</v>
      </c>
      <c r="E10" s="631"/>
    </row>
    <row r="11" spans="1:5" s="45" customFormat="1" ht="63.75">
      <c r="A11" s="630"/>
      <c r="B11" s="44" t="s">
        <v>66</v>
      </c>
      <c r="C11" s="44" t="s">
        <v>63</v>
      </c>
      <c r="D11" s="44" t="s">
        <v>66</v>
      </c>
      <c r="E11" s="44" t="s">
        <v>63</v>
      </c>
    </row>
    <row r="12" spans="1:5" ht="12.75">
      <c r="A12" s="48" t="s">
        <v>64</v>
      </c>
      <c r="B12" s="53">
        <f>SUM(B14:B15)</f>
        <v>3198</v>
      </c>
      <c r="C12" s="53">
        <f>C14+C15</f>
        <v>-1534</v>
      </c>
      <c r="D12" s="53">
        <f>SUM(D14:D15)</f>
        <v>2140</v>
      </c>
      <c r="E12" s="53">
        <f>E14+E15</f>
        <v>-700</v>
      </c>
    </row>
    <row r="13" spans="1:5" ht="12.75">
      <c r="A13" s="46" t="s">
        <v>65</v>
      </c>
      <c r="B13" s="47"/>
      <c r="C13" s="47"/>
      <c r="D13" s="47"/>
      <c r="E13" s="47"/>
    </row>
    <row r="14" spans="1:5" ht="25.5" customHeight="1" hidden="1">
      <c r="A14" s="49" t="s">
        <v>5</v>
      </c>
      <c r="B14" s="54"/>
      <c r="C14" s="54"/>
      <c r="D14" s="50"/>
      <c r="E14" s="50"/>
    </row>
    <row r="15" spans="1:5" ht="27.75" customHeight="1">
      <c r="A15" s="49" t="s">
        <v>16</v>
      </c>
      <c r="B15" s="54">
        <f>'прилож 3'!E19</f>
        <v>3198</v>
      </c>
      <c r="C15" s="54">
        <f>'прилож 3'!E21</f>
        <v>-1534</v>
      </c>
      <c r="D15" s="50">
        <f>'прилож 3'!F20</f>
        <v>2140</v>
      </c>
      <c r="E15" s="50">
        <f>'прилож 3'!F22</f>
        <v>-700</v>
      </c>
    </row>
    <row r="17" spans="2:5" ht="12.75">
      <c r="B17" s="51"/>
      <c r="C17" s="51"/>
      <c r="D17" s="52"/>
      <c r="E17" s="52"/>
    </row>
  </sheetData>
  <sheetProtection/>
  <mergeCells count="6">
    <mergeCell ref="D3:E3"/>
    <mergeCell ref="D2:E2"/>
    <mergeCell ref="A6:E6"/>
    <mergeCell ref="A10:A11"/>
    <mergeCell ref="D10:E10"/>
    <mergeCell ref="B10:C10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17"/>
  <sheetViews>
    <sheetView view="pageBreakPreview" zoomScale="60" zoomScalePageLayoutView="0" workbookViewId="0" topLeftCell="A1">
      <selection activeCell="E13" sqref="E13"/>
    </sheetView>
  </sheetViews>
  <sheetFormatPr defaultColWidth="9.140625" defaultRowHeight="12.75"/>
  <cols>
    <col min="1" max="1" width="18.00390625" style="0" customWidth="1"/>
    <col min="2" max="2" width="15.8515625" style="0" customWidth="1"/>
    <col min="3" max="3" width="12.57421875" style="0" customWidth="1"/>
    <col min="4" max="4" width="10.7109375" style="0" customWidth="1"/>
    <col min="5" max="5" width="11.28125" style="0" customWidth="1"/>
    <col min="6" max="6" width="13.140625" style="0" customWidth="1"/>
    <col min="7" max="7" width="21.00390625" style="0" customWidth="1"/>
  </cols>
  <sheetData>
    <row r="2" spans="5:7" ht="12.75">
      <c r="E2" s="635" t="s">
        <v>970</v>
      </c>
      <c r="F2" s="624"/>
      <c r="G2" s="624"/>
    </row>
    <row r="3" spans="5:7" ht="36.75" customHeight="1">
      <c r="E3" s="636" t="s">
        <v>88</v>
      </c>
      <c r="F3" s="636"/>
      <c r="G3" s="636"/>
    </row>
    <row r="4" spans="6:7" ht="12.75">
      <c r="F4" s="417"/>
      <c r="G4" s="417"/>
    </row>
    <row r="6" spans="1:7" ht="12.75">
      <c r="A6" s="622" t="s">
        <v>950</v>
      </c>
      <c r="B6" s="622"/>
      <c r="C6" s="622"/>
      <c r="D6" s="622"/>
      <c r="E6" s="622"/>
      <c r="F6" s="622"/>
      <c r="G6" s="622"/>
    </row>
    <row r="7" spans="1:7" ht="12.75">
      <c r="A7" s="622" t="s">
        <v>951</v>
      </c>
      <c r="B7" s="622"/>
      <c r="C7" s="622"/>
      <c r="D7" s="622"/>
      <c r="E7" s="622"/>
      <c r="F7" s="622"/>
      <c r="G7" s="622"/>
    </row>
    <row r="8" spans="1:7" ht="12.75">
      <c r="A8" s="622" t="s">
        <v>952</v>
      </c>
      <c r="B8" s="622"/>
      <c r="C8" s="622"/>
      <c r="D8" s="622"/>
      <c r="E8" s="622"/>
      <c r="F8" s="622"/>
      <c r="G8" s="622"/>
    </row>
    <row r="10" spans="1:7" ht="12.75">
      <c r="A10" s="637" t="s">
        <v>953</v>
      </c>
      <c r="B10" s="638"/>
      <c r="C10" s="638"/>
      <c r="D10" s="638"/>
      <c r="E10" s="638"/>
      <c r="F10" s="638"/>
      <c r="G10" s="639"/>
    </row>
    <row r="11" spans="1:7" s="27" customFormat="1" ht="37.5" customHeight="1">
      <c r="A11" s="634" t="s">
        <v>954</v>
      </c>
      <c r="B11" s="634" t="s">
        <v>955</v>
      </c>
      <c r="C11" s="634" t="s">
        <v>956</v>
      </c>
      <c r="D11" s="634"/>
      <c r="E11" s="634" t="s">
        <v>957</v>
      </c>
      <c r="F11" s="634" t="s">
        <v>958</v>
      </c>
      <c r="G11" s="634" t="s">
        <v>959</v>
      </c>
    </row>
    <row r="12" spans="1:7" s="27" customFormat="1" ht="25.5">
      <c r="A12" s="634"/>
      <c r="B12" s="634"/>
      <c r="C12" s="419" t="s">
        <v>960</v>
      </c>
      <c r="D12" s="419" t="s">
        <v>70</v>
      </c>
      <c r="E12" s="634"/>
      <c r="F12" s="634"/>
      <c r="G12" s="634"/>
    </row>
    <row r="13" spans="1:7" s="27" customFormat="1" ht="102" customHeight="1">
      <c r="A13" s="419" t="s">
        <v>961</v>
      </c>
      <c r="B13" s="419" t="s">
        <v>962</v>
      </c>
      <c r="C13" s="420">
        <v>5000</v>
      </c>
      <c r="D13" s="420">
        <v>5000</v>
      </c>
      <c r="E13" s="418" t="s">
        <v>963</v>
      </c>
      <c r="F13" s="418" t="s">
        <v>963</v>
      </c>
      <c r="G13" s="419" t="s">
        <v>964</v>
      </c>
    </row>
    <row r="14" spans="1:7" s="27" customFormat="1" ht="12.75">
      <c r="A14" s="419" t="s">
        <v>965</v>
      </c>
      <c r="B14" s="419"/>
      <c r="C14" s="421">
        <f>C13</f>
        <v>5000</v>
      </c>
      <c r="D14" s="421">
        <f>D13</f>
        <v>5000</v>
      </c>
      <c r="E14" s="419"/>
      <c r="F14" s="419"/>
      <c r="G14" s="419"/>
    </row>
    <row r="15" spans="1:7" s="27" customFormat="1" ht="28.5" customHeight="1">
      <c r="A15" s="640" t="s">
        <v>966</v>
      </c>
      <c r="B15" s="640"/>
      <c r="C15" s="640"/>
      <c r="D15" s="640"/>
      <c r="E15" s="640"/>
      <c r="F15" s="640"/>
      <c r="G15" s="640"/>
    </row>
    <row r="16" spans="1:7" s="27" customFormat="1" ht="31.5" customHeight="1">
      <c r="A16" s="640" t="s">
        <v>967</v>
      </c>
      <c r="B16" s="640"/>
      <c r="C16" s="640"/>
      <c r="D16" s="640" t="s">
        <v>968</v>
      </c>
      <c r="E16" s="640"/>
      <c r="F16" s="640"/>
      <c r="G16" s="640"/>
    </row>
    <row r="17" spans="1:7" s="27" customFormat="1" ht="26.25" customHeight="1">
      <c r="A17" s="640" t="s">
        <v>969</v>
      </c>
      <c r="B17" s="640"/>
      <c r="C17" s="640"/>
      <c r="D17" s="641">
        <v>0</v>
      </c>
      <c r="E17" s="641"/>
      <c r="F17" s="641"/>
      <c r="G17" s="641"/>
    </row>
    <row r="18" s="27" customFormat="1" ht="12.75"/>
    <row r="19" s="27" customFormat="1" ht="12.75"/>
    <row r="20" s="27" customFormat="1" ht="12.75"/>
  </sheetData>
  <sheetProtection/>
  <mergeCells count="17">
    <mergeCell ref="A15:G15"/>
    <mergeCell ref="A16:C16"/>
    <mergeCell ref="D16:G16"/>
    <mergeCell ref="A17:C17"/>
    <mergeCell ref="D17:G17"/>
    <mergeCell ref="A11:A12"/>
    <mergeCell ref="B11:B12"/>
    <mergeCell ref="C11:D11"/>
    <mergeCell ref="E11:E12"/>
    <mergeCell ref="F11:F12"/>
    <mergeCell ref="G11:G12"/>
    <mergeCell ref="E2:G2"/>
    <mergeCell ref="E3:G3"/>
    <mergeCell ref="A6:G6"/>
    <mergeCell ref="A7:G7"/>
    <mergeCell ref="A8:G8"/>
    <mergeCell ref="A10:G10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7"/>
  <sheetViews>
    <sheetView view="pageBreakPreview" zoomScale="60" zoomScalePageLayoutView="0" workbookViewId="0" topLeftCell="A1">
      <selection activeCell="C13" sqref="C13"/>
    </sheetView>
  </sheetViews>
  <sheetFormatPr defaultColWidth="19.7109375" defaultRowHeight="12.75"/>
  <cols>
    <col min="1" max="1" width="42.8515625" style="101" customWidth="1"/>
    <col min="2" max="2" width="32.00390625" style="102" customWidth="1"/>
    <col min="3" max="3" width="13.8515625" style="100" customWidth="1"/>
    <col min="4" max="4" width="12.28125" style="107" customWidth="1"/>
    <col min="5" max="5" width="14.57421875" style="107" customWidth="1"/>
    <col min="6" max="16384" width="19.7109375" style="107" customWidth="1"/>
  </cols>
  <sheetData>
    <row r="1" spans="1:7" ht="12.75">
      <c r="A1" s="86"/>
      <c r="B1" s="87"/>
      <c r="C1" s="87"/>
      <c r="D1" s="88"/>
      <c r="E1" s="87"/>
      <c r="F1" s="89"/>
      <c r="G1" s="90"/>
    </row>
    <row r="2" spans="1:7" ht="12.75">
      <c r="A2" s="86"/>
      <c r="B2" s="87"/>
      <c r="C2" s="547" t="s">
        <v>95</v>
      </c>
      <c r="D2" s="547"/>
      <c r="E2" s="547"/>
      <c r="F2" s="91"/>
      <c r="G2" s="92"/>
    </row>
    <row r="3" spans="1:7" ht="12.75" customHeight="1">
      <c r="A3" s="86"/>
      <c r="B3" s="87"/>
      <c r="C3" s="548" t="s">
        <v>96</v>
      </c>
      <c r="D3" s="548"/>
      <c r="E3" s="548"/>
      <c r="F3" s="93"/>
      <c r="G3" s="94"/>
    </row>
    <row r="4" spans="1:7" ht="26.25" customHeight="1">
      <c r="A4" s="86"/>
      <c r="B4" s="87"/>
      <c r="C4" s="548"/>
      <c r="D4" s="548"/>
      <c r="E4" s="548"/>
      <c r="F4" s="93"/>
      <c r="G4" s="95"/>
    </row>
    <row r="5" spans="1:7" ht="12.75">
      <c r="A5" s="96"/>
      <c r="B5" s="87"/>
      <c r="C5" s="87"/>
      <c r="D5" s="87"/>
      <c r="E5" s="87"/>
      <c r="F5" s="97"/>
      <c r="G5" s="94"/>
    </row>
    <row r="6" spans="1:7" ht="12.75" customHeight="1">
      <c r="A6" s="549" t="s">
        <v>993</v>
      </c>
      <c r="B6" s="549"/>
      <c r="C6" s="549"/>
      <c r="D6" s="549"/>
      <c r="E6" s="549"/>
      <c r="F6" s="99"/>
      <c r="G6" s="98"/>
    </row>
    <row r="7" spans="1:5" s="100" customFormat="1" ht="15">
      <c r="A7" s="549"/>
      <c r="B7" s="549"/>
      <c r="C7" s="549"/>
      <c r="D7" s="549"/>
      <c r="E7" s="549"/>
    </row>
    <row r="8" spans="1:2" s="100" customFormat="1" ht="15">
      <c r="A8" s="101"/>
      <c r="B8" s="102"/>
    </row>
    <row r="9" spans="1:5" s="100" customFormat="1" ht="15">
      <c r="A9" s="101"/>
      <c r="B9" s="102"/>
      <c r="E9" s="100" t="s">
        <v>97</v>
      </c>
    </row>
    <row r="10" spans="1:5" s="103" customFormat="1" ht="42.75">
      <c r="A10" s="450" t="s">
        <v>98</v>
      </c>
      <c r="B10" s="451" t="s">
        <v>99</v>
      </c>
      <c r="C10" s="450" t="s">
        <v>100</v>
      </c>
      <c r="D10" s="450" t="s">
        <v>101</v>
      </c>
      <c r="E10" s="450" t="s">
        <v>102</v>
      </c>
    </row>
    <row r="11" spans="1:5" ht="15">
      <c r="A11" s="506" t="s">
        <v>103</v>
      </c>
      <c r="B11" s="105" t="s">
        <v>104</v>
      </c>
      <c r="C11" s="106">
        <f>C12+C93</f>
        <v>369303.3999999999</v>
      </c>
      <c r="D11" s="106">
        <f>E11-C11</f>
        <v>-61673.17999999988</v>
      </c>
      <c r="E11" s="106">
        <f>E12+E93</f>
        <v>307630.22000000003</v>
      </c>
    </row>
    <row r="12" spans="1:5" ht="30">
      <c r="A12" s="506" t="s">
        <v>105</v>
      </c>
      <c r="B12" s="105" t="s">
        <v>106</v>
      </c>
      <c r="C12" s="106">
        <f>C13+C51</f>
        <v>62203.5</v>
      </c>
      <c r="D12" s="106">
        <f>D13+D51</f>
        <v>-8410.879999999997</v>
      </c>
      <c r="E12" s="106">
        <f>E13+E51</f>
        <v>55792.62</v>
      </c>
    </row>
    <row r="13" spans="1:5" ht="15">
      <c r="A13" s="506" t="s">
        <v>107</v>
      </c>
      <c r="B13" s="105"/>
      <c r="C13" s="106">
        <f>C14+C22+C33+C40+C43</f>
        <v>49658</v>
      </c>
      <c r="D13" s="106">
        <f>D14+D22+D33+D40+D43</f>
        <v>-4051.579999999998</v>
      </c>
      <c r="E13" s="106">
        <f>E14+E22+E33+E40+E43</f>
        <v>47606.420000000006</v>
      </c>
    </row>
    <row r="14" spans="1:5" ht="15">
      <c r="A14" s="506" t="s">
        <v>108</v>
      </c>
      <c r="B14" s="105" t="s">
        <v>109</v>
      </c>
      <c r="C14" s="106">
        <f>C15</f>
        <v>30800</v>
      </c>
      <c r="D14" s="106">
        <f>D15</f>
        <v>-2303.9999999999986</v>
      </c>
      <c r="E14" s="106">
        <f>E15</f>
        <v>28496</v>
      </c>
    </row>
    <row r="15" spans="1:5" ht="15">
      <c r="A15" s="506" t="s">
        <v>110</v>
      </c>
      <c r="B15" s="105" t="s">
        <v>994</v>
      </c>
      <c r="C15" s="106">
        <f>C16+C17+C20+C21</f>
        <v>30800</v>
      </c>
      <c r="D15" s="106">
        <f>D16+D17+D20+D21</f>
        <v>-2303.9999999999986</v>
      </c>
      <c r="E15" s="106">
        <f>E16+E17+E20+E21</f>
        <v>28496</v>
      </c>
    </row>
    <row r="16" spans="1:5" ht="90">
      <c r="A16" s="506" t="s">
        <v>112</v>
      </c>
      <c r="B16" s="105" t="s">
        <v>995</v>
      </c>
      <c r="C16" s="106">
        <v>500</v>
      </c>
      <c r="D16" s="106">
        <f aca="true" t="shared" si="0" ref="D16:D79">E16-C16</f>
        <v>-498</v>
      </c>
      <c r="E16" s="106">
        <v>2</v>
      </c>
    </row>
    <row r="17" spans="1:5" ht="60">
      <c r="A17" s="506" t="s">
        <v>113</v>
      </c>
      <c r="B17" s="105" t="s">
        <v>996</v>
      </c>
      <c r="C17" s="106">
        <f>C18+C19</f>
        <v>30267.6</v>
      </c>
      <c r="D17" s="106">
        <f>D18+D19</f>
        <v>-1893.5999999999985</v>
      </c>
      <c r="E17" s="106">
        <f>E18+E19</f>
        <v>28374</v>
      </c>
    </row>
    <row r="18" spans="1:5" ht="150">
      <c r="A18" s="506" t="s">
        <v>114</v>
      </c>
      <c r="B18" s="105" t="s">
        <v>997</v>
      </c>
      <c r="C18" s="106">
        <v>30242.6</v>
      </c>
      <c r="D18" s="106">
        <f t="shared" si="0"/>
        <v>-1938.5999999999985</v>
      </c>
      <c r="E18" s="106">
        <v>28304</v>
      </c>
    </row>
    <row r="19" spans="1:5" ht="135">
      <c r="A19" s="506" t="s">
        <v>115</v>
      </c>
      <c r="B19" s="105" t="s">
        <v>998</v>
      </c>
      <c r="C19" s="106">
        <v>25</v>
      </c>
      <c r="D19" s="106">
        <f t="shared" si="0"/>
        <v>45</v>
      </c>
      <c r="E19" s="106">
        <v>70</v>
      </c>
    </row>
    <row r="20" spans="1:5" ht="60">
      <c r="A20" s="506" t="s">
        <v>116</v>
      </c>
      <c r="B20" s="105" t="s">
        <v>999</v>
      </c>
      <c r="C20" s="106">
        <v>30</v>
      </c>
      <c r="D20" s="106">
        <f t="shared" si="0"/>
        <v>58</v>
      </c>
      <c r="E20" s="106">
        <v>88</v>
      </c>
    </row>
    <row r="21" spans="1:5" ht="120">
      <c r="A21" s="506" t="s">
        <v>117</v>
      </c>
      <c r="B21" s="105" t="s">
        <v>1000</v>
      </c>
      <c r="C21" s="106">
        <v>2.4</v>
      </c>
      <c r="D21" s="106">
        <f t="shared" si="0"/>
        <v>29.6</v>
      </c>
      <c r="E21" s="106">
        <v>32</v>
      </c>
    </row>
    <row r="22" spans="1:5" ht="15">
      <c r="A22" s="506" t="s">
        <v>118</v>
      </c>
      <c r="B22" s="105" t="s">
        <v>119</v>
      </c>
      <c r="C22" s="106">
        <f>C23+C29+C31</f>
        <v>13335</v>
      </c>
      <c r="D22" s="106">
        <f>D23+D29+D31</f>
        <v>-1163.9799999999996</v>
      </c>
      <c r="E22" s="106">
        <f>E23+E29+E31</f>
        <v>14171.02</v>
      </c>
    </row>
    <row r="23" spans="1:5" ht="30">
      <c r="A23" s="506" t="s">
        <v>120</v>
      </c>
      <c r="B23" s="105" t="s">
        <v>121</v>
      </c>
      <c r="C23" s="106">
        <f>C24+C26+C28</f>
        <v>5055</v>
      </c>
      <c r="D23" s="106">
        <f>D24+D26</f>
        <v>-2067</v>
      </c>
      <c r="E23" s="106">
        <f>E24+E26+E28</f>
        <v>4988</v>
      </c>
    </row>
    <row r="24" spans="1:5" ht="45">
      <c r="A24" s="506" t="s">
        <v>122</v>
      </c>
      <c r="B24" s="105" t="s">
        <v>1001</v>
      </c>
      <c r="C24" s="106">
        <f>C25</f>
        <v>3435</v>
      </c>
      <c r="D24" s="106">
        <f>D25</f>
        <v>-1957</v>
      </c>
      <c r="E24" s="106">
        <f>E25</f>
        <v>1478</v>
      </c>
    </row>
    <row r="25" spans="1:5" ht="45">
      <c r="A25" s="506" t="s">
        <v>122</v>
      </c>
      <c r="B25" s="105" t="s">
        <v>1002</v>
      </c>
      <c r="C25" s="106">
        <v>3435</v>
      </c>
      <c r="D25" s="106">
        <f t="shared" si="0"/>
        <v>-1957</v>
      </c>
      <c r="E25" s="106">
        <f>2478-1000</f>
        <v>1478</v>
      </c>
    </row>
    <row r="26" spans="1:5" ht="60">
      <c r="A26" s="506" t="s">
        <v>123</v>
      </c>
      <c r="B26" s="105" t="s">
        <v>1003</v>
      </c>
      <c r="C26" s="106">
        <f>C27</f>
        <v>1620</v>
      </c>
      <c r="D26" s="106">
        <f>D27</f>
        <v>-110</v>
      </c>
      <c r="E26" s="106">
        <f>E27</f>
        <v>1510</v>
      </c>
    </row>
    <row r="27" spans="1:5" ht="60">
      <c r="A27" s="506" t="s">
        <v>123</v>
      </c>
      <c r="B27" s="105" t="s">
        <v>1004</v>
      </c>
      <c r="C27" s="106">
        <v>1620</v>
      </c>
      <c r="D27" s="106">
        <f t="shared" si="0"/>
        <v>-110</v>
      </c>
      <c r="E27" s="106">
        <f>2510-1000</f>
        <v>1510</v>
      </c>
    </row>
    <row r="28" spans="1:5" ht="30">
      <c r="A28" s="506" t="s">
        <v>1005</v>
      </c>
      <c r="B28" s="105" t="s">
        <v>1006</v>
      </c>
      <c r="C28" s="106"/>
      <c r="D28" s="106">
        <f t="shared" si="0"/>
        <v>2000</v>
      </c>
      <c r="E28" s="106">
        <v>2000</v>
      </c>
    </row>
    <row r="29" spans="1:5" ht="30">
      <c r="A29" s="506" t="s">
        <v>124</v>
      </c>
      <c r="B29" s="105" t="s">
        <v>125</v>
      </c>
      <c r="C29" s="106">
        <f>C30</f>
        <v>7800</v>
      </c>
      <c r="D29" s="106">
        <f>D30</f>
        <v>930.0200000000004</v>
      </c>
      <c r="E29" s="106">
        <f>E30</f>
        <v>8730.02</v>
      </c>
    </row>
    <row r="30" spans="1:5" ht="30">
      <c r="A30" s="506" t="s">
        <v>124</v>
      </c>
      <c r="B30" s="105" t="s">
        <v>1007</v>
      </c>
      <c r="C30" s="106">
        <v>7800</v>
      </c>
      <c r="D30" s="106">
        <f t="shared" si="0"/>
        <v>930.0200000000004</v>
      </c>
      <c r="E30" s="106">
        <v>8730.02</v>
      </c>
    </row>
    <row r="31" spans="1:5" ht="15">
      <c r="A31" s="506" t="s">
        <v>126</v>
      </c>
      <c r="B31" s="105" t="s">
        <v>127</v>
      </c>
      <c r="C31" s="106">
        <f>C32</f>
        <v>480</v>
      </c>
      <c r="D31" s="106">
        <f t="shared" si="0"/>
        <v>-27</v>
      </c>
      <c r="E31" s="106">
        <f>E32</f>
        <v>453</v>
      </c>
    </row>
    <row r="32" spans="1:5" ht="15">
      <c r="A32" s="506" t="s">
        <v>126</v>
      </c>
      <c r="B32" s="105" t="s">
        <v>1008</v>
      </c>
      <c r="C32" s="106">
        <v>480</v>
      </c>
      <c r="D32" s="106">
        <f t="shared" si="0"/>
        <v>-27</v>
      </c>
      <c r="E32" s="106">
        <v>453</v>
      </c>
    </row>
    <row r="33" spans="1:5" ht="15">
      <c r="A33" s="506" t="s">
        <v>128</v>
      </c>
      <c r="B33" s="105" t="s">
        <v>129</v>
      </c>
      <c r="C33" s="106">
        <f>C34+C37</f>
        <v>2243</v>
      </c>
      <c r="D33" s="106">
        <f t="shared" si="0"/>
        <v>360.4000000000001</v>
      </c>
      <c r="E33" s="106">
        <f>E34+E37</f>
        <v>2603.4</v>
      </c>
    </row>
    <row r="34" spans="1:5" ht="15">
      <c r="A34" s="506" t="s">
        <v>130</v>
      </c>
      <c r="B34" s="105" t="s">
        <v>131</v>
      </c>
      <c r="C34" s="106">
        <f>C35+C36</f>
        <v>2243</v>
      </c>
      <c r="D34" s="106">
        <f t="shared" si="0"/>
        <v>360.4000000000001</v>
      </c>
      <c r="E34" s="106">
        <f>E35+E36</f>
        <v>2603.4</v>
      </c>
    </row>
    <row r="35" spans="1:5" ht="45">
      <c r="A35" s="506" t="s">
        <v>132</v>
      </c>
      <c r="B35" s="105" t="s">
        <v>1009</v>
      </c>
      <c r="C35" s="106">
        <v>2242</v>
      </c>
      <c r="D35" s="106">
        <f t="shared" si="0"/>
        <v>361</v>
      </c>
      <c r="E35" s="106">
        <v>2603</v>
      </c>
    </row>
    <row r="36" spans="1:5" ht="45">
      <c r="A36" s="506" t="s">
        <v>133</v>
      </c>
      <c r="B36" s="105" t="s">
        <v>1010</v>
      </c>
      <c r="C36" s="106">
        <v>1</v>
      </c>
      <c r="D36" s="106">
        <f t="shared" si="0"/>
        <v>-0.6</v>
      </c>
      <c r="E36" s="106">
        <v>0.4</v>
      </c>
    </row>
    <row r="37" spans="1:5" ht="15" hidden="1">
      <c r="A37" s="506" t="s">
        <v>134</v>
      </c>
      <c r="B37" s="105" t="s">
        <v>135</v>
      </c>
      <c r="C37" s="106">
        <f>C38+C39</f>
        <v>0</v>
      </c>
      <c r="D37" s="106">
        <f t="shared" si="0"/>
        <v>0</v>
      </c>
      <c r="E37" s="106">
        <f>E38+E39</f>
        <v>0</v>
      </c>
    </row>
    <row r="38" spans="1:5" ht="15" hidden="1">
      <c r="A38" s="506" t="s">
        <v>136</v>
      </c>
      <c r="B38" s="105" t="s">
        <v>137</v>
      </c>
      <c r="C38" s="106"/>
      <c r="D38" s="106">
        <f t="shared" si="0"/>
        <v>0</v>
      </c>
      <c r="E38" s="106"/>
    </row>
    <row r="39" spans="1:5" ht="15" hidden="1">
      <c r="A39" s="506" t="s">
        <v>138</v>
      </c>
      <c r="B39" s="105" t="s">
        <v>139</v>
      </c>
      <c r="C39" s="106"/>
      <c r="D39" s="106">
        <f t="shared" si="0"/>
        <v>0</v>
      </c>
      <c r="E39" s="106"/>
    </row>
    <row r="40" spans="1:5" ht="45">
      <c r="A40" s="506" t="s">
        <v>140</v>
      </c>
      <c r="B40" s="105" t="s">
        <v>141</v>
      </c>
      <c r="C40" s="106">
        <f>C41</f>
        <v>150</v>
      </c>
      <c r="D40" s="106">
        <f t="shared" si="0"/>
        <v>0</v>
      </c>
      <c r="E40" s="106">
        <f>E41</f>
        <v>150</v>
      </c>
    </row>
    <row r="41" spans="1:5" ht="15">
      <c r="A41" s="506" t="s">
        <v>142</v>
      </c>
      <c r="B41" s="105" t="s">
        <v>143</v>
      </c>
      <c r="C41" s="106">
        <f>C42</f>
        <v>150</v>
      </c>
      <c r="D41" s="106">
        <f t="shared" si="0"/>
        <v>0</v>
      </c>
      <c r="E41" s="106">
        <f>E42</f>
        <v>150</v>
      </c>
    </row>
    <row r="42" spans="1:5" ht="30">
      <c r="A42" s="506" t="s">
        <v>144</v>
      </c>
      <c r="B42" s="105" t="s">
        <v>1011</v>
      </c>
      <c r="C42" s="106">
        <v>150</v>
      </c>
      <c r="D42" s="106">
        <f t="shared" si="0"/>
        <v>0</v>
      </c>
      <c r="E42" s="106">
        <v>150</v>
      </c>
    </row>
    <row r="43" spans="1:5" ht="15">
      <c r="A43" s="506" t="s">
        <v>145</v>
      </c>
      <c r="B43" s="105" t="s">
        <v>146</v>
      </c>
      <c r="C43" s="106">
        <f>C44+C46</f>
        <v>3130</v>
      </c>
      <c r="D43" s="106">
        <f t="shared" si="0"/>
        <v>-944</v>
      </c>
      <c r="E43" s="106">
        <f>E44+E46</f>
        <v>2186</v>
      </c>
    </row>
    <row r="44" spans="1:5" ht="45">
      <c r="A44" s="506" t="s">
        <v>147</v>
      </c>
      <c r="B44" s="105" t="s">
        <v>148</v>
      </c>
      <c r="C44" s="106">
        <f>C45</f>
        <v>550</v>
      </c>
      <c r="D44" s="106">
        <f t="shared" si="0"/>
        <v>350</v>
      </c>
      <c r="E44" s="106">
        <f>E45</f>
        <v>900</v>
      </c>
    </row>
    <row r="45" spans="1:5" ht="75">
      <c r="A45" s="506" t="s">
        <v>149</v>
      </c>
      <c r="B45" s="105" t="s">
        <v>1012</v>
      </c>
      <c r="C45" s="106">
        <v>550</v>
      </c>
      <c r="D45" s="106">
        <f t="shared" si="0"/>
        <v>350</v>
      </c>
      <c r="E45" s="106">
        <v>900</v>
      </c>
    </row>
    <row r="46" spans="1:5" ht="60">
      <c r="A46" s="506" t="s">
        <v>150</v>
      </c>
      <c r="B46" s="105" t="s">
        <v>151</v>
      </c>
      <c r="C46" s="106">
        <f>C47+C49+C50</f>
        <v>2580</v>
      </c>
      <c r="D46" s="106">
        <f>D47+D49+D50</f>
        <v>-1294</v>
      </c>
      <c r="E46" s="106">
        <f>E47+E49+E50</f>
        <v>1286</v>
      </c>
    </row>
    <row r="47" spans="1:5" ht="75">
      <c r="A47" s="506" t="s">
        <v>152</v>
      </c>
      <c r="B47" s="105" t="s">
        <v>153</v>
      </c>
      <c r="C47" s="106">
        <f>C48</f>
        <v>1480</v>
      </c>
      <c r="D47" s="106">
        <f t="shared" si="0"/>
        <v>-200</v>
      </c>
      <c r="E47" s="106">
        <f>E48</f>
        <v>1280</v>
      </c>
    </row>
    <row r="48" spans="1:5" ht="90" customHeight="1">
      <c r="A48" s="506" t="s">
        <v>154</v>
      </c>
      <c r="B48" s="105" t="s">
        <v>1013</v>
      </c>
      <c r="C48" s="106">
        <v>1480</v>
      </c>
      <c r="D48" s="106">
        <f t="shared" si="0"/>
        <v>-200</v>
      </c>
      <c r="E48" s="106">
        <v>1280</v>
      </c>
    </row>
    <row r="49" spans="1:5" ht="90">
      <c r="A49" s="506" t="s">
        <v>155</v>
      </c>
      <c r="B49" s="105" t="s">
        <v>156</v>
      </c>
      <c r="C49" s="106">
        <v>1100</v>
      </c>
      <c r="D49" s="106">
        <f t="shared" si="0"/>
        <v>-1100</v>
      </c>
      <c r="E49" s="106"/>
    </row>
    <row r="50" spans="1:5" ht="45">
      <c r="A50" s="506" t="s">
        <v>157</v>
      </c>
      <c r="B50" s="105" t="s">
        <v>1014</v>
      </c>
      <c r="C50" s="106"/>
      <c r="D50" s="106">
        <f t="shared" si="0"/>
        <v>6</v>
      </c>
      <c r="E50" s="106">
        <v>6</v>
      </c>
    </row>
    <row r="51" spans="1:5" ht="15">
      <c r="A51" s="506" t="s">
        <v>158</v>
      </c>
      <c r="B51" s="105"/>
      <c r="C51" s="106">
        <f>C52+C60+C62+C64+C71+C74+C90</f>
        <v>12545.5</v>
      </c>
      <c r="D51" s="106">
        <f>D52+D60+D62+D64+D71+D74+D90</f>
        <v>-4359.3</v>
      </c>
      <c r="E51" s="106">
        <f>E52+E60+E62+E64+E71+E74+E90</f>
        <v>8186.2</v>
      </c>
    </row>
    <row r="52" spans="1:5" ht="60">
      <c r="A52" s="506" t="s">
        <v>159</v>
      </c>
      <c r="B52" s="105" t="s">
        <v>160</v>
      </c>
      <c r="C52" s="106">
        <f>C53+C55</f>
        <v>1320.5</v>
      </c>
      <c r="D52" s="106">
        <f t="shared" si="0"/>
        <v>20.399999999999864</v>
      </c>
      <c r="E52" s="106">
        <f>E53+E55</f>
        <v>1340.8999999999999</v>
      </c>
    </row>
    <row r="53" spans="1:5" ht="45" customHeight="1">
      <c r="A53" s="506" t="s">
        <v>161</v>
      </c>
      <c r="B53" s="105" t="s">
        <v>162</v>
      </c>
      <c r="C53" s="106">
        <f>C54</f>
        <v>20.8</v>
      </c>
      <c r="D53" s="106">
        <f t="shared" si="0"/>
        <v>0</v>
      </c>
      <c r="E53" s="106">
        <f>E54</f>
        <v>20.8</v>
      </c>
    </row>
    <row r="54" spans="1:5" ht="45">
      <c r="A54" s="506" t="s">
        <v>163</v>
      </c>
      <c r="B54" s="105" t="s">
        <v>1015</v>
      </c>
      <c r="C54" s="106">
        <v>20.8</v>
      </c>
      <c r="D54" s="106">
        <f t="shared" si="0"/>
        <v>0</v>
      </c>
      <c r="E54" s="106">
        <v>20.8</v>
      </c>
    </row>
    <row r="55" spans="1:5" ht="135">
      <c r="A55" s="506" t="s">
        <v>165</v>
      </c>
      <c r="B55" s="105" t="s">
        <v>166</v>
      </c>
      <c r="C55" s="106">
        <f>C56+C58</f>
        <v>1299.7</v>
      </c>
      <c r="D55" s="106">
        <f t="shared" si="0"/>
        <v>20.399999999999864</v>
      </c>
      <c r="E55" s="106">
        <f>E56+E58</f>
        <v>1320.1</v>
      </c>
    </row>
    <row r="56" spans="1:5" ht="90">
      <c r="A56" s="506" t="s">
        <v>167</v>
      </c>
      <c r="B56" s="105" t="s">
        <v>1016</v>
      </c>
      <c r="C56" s="106">
        <f>C57</f>
        <v>849.7</v>
      </c>
      <c r="D56" s="106">
        <f t="shared" si="0"/>
        <v>-59.5</v>
      </c>
      <c r="E56" s="106">
        <f>E57</f>
        <v>790.2</v>
      </c>
    </row>
    <row r="57" spans="1:5" ht="105">
      <c r="A57" s="506" t="s">
        <v>168</v>
      </c>
      <c r="B57" s="105" t="s">
        <v>1017</v>
      </c>
      <c r="C57" s="106">
        <v>849.7</v>
      </c>
      <c r="D57" s="106">
        <f t="shared" si="0"/>
        <v>-59.5</v>
      </c>
      <c r="E57" s="106">
        <v>790.2</v>
      </c>
    </row>
    <row r="58" spans="1:5" ht="105">
      <c r="A58" s="506" t="s">
        <v>169</v>
      </c>
      <c r="B58" s="105" t="s">
        <v>170</v>
      </c>
      <c r="C58" s="106">
        <f>C59</f>
        <v>450</v>
      </c>
      <c r="D58" s="106">
        <f t="shared" si="0"/>
        <v>79.89999999999998</v>
      </c>
      <c r="E58" s="106">
        <f>E59</f>
        <v>529.9</v>
      </c>
    </row>
    <row r="59" spans="1:5" ht="90">
      <c r="A59" s="506" t="s">
        <v>171</v>
      </c>
      <c r="B59" s="105" t="s">
        <v>1018</v>
      </c>
      <c r="C59" s="106">
        <v>450</v>
      </c>
      <c r="D59" s="106">
        <f t="shared" si="0"/>
        <v>79.89999999999998</v>
      </c>
      <c r="E59" s="106">
        <v>529.9</v>
      </c>
    </row>
    <row r="60" spans="1:5" ht="30">
      <c r="A60" s="506" t="s">
        <v>172</v>
      </c>
      <c r="B60" s="105" t="s">
        <v>173</v>
      </c>
      <c r="C60" s="106">
        <f>C61</f>
        <v>100</v>
      </c>
      <c r="D60" s="106">
        <f t="shared" si="0"/>
        <v>70</v>
      </c>
      <c r="E60" s="106">
        <f>E61</f>
        <v>170</v>
      </c>
    </row>
    <row r="61" spans="1:5" ht="30">
      <c r="A61" s="506" t="s">
        <v>1019</v>
      </c>
      <c r="B61" s="105" t="s">
        <v>1020</v>
      </c>
      <c r="C61" s="106">
        <v>100</v>
      </c>
      <c r="D61" s="106">
        <f t="shared" si="0"/>
        <v>70</v>
      </c>
      <c r="E61" s="106">
        <v>170</v>
      </c>
    </row>
    <row r="62" spans="1:5" ht="45">
      <c r="A62" s="506" t="s">
        <v>174</v>
      </c>
      <c r="B62" s="105" t="s">
        <v>175</v>
      </c>
      <c r="C62" s="106">
        <f>C63</f>
        <v>8500</v>
      </c>
      <c r="D62" s="106">
        <f t="shared" si="0"/>
        <v>-4500</v>
      </c>
      <c r="E62" s="106">
        <f>E63</f>
        <v>4000</v>
      </c>
    </row>
    <row r="63" spans="1:5" ht="45">
      <c r="A63" s="506" t="s">
        <v>1021</v>
      </c>
      <c r="B63" s="105" t="s">
        <v>1022</v>
      </c>
      <c r="C63" s="106">
        <v>8500</v>
      </c>
      <c r="D63" s="106">
        <f t="shared" si="0"/>
        <v>-4500</v>
      </c>
      <c r="E63" s="106">
        <v>4000</v>
      </c>
    </row>
    <row r="64" spans="1:5" ht="45" hidden="1">
      <c r="A64" s="506" t="s">
        <v>176</v>
      </c>
      <c r="B64" s="105" t="s">
        <v>177</v>
      </c>
      <c r="C64" s="106">
        <f>C65+C68</f>
        <v>0</v>
      </c>
      <c r="D64" s="106">
        <f t="shared" si="0"/>
        <v>0</v>
      </c>
      <c r="E64" s="106">
        <f>E65+E68</f>
        <v>0</v>
      </c>
    </row>
    <row r="65" spans="1:5" ht="120" hidden="1">
      <c r="A65" s="506" t="s">
        <v>178</v>
      </c>
      <c r="B65" s="105" t="s">
        <v>179</v>
      </c>
      <c r="C65" s="106">
        <f>C66</f>
        <v>0</v>
      </c>
      <c r="D65" s="106">
        <f t="shared" si="0"/>
        <v>0</v>
      </c>
      <c r="E65" s="106">
        <f>E66</f>
        <v>0</v>
      </c>
    </row>
    <row r="66" spans="1:5" ht="120" customHeight="1" hidden="1">
      <c r="A66" s="506" t="s">
        <v>180</v>
      </c>
      <c r="B66" s="105" t="s">
        <v>181</v>
      </c>
      <c r="C66" s="106">
        <f>C67</f>
        <v>0</v>
      </c>
      <c r="D66" s="106">
        <f t="shared" si="0"/>
        <v>0</v>
      </c>
      <c r="E66" s="106">
        <f>E67</f>
        <v>0</v>
      </c>
    </row>
    <row r="67" spans="1:5" ht="120" hidden="1">
      <c r="A67" s="506" t="s">
        <v>182</v>
      </c>
      <c r="B67" s="105" t="s">
        <v>183</v>
      </c>
      <c r="C67" s="106"/>
      <c r="D67" s="106">
        <f t="shared" si="0"/>
        <v>0</v>
      </c>
      <c r="E67" s="106"/>
    </row>
    <row r="68" spans="1:5" ht="75" hidden="1">
      <c r="A68" s="506" t="s">
        <v>184</v>
      </c>
      <c r="B68" s="105" t="s">
        <v>185</v>
      </c>
      <c r="C68" s="106">
        <f>C69</f>
        <v>0</v>
      </c>
      <c r="D68" s="106">
        <f t="shared" si="0"/>
        <v>0</v>
      </c>
      <c r="E68" s="106">
        <f>E69</f>
        <v>0</v>
      </c>
    </row>
    <row r="69" spans="1:5" ht="60" hidden="1">
      <c r="A69" s="506" t="s">
        <v>186</v>
      </c>
      <c r="B69" s="105" t="s">
        <v>187</v>
      </c>
      <c r="C69" s="106">
        <f>C70</f>
        <v>0</v>
      </c>
      <c r="D69" s="106">
        <f t="shared" si="0"/>
        <v>0</v>
      </c>
      <c r="E69" s="106">
        <f>E70</f>
        <v>0</v>
      </c>
    </row>
    <row r="70" spans="1:5" ht="75" hidden="1">
      <c r="A70" s="506" t="s">
        <v>188</v>
      </c>
      <c r="B70" s="105" t="s">
        <v>189</v>
      </c>
      <c r="C70" s="106"/>
      <c r="D70" s="106">
        <f t="shared" si="0"/>
        <v>0</v>
      </c>
      <c r="E70" s="106"/>
    </row>
    <row r="71" spans="1:5" ht="30">
      <c r="A71" s="506" t="s">
        <v>190</v>
      </c>
      <c r="B71" s="105" t="s">
        <v>191</v>
      </c>
      <c r="C71" s="106">
        <f>C72</f>
        <v>30</v>
      </c>
      <c r="D71" s="106">
        <f t="shared" si="0"/>
        <v>-30</v>
      </c>
      <c r="E71" s="106">
        <f>E72</f>
        <v>0</v>
      </c>
    </row>
    <row r="72" spans="1:5" ht="45">
      <c r="A72" s="506" t="s">
        <v>192</v>
      </c>
      <c r="B72" s="105" t="s">
        <v>193</v>
      </c>
      <c r="C72" s="106">
        <f>C73</f>
        <v>30</v>
      </c>
      <c r="D72" s="106">
        <f t="shared" si="0"/>
        <v>-30</v>
      </c>
      <c r="E72" s="106">
        <f>E73</f>
        <v>0</v>
      </c>
    </row>
    <row r="73" spans="1:5" ht="45">
      <c r="A73" s="506" t="s">
        <v>1023</v>
      </c>
      <c r="B73" s="105" t="s">
        <v>1024</v>
      </c>
      <c r="C73" s="106">
        <v>30</v>
      </c>
      <c r="D73" s="106">
        <f t="shared" si="0"/>
        <v>-30</v>
      </c>
      <c r="E73" s="106"/>
    </row>
    <row r="74" spans="1:5" ht="30">
      <c r="A74" s="506" t="s">
        <v>194</v>
      </c>
      <c r="B74" s="105" t="s">
        <v>195</v>
      </c>
      <c r="C74" s="106">
        <f>C75+C78+C79+C80+C84+C88+C86+C85</f>
        <v>2415</v>
      </c>
      <c r="D74" s="106">
        <f>D75+D78+D79+D80+D84+D88+D86+D85</f>
        <v>260.29999999999995</v>
      </c>
      <c r="E74" s="106">
        <f>E75+E78+E79+E80+E84+E88+E86+E85</f>
        <v>2675.3</v>
      </c>
    </row>
    <row r="75" spans="1:5" ht="45">
      <c r="A75" s="506" t="s">
        <v>196</v>
      </c>
      <c r="B75" s="105" t="s">
        <v>197</v>
      </c>
      <c r="C75" s="106">
        <f>C76+C77</f>
        <v>52</v>
      </c>
      <c r="D75" s="106">
        <f t="shared" si="0"/>
        <v>7.390000000000001</v>
      </c>
      <c r="E75" s="106">
        <f>E76+E77</f>
        <v>59.39</v>
      </c>
    </row>
    <row r="76" spans="1:5" ht="150">
      <c r="A76" s="506" t="s">
        <v>198</v>
      </c>
      <c r="B76" s="105" t="s">
        <v>1025</v>
      </c>
      <c r="C76" s="106">
        <v>16</v>
      </c>
      <c r="D76" s="106">
        <f t="shared" si="0"/>
        <v>0</v>
      </c>
      <c r="E76" s="106">
        <v>16</v>
      </c>
    </row>
    <row r="77" spans="1:5" ht="75" customHeight="1">
      <c r="A77" s="506" t="s">
        <v>199</v>
      </c>
      <c r="B77" s="105" t="s">
        <v>1026</v>
      </c>
      <c r="C77" s="106">
        <v>36</v>
      </c>
      <c r="D77" s="106">
        <f t="shared" si="0"/>
        <v>7.390000000000001</v>
      </c>
      <c r="E77" s="106">
        <v>43.39</v>
      </c>
    </row>
    <row r="78" spans="1:5" ht="90">
      <c r="A78" s="506" t="s">
        <v>200</v>
      </c>
      <c r="B78" s="105" t="s">
        <v>1027</v>
      </c>
      <c r="C78" s="106">
        <v>77</v>
      </c>
      <c r="D78" s="106">
        <f t="shared" si="0"/>
        <v>0</v>
      </c>
      <c r="E78" s="106">
        <v>77</v>
      </c>
    </row>
    <row r="79" spans="1:5" ht="90">
      <c r="A79" s="506" t="s">
        <v>201</v>
      </c>
      <c r="B79" s="105" t="s">
        <v>1028</v>
      </c>
      <c r="C79" s="106">
        <v>46</v>
      </c>
      <c r="D79" s="106">
        <f t="shared" si="0"/>
        <v>-46</v>
      </c>
      <c r="E79" s="106">
        <v>0</v>
      </c>
    </row>
    <row r="80" spans="1:5" ht="120" customHeight="1">
      <c r="A80" s="506" t="s">
        <v>202</v>
      </c>
      <c r="B80" s="105" t="s">
        <v>203</v>
      </c>
      <c r="C80" s="106">
        <f>C81+C82+C83</f>
        <v>55</v>
      </c>
      <c r="D80" s="106">
        <f>D81+D82+D83</f>
        <v>-18.8</v>
      </c>
      <c r="E80" s="106">
        <f>E81+E82+E83</f>
        <v>36.2</v>
      </c>
    </row>
    <row r="81" spans="1:5" ht="30">
      <c r="A81" s="506" t="s">
        <v>204</v>
      </c>
      <c r="B81" s="105" t="s">
        <v>1029</v>
      </c>
      <c r="C81" s="106">
        <v>35</v>
      </c>
      <c r="D81" s="106">
        <f aca="true" t="shared" si="1" ref="D81:D175">E81-C81</f>
        <v>-20</v>
      </c>
      <c r="E81" s="106">
        <v>15</v>
      </c>
    </row>
    <row r="82" spans="1:5" ht="45">
      <c r="A82" s="506" t="s">
        <v>205</v>
      </c>
      <c r="B82" s="105" t="s">
        <v>1030</v>
      </c>
      <c r="C82" s="106">
        <v>10</v>
      </c>
      <c r="D82" s="106">
        <f t="shared" si="1"/>
        <v>-6.75</v>
      </c>
      <c r="E82" s="106">
        <v>3.25</v>
      </c>
    </row>
    <row r="83" spans="1:5" ht="30">
      <c r="A83" s="506" t="s">
        <v>206</v>
      </c>
      <c r="B83" s="105" t="s">
        <v>1031</v>
      </c>
      <c r="C83" s="106">
        <v>10</v>
      </c>
      <c r="D83" s="106">
        <f t="shared" si="1"/>
        <v>7.949999999999999</v>
      </c>
      <c r="E83" s="106">
        <v>17.95</v>
      </c>
    </row>
    <row r="84" spans="1:5" ht="90">
      <c r="A84" s="506" t="s">
        <v>207</v>
      </c>
      <c r="B84" s="105" t="s">
        <v>1032</v>
      </c>
      <c r="C84" s="106">
        <v>425</v>
      </c>
      <c r="D84" s="106">
        <f t="shared" si="1"/>
        <v>-52.29000000000002</v>
      </c>
      <c r="E84" s="106">
        <v>372.71</v>
      </c>
    </row>
    <row r="85" spans="1:5" ht="45">
      <c r="A85" s="507" t="s">
        <v>208</v>
      </c>
      <c r="B85" s="105" t="s">
        <v>1033</v>
      </c>
      <c r="C85" s="106">
        <v>1030</v>
      </c>
      <c r="D85" s="106">
        <f t="shared" si="1"/>
        <v>270</v>
      </c>
      <c r="E85" s="106">
        <v>1300</v>
      </c>
    </row>
    <row r="86" spans="1:5" ht="75">
      <c r="A86" s="506" t="s">
        <v>209</v>
      </c>
      <c r="B86" s="105" t="s">
        <v>210</v>
      </c>
      <c r="C86" s="106">
        <f>C87</f>
        <v>30</v>
      </c>
      <c r="D86" s="106">
        <f>D87</f>
        <v>0</v>
      </c>
      <c r="E86" s="106">
        <f>E87</f>
        <v>30</v>
      </c>
    </row>
    <row r="87" spans="1:5" ht="90">
      <c r="A87" s="506" t="s">
        <v>211</v>
      </c>
      <c r="B87" s="105" t="s">
        <v>1034</v>
      </c>
      <c r="C87" s="106">
        <v>30</v>
      </c>
      <c r="D87" s="106">
        <f t="shared" si="1"/>
        <v>0</v>
      </c>
      <c r="E87" s="106">
        <v>30</v>
      </c>
    </row>
    <row r="88" spans="1:5" ht="45">
      <c r="A88" s="506" t="s">
        <v>212</v>
      </c>
      <c r="B88" s="105" t="s">
        <v>213</v>
      </c>
      <c r="C88" s="106">
        <f>C89</f>
        <v>700</v>
      </c>
      <c r="D88" s="106">
        <f t="shared" si="1"/>
        <v>100</v>
      </c>
      <c r="E88" s="106">
        <f>E89</f>
        <v>800</v>
      </c>
    </row>
    <row r="89" spans="1:5" ht="60">
      <c r="A89" s="506" t="s">
        <v>214</v>
      </c>
      <c r="B89" s="105" t="s">
        <v>215</v>
      </c>
      <c r="C89" s="106">
        <v>700</v>
      </c>
      <c r="D89" s="106">
        <f t="shared" si="1"/>
        <v>100</v>
      </c>
      <c r="E89" s="106">
        <v>800</v>
      </c>
    </row>
    <row r="90" spans="1:5" ht="15">
      <c r="A90" s="506" t="s">
        <v>216</v>
      </c>
      <c r="B90" s="105" t="s">
        <v>217</v>
      </c>
      <c r="C90" s="106">
        <f>C91</f>
        <v>180</v>
      </c>
      <c r="D90" s="106">
        <f t="shared" si="1"/>
        <v>-180</v>
      </c>
      <c r="E90" s="106">
        <f>E91</f>
        <v>0</v>
      </c>
    </row>
    <row r="91" spans="1:5" ht="15">
      <c r="A91" s="506" t="s">
        <v>218</v>
      </c>
      <c r="B91" s="105" t="s">
        <v>219</v>
      </c>
      <c r="C91" s="106">
        <f>C92</f>
        <v>180</v>
      </c>
      <c r="D91" s="106">
        <f t="shared" si="1"/>
        <v>-180</v>
      </c>
      <c r="E91" s="106">
        <f>E92</f>
        <v>0</v>
      </c>
    </row>
    <row r="92" spans="1:5" ht="30">
      <c r="A92" s="506" t="s">
        <v>220</v>
      </c>
      <c r="B92" s="105" t="s">
        <v>1035</v>
      </c>
      <c r="C92" s="106">
        <v>180</v>
      </c>
      <c r="D92" s="106">
        <f t="shared" si="1"/>
        <v>-180</v>
      </c>
      <c r="E92" s="106"/>
    </row>
    <row r="93" spans="1:6" ht="15">
      <c r="A93" s="506" t="s">
        <v>221</v>
      </c>
      <c r="B93" s="105" t="s">
        <v>222</v>
      </c>
      <c r="C93" s="106">
        <f>C94+C184+C186</f>
        <v>307099.8999999999</v>
      </c>
      <c r="D93" s="106">
        <f t="shared" si="1"/>
        <v>-55262.29999999987</v>
      </c>
      <c r="E93" s="106">
        <f>E94+E184+E186</f>
        <v>251837.60000000003</v>
      </c>
      <c r="F93" s="108"/>
    </row>
    <row r="94" spans="1:6" ht="45" customHeight="1">
      <c r="A94" s="506" t="s">
        <v>223</v>
      </c>
      <c r="B94" s="105" t="s">
        <v>224</v>
      </c>
      <c r="C94" s="106">
        <f>C95+C102+C124+C177</f>
        <v>307099.8999999999</v>
      </c>
      <c r="D94" s="106">
        <f t="shared" si="1"/>
        <v>-55262.29999999987</v>
      </c>
      <c r="E94" s="106">
        <f>E95+E102+E124+E177</f>
        <v>251837.60000000003</v>
      </c>
      <c r="F94" s="108"/>
    </row>
    <row r="95" spans="1:6" ht="30">
      <c r="A95" s="506" t="s">
        <v>225</v>
      </c>
      <c r="B95" s="105" t="s">
        <v>226</v>
      </c>
      <c r="C95" s="106">
        <f>C96+C100</f>
        <v>102254</v>
      </c>
      <c r="D95" s="106">
        <f t="shared" si="1"/>
        <v>-27126.699999999997</v>
      </c>
      <c r="E95" s="106">
        <f>E96+E100</f>
        <v>75127.3</v>
      </c>
      <c r="F95" s="108"/>
    </row>
    <row r="96" spans="1:5" ht="30">
      <c r="A96" s="506" t="s">
        <v>227</v>
      </c>
      <c r="B96" s="105" t="s">
        <v>228</v>
      </c>
      <c r="C96" s="106">
        <f>C97</f>
        <v>100483.5</v>
      </c>
      <c r="D96" s="106">
        <f t="shared" si="1"/>
        <v>-25356.199999999997</v>
      </c>
      <c r="E96" s="106">
        <f>E97</f>
        <v>75127.3</v>
      </c>
    </row>
    <row r="97" spans="1:5" ht="30" customHeight="1">
      <c r="A97" s="506" t="s">
        <v>229</v>
      </c>
      <c r="B97" s="105" t="s">
        <v>1036</v>
      </c>
      <c r="C97" s="106">
        <f>SUM(C98:C99)</f>
        <v>100483.5</v>
      </c>
      <c r="D97" s="106">
        <f>SUM(D98:D99)</f>
        <v>-25356.200000000004</v>
      </c>
      <c r="E97" s="106">
        <f>SUM(E98:E99)</f>
        <v>75127.3</v>
      </c>
    </row>
    <row r="98" spans="1:5" ht="15" hidden="1">
      <c r="A98" s="508" t="s">
        <v>230</v>
      </c>
      <c r="B98" s="105"/>
      <c r="C98" s="106">
        <v>96214</v>
      </c>
      <c r="D98" s="106">
        <f t="shared" si="1"/>
        <v>-30969.800000000003</v>
      </c>
      <c r="E98" s="106">
        <v>65244.2</v>
      </c>
    </row>
    <row r="99" spans="1:5" ht="15" hidden="1">
      <c r="A99" s="508" t="s">
        <v>231</v>
      </c>
      <c r="B99" s="105"/>
      <c r="C99" s="106">
        <v>4269.5</v>
      </c>
      <c r="D99" s="106">
        <f t="shared" si="1"/>
        <v>5613.6</v>
      </c>
      <c r="E99" s="106">
        <v>9883.1</v>
      </c>
    </row>
    <row r="100" spans="1:5" ht="30" customHeight="1">
      <c r="A100" s="506" t="s">
        <v>232</v>
      </c>
      <c r="B100" s="105" t="s">
        <v>233</v>
      </c>
      <c r="C100" s="106">
        <f>C101</f>
        <v>1770.5</v>
      </c>
      <c r="D100" s="106">
        <f t="shared" si="1"/>
        <v>-1770.5</v>
      </c>
      <c r="E100" s="106">
        <f>E101</f>
        <v>0</v>
      </c>
    </row>
    <row r="101" spans="1:5" ht="45">
      <c r="A101" s="506" t="s">
        <v>234</v>
      </c>
      <c r="B101" s="105" t="s">
        <v>1037</v>
      </c>
      <c r="C101" s="106">
        <v>1770.5</v>
      </c>
      <c r="D101" s="106">
        <f t="shared" si="1"/>
        <v>-1770.5</v>
      </c>
      <c r="E101" s="106">
        <v>0</v>
      </c>
    </row>
    <row r="102" spans="1:5" ht="45">
      <c r="A102" s="506" t="s">
        <v>235</v>
      </c>
      <c r="B102" s="105" t="s">
        <v>236</v>
      </c>
      <c r="C102" s="106">
        <f>C103+C105+C107+C109+C111+C113+C115</f>
        <v>22004</v>
      </c>
      <c r="D102" s="106">
        <f t="shared" si="1"/>
        <v>2690.4000000000015</v>
      </c>
      <c r="E102" s="106">
        <f>E103+E105+E107+E109+E111+E113+E115</f>
        <v>24694.4</v>
      </c>
    </row>
    <row r="103" spans="1:5" ht="30" hidden="1">
      <c r="A103" s="506" t="s">
        <v>1038</v>
      </c>
      <c r="B103" s="105" t="s">
        <v>1039</v>
      </c>
      <c r="C103" s="106">
        <f>C104</f>
        <v>0</v>
      </c>
      <c r="D103" s="106">
        <f t="shared" si="1"/>
        <v>0</v>
      </c>
      <c r="E103" s="106">
        <f>E104</f>
        <v>0</v>
      </c>
    </row>
    <row r="104" spans="1:5" ht="45" hidden="1">
      <c r="A104" s="506" t="s">
        <v>1040</v>
      </c>
      <c r="B104" s="105" t="s">
        <v>1041</v>
      </c>
      <c r="C104" s="106"/>
      <c r="D104" s="106">
        <f t="shared" si="1"/>
        <v>0</v>
      </c>
      <c r="E104" s="106"/>
    </row>
    <row r="105" spans="1:5" ht="105">
      <c r="A105" s="506" t="s">
        <v>241</v>
      </c>
      <c r="B105" s="105" t="s">
        <v>242</v>
      </c>
      <c r="C105" s="106">
        <f>C106</f>
        <v>0</v>
      </c>
      <c r="D105" s="106">
        <f t="shared" si="1"/>
        <v>22605.4</v>
      </c>
      <c r="E105" s="106">
        <f>E106</f>
        <v>22605.4</v>
      </c>
    </row>
    <row r="106" spans="1:5" ht="60">
      <c r="A106" s="506" t="s">
        <v>243</v>
      </c>
      <c r="B106" s="105" t="s">
        <v>1042</v>
      </c>
      <c r="C106" s="106"/>
      <c r="D106" s="106">
        <f t="shared" si="1"/>
        <v>22605.4</v>
      </c>
      <c r="E106" s="106">
        <f>20000+2605.4</f>
        <v>22605.4</v>
      </c>
    </row>
    <row r="107" spans="1:5" ht="60" hidden="1">
      <c r="A107" s="506" t="s">
        <v>245</v>
      </c>
      <c r="B107" s="105" t="s">
        <v>246</v>
      </c>
      <c r="C107" s="106">
        <f>C108</f>
        <v>0</v>
      </c>
      <c r="D107" s="106">
        <f t="shared" si="1"/>
        <v>0</v>
      </c>
      <c r="E107" s="106">
        <f>E108</f>
        <v>0</v>
      </c>
    </row>
    <row r="108" spans="1:5" ht="60" hidden="1">
      <c r="A108" s="506" t="s">
        <v>247</v>
      </c>
      <c r="B108" s="105" t="s">
        <v>248</v>
      </c>
      <c r="C108" s="106"/>
      <c r="D108" s="106">
        <f t="shared" si="1"/>
        <v>0</v>
      </c>
      <c r="E108" s="106"/>
    </row>
    <row r="109" spans="1:5" ht="60" hidden="1">
      <c r="A109" s="506" t="s">
        <v>249</v>
      </c>
      <c r="B109" s="105" t="s">
        <v>250</v>
      </c>
      <c r="C109" s="106">
        <f>C110</f>
        <v>0</v>
      </c>
      <c r="D109" s="106">
        <f t="shared" si="1"/>
        <v>0</v>
      </c>
      <c r="E109" s="106">
        <f>E110</f>
        <v>0</v>
      </c>
    </row>
    <row r="110" spans="1:5" ht="75" hidden="1">
      <c r="A110" s="506" t="s">
        <v>251</v>
      </c>
      <c r="B110" s="105" t="s">
        <v>252</v>
      </c>
      <c r="C110" s="106"/>
      <c r="D110" s="106">
        <f t="shared" si="1"/>
        <v>0</v>
      </c>
      <c r="E110" s="106"/>
    </row>
    <row r="111" spans="1:5" ht="60" hidden="1">
      <c r="A111" s="506" t="s">
        <v>253</v>
      </c>
      <c r="B111" s="105" t="s">
        <v>254</v>
      </c>
      <c r="C111" s="106">
        <f>C112</f>
        <v>0</v>
      </c>
      <c r="D111" s="106">
        <f t="shared" si="1"/>
        <v>0</v>
      </c>
      <c r="E111" s="106">
        <f>E112</f>
        <v>0</v>
      </c>
    </row>
    <row r="112" spans="1:5" ht="75" hidden="1">
      <c r="A112" s="506" t="s">
        <v>255</v>
      </c>
      <c r="B112" s="105" t="s">
        <v>256</v>
      </c>
      <c r="C112" s="106"/>
      <c r="D112" s="106">
        <f t="shared" si="1"/>
        <v>0</v>
      </c>
      <c r="E112" s="106"/>
    </row>
    <row r="113" spans="1:5" ht="30" hidden="1">
      <c r="A113" s="506" t="s">
        <v>257</v>
      </c>
      <c r="B113" s="105" t="s">
        <v>258</v>
      </c>
      <c r="C113" s="106">
        <f>C114</f>
        <v>0</v>
      </c>
      <c r="D113" s="106">
        <f t="shared" si="1"/>
        <v>0</v>
      </c>
      <c r="E113" s="106">
        <f>E114</f>
        <v>0</v>
      </c>
    </row>
    <row r="114" spans="1:5" ht="45" hidden="1">
      <c r="A114" s="506" t="s">
        <v>259</v>
      </c>
      <c r="B114" s="105" t="s">
        <v>260</v>
      </c>
      <c r="C114" s="106"/>
      <c r="D114" s="106">
        <f t="shared" si="1"/>
        <v>0</v>
      </c>
      <c r="E114" s="106"/>
    </row>
    <row r="115" spans="1:5" ht="15">
      <c r="A115" s="506" t="s">
        <v>261</v>
      </c>
      <c r="B115" s="105" t="s">
        <v>262</v>
      </c>
      <c r="C115" s="106">
        <f>C116</f>
        <v>22004</v>
      </c>
      <c r="D115" s="106">
        <f t="shared" si="1"/>
        <v>-19915</v>
      </c>
      <c r="E115" s="106">
        <f>E116</f>
        <v>2089</v>
      </c>
    </row>
    <row r="116" spans="1:5" ht="30">
      <c r="A116" s="506" t="s">
        <v>263</v>
      </c>
      <c r="B116" s="105" t="s">
        <v>1043</v>
      </c>
      <c r="C116" s="106">
        <f>SUM(C117:C123)</f>
        <v>22004</v>
      </c>
      <c r="D116" s="106">
        <f>SUM(D117:D123)</f>
        <v>-19915</v>
      </c>
      <c r="E116" s="106">
        <f>SUM(E117:E123)</f>
        <v>2089</v>
      </c>
    </row>
    <row r="117" spans="1:5" ht="105" hidden="1">
      <c r="A117" s="110" t="s">
        <v>264</v>
      </c>
      <c r="B117" s="111"/>
      <c r="C117" s="112">
        <v>5613.8</v>
      </c>
      <c r="D117" s="113">
        <f t="shared" si="1"/>
        <v>-5613.8</v>
      </c>
      <c r="E117" s="113"/>
    </row>
    <row r="118" spans="1:5" ht="90" hidden="1">
      <c r="A118" s="110" t="s">
        <v>265</v>
      </c>
      <c r="B118" s="111"/>
      <c r="C118" s="112">
        <v>8858.8</v>
      </c>
      <c r="D118" s="113">
        <f t="shared" si="1"/>
        <v>-8858.8</v>
      </c>
      <c r="E118" s="113"/>
    </row>
    <row r="119" spans="1:5" ht="105" hidden="1">
      <c r="A119" s="110" t="s">
        <v>266</v>
      </c>
      <c r="B119" s="111"/>
      <c r="C119" s="112">
        <v>7000</v>
      </c>
      <c r="D119" s="113">
        <f t="shared" si="1"/>
        <v>-7000</v>
      </c>
      <c r="E119" s="113"/>
    </row>
    <row r="120" spans="1:5" ht="75" hidden="1">
      <c r="A120" s="110" t="s">
        <v>267</v>
      </c>
      <c r="B120" s="111"/>
      <c r="C120" s="112">
        <v>487.9</v>
      </c>
      <c r="D120" s="113">
        <f t="shared" si="1"/>
        <v>-487.9</v>
      </c>
      <c r="E120" s="113"/>
    </row>
    <row r="121" spans="1:5" ht="45" hidden="1">
      <c r="A121" s="110" t="s">
        <v>268</v>
      </c>
      <c r="B121" s="111"/>
      <c r="C121" s="112">
        <v>43.5</v>
      </c>
      <c r="D121" s="113">
        <f t="shared" si="1"/>
        <v>-43.5</v>
      </c>
      <c r="E121" s="113"/>
    </row>
    <row r="122" spans="1:5" ht="105" hidden="1">
      <c r="A122" s="509" t="s">
        <v>269</v>
      </c>
      <c r="B122" s="111"/>
      <c r="C122" s="113"/>
      <c r="D122" s="113">
        <f t="shared" si="1"/>
        <v>2052.2</v>
      </c>
      <c r="E122" s="113">
        <v>2052.2</v>
      </c>
    </row>
    <row r="123" spans="1:5" ht="75" hidden="1">
      <c r="A123" s="509" t="s">
        <v>270</v>
      </c>
      <c r="B123" s="111"/>
      <c r="C123" s="113"/>
      <c r="D123" s="113">
        <f t="shared" si="1"/>
        <v>36.8</v>
      </c>
      <c r="E123" s="113">
        <v>36.8</v>
      </c>
    </row>
    <row r="124" spans="1:5" ht="30" customHeight="1">
      <c r="A124" s="506" t="s">
        <v>271</v>
      </c>
      <c r="B124" s="105" t="s">
        <v>272</v>
      </c>
      <c r="C124" s="106">
        <f>C125+C127+C129+C133+C135+C137+C139+C141+C163+C165+C167+C169+C171+C173+C175+C131</f>
        <v>182841.89999999994</v>
      </c>
      <c r="D124" s="106">
        <f>D125+D127+D129+D133+D135+D137+D139+D141+D163+D165+D167+D169+D171+D173+D175+D131</f>
        <v>-30825.999999999964</v>
      </c>
      <c r="E124" s="106">
        <f>E125+E127+E129+E133+E135+E137+E139+E141+E163+E165+E167+E169+E171+E173+E175+E131</f>
        <v>152015.90000000002</v>
      </c>
    </row>
    <row r="125" spans="1:5" ht="45">
      <c r="A125" s="506" t="s">
        <v>273</v>
      </c>
      <c r="B125" s="105" t="s">
        <v>274</v>
      </c>
      <c r="C125" s="106">
        <f>C126</f>
        <v>11606.4</v>
      </c>
      <c r="D125" s="106">
        <f t="shared" si="1"/>
        <v>-11606.4</v>
      </c>
      <c r="E125" s="106">
        <f>E126</f>
        <v>0</v>
      </c>
    </row>
    <row r="126" spans="1:5" ht="45">
      <c r="A126" s="506" t="s">
        <v>275</v>
      </c>
      <c r="B126" s="105" t="s">
        <v>1044</v>
      </c>
      <c r="C126" s="106">
        <v>11606.4</v>
      </c>
      <c r="D126" s="106">
        <f t="shared" si="1"/>
        <v>-11606.4</v>
      </c>
      <c r="E126" s="106">
        <v>0</v>
      </c>
    </row>
    <row r="127" spans="1:5" ht="45" hidden="1">
      <c r="A127" s="506" t="s">
        <v>276</v>
      </c>
      <c r="B127" s="105" t="s">
        <v>277</v>
      </c>
      <c r="C127" s="106">
        <f>C128</f>
        <v>0</v>
      </c>
      <c r="D127" s="106">
        <f t="shared" si="1"/>
        <v>0</v>
      </c>
      <c r="E127" s="106">
        <f>E128</f>
        <v>0</v>
      </c>
    </row>
    <row r="128" spans="1:5" ht="60" hidden="1">
      <c r="A128" s="506" t="s">
        <v>278</v>
      </c>
      <c r="B128" s="105" t="s">
        <v>279</v>
      </c>
      <c r="C128" s="106"/>
      <c r="D128" s="106">
        <f t="shared" si="1"/>
        <v>0</v>
      </c>
      <c r="E128" s="106"/>
    </row>
    <row r="129" spans="1:5" ht="60">
      <c r="A129" s="506" t="s">
        <v>280</v>
      </c>
      <c r="B129" s="105" t="s">
        <v>281</v>
      </c>
      <c r="C129" s="106">
        <f>C130</f>
        <v>125</v>
      </c>
      <c r="D129" s="106">
        <f t="shared" si="1"/>
        <v>-125</v>
      </c>
      <c r="E129" s="106">
        <f>E130</f>
        <v>0</v>
      </c>
    </row>
    <row r="130" spans="1:5" ht="75">
      <c r="A130" s="506" t="s">
        <v>282</v>
      </c>
      <c r="B130" s="105" t="s">
        <v>1045</v>
      </c>
      <c r="C130" s="106">
        <v>125</v>
      </c>
      <c r="D130" s="106">
        <f t="shared" si="1"/>
        <v>-125</v>
      </c>
      <c r="E130" s="106">
        <v>0</v>
      </c>
    </row>
    <row r="131" spans="1:5" ht="75">
      <c r="A131" s="506" t="s">
        <v>283</v>
      </c>
      <c r="B131" s="105" t="s">
        <v>284</v>
      </c>
      <c r="C131" s="104">
        <f>SUM(C132)</f>
        <v>6.8</v>
      </c>
      <c r="D131" s="106">
        <f t="shared" si="1"/>
        <v>4.8999999999999995</v>
      </c>
      <c r="E131" s="104">
        <f>SUM(E132)</f>
        <v>11.7</v>
      </c>
    </row>
    <row r="132" spans="1:5" ht="75">
      <c r="A132" s="506" t="s">
        <v>285</v>
      </c>
      <c r="B132" s="105" t="s">
        <v>1046</v>
      </c>
      <c r="C132" s="104">
        <v>6.8</v>
      </c>
      <c r="D132" s="106">
        <f t="shared" si="1"/>
        <v>4.8999999999999995</v>
      </c>
      <c r="E132" s="104">
        <v>11.7</v>
      </c>
    </row>
    <row r="133" spans="1:5" ht="75">
      <c r="A133" s="506" t="s">
        <v>287</v>
      </c>
      <c r="B133" s="105" t="s">
        <v>288</v>
      </c>
      <c r="C133" s="106">
        <f>C134</f>
        <v>241</v>
      </c>
      <c r="D133" s="106">
        <f t="shared" si="1"/>
        <v>-241</v>
      </c>
      <c r="E133" s="106">
        <f>E134</f>
        <v>0</v>
      </c>
    </row>
    <row r="134" spans="1:5" ht="75">
      <c r="A134" s="506" t="s">
        <v>289</v>
      </c>
      <c r="B134" s="105" t="s">
        <v>1047</v>
      </c>
      <c r="C134" s="106">
        <v>241</v>
      </c>
      <c r="D134" s="106">
        <f t="shared" si="1"/>
        <v>-241</v>
      </c>
      <c r="E134" s="106">
        <v>0</v>
      </c>
    </row>
    <row r="135" spans="1:5" ht="45">
      <c r="A135" s="506" t="s">
        <v>290</v>
      </c>
      <c r="B135" s="105" t="s">
        <v>291</v>
      </c>
      <c r="C135" s="106">
        <f>C136</f>
        <v>526.6</v>
      </c>
      <c r="D135" s="106">
        <f t="shared" si="1"/>
        <v>16.5</v>
      </c>
      <c r="E135" s="106">
        <f>E136</f>
        <v>543.1</v>
      </c>
    </row>
    <row r="136" spans="1:5" ht="60">
      <c r="A136" s="506" t="s">
        <v>292</v>
      </c>
      <c r="B136" s="105" t="s">
        <v>1048</v>
      </c>
      <c r="C136" s="106">
        <v>526.6</v>
      </c>
      <c r="D136" s="106">
        <f t="shared" si="1"/>
        <v>16.5</v>
      </c>
      <c r="E136" s="106">
        <v>543.1</v>
      </c>
    </row>
    <row r="137" spans="1:5" ht="45" hidden="1">
      <c r="A137" s="506" t="s">
        <v>293</v>
      </c>
      <c r="B137" s="105" t="s">
        <v>294</v>
      </c>
      <c r="C137" s="106">
        <f>C138</f>
        <v>0</v>
      </c>
      <c r="D137" s="106">
        <f t="shared" si="1"/>
        <v>0</v>
      </c>
      <c r="E137" s="106">
        <f>E138</f>
        <v>0</v>
      </c>
    </row>
    <row r="138" spans="1:5" ht="45" hidden="1">
      <c r="A138" s="506" t="s">
        <v>295</v>
      </c>
      <c r="B138" s="105" t="s">
        <v>296</v>
      </c>
      <c r="C138" s="106"/>
      <c r="D138" s="106">
        <f t="shared" si="1"/>
        <v>0</v>
      </c>
      <c r="E138" s="106"/>
    </row>
    <row r="139" spans="1:5" ht="60">
      <c r="A139" s="506" t="s">
        <v>297</v>
      </c>
      <c r="B139" s="105" t="s">
        <v>298</v>
      </c>
      <c r="C139" s="106">
        <f>C140</f>
        <v>9139.8</v>
      </c>
      <c r="D139" s="106">
        <f t="shared" si="1"/>
        <v>-9139.8</v>
      </c>
      <c r="E139" s="106">
        <f>E140</f>
        <v>0</v>
      </c>
    </row>
    <row r="140" spans="1:5" ht="60">
      <c r="A140" s="506" t="s">
        <v>299</v>
      </c>
      <c r="B140" s="105" t="s">
        <v>1049</v>
      </c>
      <c r="C140" s="106">
        <v>9139.8</v>
      </c>
      <c r="D140" s="106">
        <f t="shared" si="1"/>
        <v>-9139.8</v>
      </c>
      <c r="E140" s="106">
        <v>0</v>
      </c>
    </row>
    <row r="141" spans="1:5" ht="45">
      <c r="A141" s="506" t="s">
        <v>300</v>
      </c>
      <c r="B141" s="105" t="s">
        <v>301</v>
      </c>
      <c r="C141" s="106">
        <f>C142</f>
        <v>140261.89999999997</v>
      </c>
      <c r="D141" s="106">
        <f t="shared" si="1"/>
        <v>-9188.899999999965</v>
      </c>
      <c r="E141" s="106">
        <f>E142</f>
        <v>131073</v>
      </c>
    </row>
    <row r="142" spans="1:5" ht="60">
      <c r="A142" s="506" t="s">
        <v>302</v>
      </c>
      <c r="B142" s="105" t="s">
        <v>1050</v>
      </c>
      <c r="C142" s="106">
        <f>SUM(C143:C162)</f>
        <v>140261.89999999997</v>
      </c>
      <c r="D142" s="106">
        <f>SUM(D143:D162)</f>
        <v>-9188.9</v>
      </c>
      <c r="E142" s="106">
        <f>SUM(E143:E162)</f>
        <v>131073</v>
      </c>
    </row>
    <row r="143" spans="1:5" s="117" customFormat="1" ht="75" hidden="1">
      <c r="A143" s="115" t="s">
        <v>303</v>
      </c>
      <c r="B143" s="111"/>
      <c r="C143" s="116">
        <v>456</v>
      </c>
      <c r="D143" s="113">
        <f>E143-C143</f>
        <v>23</v>
      </c>
      <c r="E143" s="113">
        <v>479</v>
      </c>
    </row>
    <row r="144" spans="1:5" s="117" customFormat="1" ht="120" hidden="1">
      <c r="A144" s="115" t="s">
        <v>304</v>
      </c>
      <c r="B144" s="111"/>
      <c r="C144" s="116">
        <v>592</v>
      </c>
      <c r="D144" s="113">
        <f t="shared" si="1"/>
        <v>13</v>
      </c>
      <c r="E144" s="113">
        <v>605</v>
      </c>
    </row>
    <row r="145" spans="1:5" s="117" customFormat="1" ht="135" hidden="1">
      <c r="A145" s="115" t="s">
        <v>305</v>
      </c>
      <c r="B145" s="111"/>
      <c r="C145" s="116">
        <v>8004.4</v>
      </c>
      <c r="D145" s="113">
        <f t="shared" si="1"/>
        <v>-8004.4</v>
      </c>
      <c r="E145" s="113">
        <v>0</v>
      </c>
    </row>
    <row r="146" spans="1:5" s="117" customFormat="1" ht="60" hidden="1">
      <c r="A146" s="115" t="s">
        <v>306</v>
      </c>
      <c r="B146" s="111"/>
      <c r="C146" s="116">
        <v>0.5</v>
      </c>
      <c r="D146" s="113">
        <f t="shared" si="1"/>
        <v>0</v>
      </c>
      <c r="E146" s="113">
        <v>0.5</v>
      </c>
    </row>
    <row r="147" spans="1:5" s="117" customFormat="1" ht="120" hidden="1">
      <c r="A147" s="115" t="s">
        <v>307</v>
      </c>
      <c r="B147" s="111"/>
      <c r="C147" s="116">
        <v>105221.7</v>
      </c>
      <c r="D147" s="113">
        <f t="shared" si="1"/>
        <v>23627</v>
      </c>
      <c r="E147" s="113">
        <v>128848.7</v>
      </c>
    </row>
    <row r="148" spans="1:5" s="117" customFormat="1" ht="105" hidden="1">
      <c r="A148" s="115" t="s">
        <v>308</v>
      </c>
      <c r="B148" s="111"/>
      <c r="C148" s="116">
        <v>685</v>
      </c>
      <c r="D148" s="113">
        <f t="shared" si="1"/>
        <v>-19.200000000000045</v>
      </c>
      <c r="E148" s="113">
        <v>665.8</v>
      </c>
    </row>
    <row r="149" spans="1:5" s="117" customFormat="1" ht="90" hidden="1">
      <c r="A149" s="115" t="s">
        <v>309</v>
      </c>
      <c r="B149" s="111"/>
      <c r="C149" s="116"/>
      <c r="D149" s="113">
        <f t="shared" si="1"/>
        <v>0</v>
      </c>
      <c r="E149" s="113">
        <v>0</v>
      </c>
    </row>
    <row r="150" spans="1:5" s="117" customFormat="1" ht="30" hidden="1">
      <c r="A150" s="115" t="s">
        <v>310</v>
      </c>
      <c r="B150" s="111"/>
      <c r="C150" s="116">
        <v>327</v>
      </c>
      <c r="D150" s="113">
        <f t="shared" si="1"/>
        <v>-327</v>
      </c>
      <c r="E150" s="113">
        <v>0</v>
      </c>
    </row>
    <row r="151" spans="1:5" s="117" customFormat="1" ht="45" hidden="1">
      <c r="A151" s="115" t="s">
        <v>311</v>
      </c>
      <c r="B151" s="111"/>
      <c r="C151" s="116">
        <v>1008</v>
      </c>
      <c r="D151" s="113">
        <f t="shared" si="1"/>
        <v>-1008</v>
      </c>
      <c r="E151" s="113">
        <v>0</v>
      </c>
    </row>
    <row r="152" spans="1:5" s="117" customFormat="1" ht="60" hidden="1">
      <c r="A152" s="115" t="s">
        <v>312</v>
      </c>
      <c r="B152" s="111"/>
      <c r="C152" s="116">
        <v>7903</v>
      </c>
      <c r="D152" s="113">
        <f t="shared" si="1"/>
        <v>-7903</v>
      </c>
      <c r="E152" s="113">
        <v>0</v>
      </c>
    </row>
    <row r="153" spans="1:5" s="117" customFormat="1" ht="45" hidden="1">
      <c r="A153" s="115" t="s">
        <v>313</v>
      </c>
      <c r="B153" s="111"/>
      <c r="C153" s="116">
        <v>4056</v>
      </c>
      <c r="D153" s="113">
        <f t="shared" si="1"/>
        <v>-4056</v>
      </c>
      <c r="E153" s="113">
        <v>0</v>
      </c>
    </row>
    <row r="154" spans="1:5" s="117" customFormat="1" ht="30" hidden="1">
      <c r="A154" s="115" t="s">
        <v>314</v>
      </c>
      <c r="B154" s="111"/>
      <c r="C154" s="116">
        <v>6979</v>
      </c>
      <c r="D154" s="113">
        <f t="shared" si="1"/>
        <v>-6979</v>
      </c>
      <c r="E154" s="113">
        <v>0</v>
      </c>
    </row>
    <row r="155" spans="1:5" s="117" customFormat="1" ht="45" hidden="1">
      <c r="A155" s="115" t="s">
        <v>315</v>
      </c>
      <c r="B155" s="111"/>
      <c r="C155" s="116">
        <v>3452</v>
      </c>
      <c r="D155" s="113">
        <f t="shared" si="1"/>
        <v>-3452</v>
      </c>
      <c r="E155" s="113">
        <v>0</v>
      </c>
    </row>
    <row r="156" spans="1:5" s="117" customFormat="1" ht="60" hidden="1">
      <c r="A156" s="115" t="s">
        <v>316</v>
      </c>
      <c r="B156" s="111"/>
      <c r="C156" s="116">
        <v>54.3</v>
      </c>
      <c r="D156" s="113">
        <f t="shared" si="1"/>
        <v>0</v>
      </c>
      <c r="E156" s="113">
        <v>54.3</v>
      </c>
    </row>
    <row r="157" spans="1:5" s="117" customFormat="1" ht="30" hidden="1">
      <c r="A157" s="115" t="s">
        <v>317</v>
      </c>
      <c r="B157" s="111"/>
      <c r="C157" s="116">
        <v>1523</v>
      </c>
      <c r="D157" s="113">
        <f t="shared" si="1"/>
        <v>-1523</v>
      </c>
      <c r="E157" s="113">
        <v>0</v>
      </c>
    </row>
    <row r="158" spans="1:5" s="117" customFormat="1" ht="165" hidden="1">
      <c r="A158" s="115" t="s">
        <v>318</v>
      </c>
      <c r="B158" s="111"/>
      <c r="C158" s="113"/>
      <c r="D158" s="113">
        <f t="shared" si="1"/>
        <v>232.6</v>
      </c>
      <c r="E158" s="113">
        <v>232.6</v>
      </c>
    </row>
    <row r="159" spans="1:5" s="117" customFormat="1" ht="165" hidden="1">
      <c r="A159" s="115" t="s">
        <v>319</v>
      </c>
      <c r="B159" s="111"/>
      <c r="C159" s="113"/>
      <c r="D159" s="113">
        <f t="shared" si="1"/>
        <v>187.1</v>
      </c>
      <c r="E159" s="113">
        <v>187.1</v>
      </c>
    </row>
    <row r="160" spans="1:5" ht="15" customHeight="1" hidden="1">
      <c r="A160" s="506"/>
      <c r="B160" s="105"/>
      <c r="C160" s="118"/>
      <c r="D160" s="118">
        <f t="shared" si="1"/>
        <v>0</v>
      </c>
      <c r="E160" s="118"/>
    </row>
    <row r="161" spans="1:5" ht="15" customHeight="1" hidden="1">
      <c r="A161" s="506"/>
      <c r="B161" s="105"/>
      <c r="C161" s="118"/>
      <c r="D161" s="118">
        <f t="shared" si="1"/>
        <v>0</v>
      </c>
      <c r="E161" s="118"/>
    </row>
    <row r="162" spans="1:5" ht="15" customHeight="1" hidden="1">
      <c r="A162" s="506"/>
      <c r="B162" s="105"/>
      <c r="C162" s="118"/>
      <c r="D162" s="118">
        <f t="shared" si="1"/>
        <v>0</v>
      </c>
      <c r="E162" s="118"/>
    </row>
    <row r="163" spans="1:5" ht="105">
      <c r="A163" s="506" t="s">
        <v>320</v>
      </c>
      <c r="B163" s="105" t="s">
        <v>321</v>
      </c>
      <c r="C163" s="106">
        <f>C164</f>
        <v>4624</v>
      </c>
      <c r="D163" s="106">
        <f t="shared" si="1"/>
        <v>-1192</v>
      </c>
      <c r="E163" s="106">
        <f>E164</f>
        <v>3432</v>
      </c>
    </row>
    <row r="164" spans="1:5" ht="105">
      <c r="A164" s="506" t="s">
        <v>322</v>
      </c>
      <c r="B164" s="105" t="s">
        <v>1051</v>
      </c>
      <c r="C164" s="106">
        <v>4624</v>
      </c>
      <c r="D164" s="106">
        <f t="shared" si="1"/>
        <v>-1192</v>
      </c>
      <c r="E164" s="106">
        <v>3432</v>
      </c>
    </row>
    <row r="165" spans="1:5" ht="75">
      <c r="A165" s="506" t="s">
        <v>323</v>
      </c>
      <c r="B165" s="105" t="s">
        <v>324</v>
      </c>
      <c r="C165" s="106">
        <f>C166</f>
        <v>9778</v>
      </c>
      <c r="D165" s="106">
        <f t="shared" si="1"/>
        <v>3015.5</v>
      </c>
      <c r="E165" s="106">
        <f>E166</f>
        <v>12793.5</v>
      </c>
    </row>
    <row r="166" spans="1:5" ht="75">
      <c r="A166" s="506" t="s">
        <v>325</v>
      </c>
      <c r="B166" s="105" t="s">
        <v>1052</v>
      </c>
      <c r="C166" s="106">
        <v>9778</v>
      </c>
      <c r="D166" s="106">
        <f t="shared" si="1"/>
        <v>3015.5</v>
      </c>
      <c r="E166" s="106">
        <v>12793.5</v>
      </c>
    </row>
    <row r="167" spans="1:5" ht="105" customHeight="1">
      <c r="A167" s="506" t="s">
        <v>326</v>
      </c>
      <c r="B167" s="105" t="s">
        <v>327</v>
      </c>
      <c r="C167" s="106">
        <f>C168</f>
        <v>1955.1</v>
      </c>
      <c r="D167" s="106">
        <f t="shared" si="1"/>
        <v>-582.5</v>
      </c>
      <c r="E167" s="106">
        <f>E168</f>
        <v>1372.6</v>
      </c>
    </row>
    <row r="168" spans="1:5" ht="105">
      <c r="A168" s="506" t="s">
        <v>328</v>
      </c>
      <c r="B168" s="105" t="s">
        <v>1053</v>
      </c>
      <c r="C168" s="106">
        <v>1955.1</v>
      </c>
      <c r="D168" s="106">
        <f t="shared" si="1"/>
        <v>-582.5</v>
      </c>
      <c r="E168" s="106">
        <v>1372.6</v>
      </c>
    </row>
    <row r="169" spans="1:5" ht="30">
      <c r="A169" s="506" t="s">
        <v>329</v>
      </c>
      <c r="B169" s="105" t="s">
        <v>330</v>
      </c>
      <c r="C169" s="106">
        <f>C170</f>
        <v>1699</v>
      </c>
      <c r="D169" s="106">
        <f t="shared" si="1"/>
        <v>-1699</v>
      </c>
      <c r="E169" s="106">
        <f>E170</f>
        <v>0</v>
      </c>
    </row>
    <row r="170" spans="1:5" ht="30">
      <c r="A170" s="506" t="s">
        <v>331</v>
      </c>
      <c r="B170" s="105" t="s">
        <v>1054</v>
      </c>
      <c r="C170" s="106">
        <v>1699</v>
      </c>
      <c r="D170" s="106">
        <f t="shared" si="1"/>
        <v>-1699</v>
      </c>
      <c r="E170" s="106">
        <v>0</v>
      </c>
    </row>
    <row r="171" spans="1:5" ht="90">
      <c r="A171" s="506" t="s">
        <v>332</v>
      </c>
      <c r="B171" s="105" t="s">
        <v>333</v>
      </c>
      <c r="C171" s="106">
        <f>C172</f>
        <v>2878.3</v>
      </c>
      <c r="D171" s="106">
        <f t="shared" si="1"/>
        <v>-2878.3</v>
      </c>
      <c r="E171" s="106">
        <f>E172</f>
        <v>0</v>
      </c>
    </row>
    <row r="172" spans="1:5" ht="90">
      <c r="A172" s="506" t="s">
        <v>334</v>
      </c>
      <c r="B172" s="105" t="s">
        <v>1055</v>
      </c>
      <c r="C172" s="106">
        <v>2878.3</v>
      </c>
      <c r="D172" s="106">
        <f t="shared" si="1"/>
        <v>-2878.3</v>
      </c>
      <c r="E172" s="106"/>
    </row>
    <row r="173" spans="1:5" ht="135">
      <c r="A173" s="104" t="s">
        <v>336</v>
      </c>
      <c r="B173" s="105" t="s">
        <v>337</v>
      </c>
      <c r="C173" s="106">
        <f>C174</f>
        <v>0</v>
      </c>
      <c r="D173" s="106">
        <f t="shared" si="1"/>
        <v>2232</v>
      </c>
      <c r="E173" s="106">
        <f>E174</f>
        <v>2232</v>
      </c>
    </row>
    <row r="174" spans="1:5" ht="135">
      <c r="A174" s="104" t="s">
        <v>338</v>
      </c>
      <c r="B174" s="105" t="s">
        <v>1056</v>
      </c>
      <c r="C174" s="106"/>
      <c r="D174" s="106">
        <f t="shared" si="1"/>
        <v>2232</v>
      </c>
      <c r="E174" s="106">
        <v>2232</v>
      </c>
    </row>
    <row r="175" spans="1:5" ht="105">
      <c r="A175" s="104" t="s">
        <v>340</v>
      </c>
      <c r="B175" s="105" t="s">
        <v>341</v>
      </c>
      <c r="C175" s="106">
        <f>C176</f>
        <v>0</v>
      </c>
      <c r="D175" s="106">
        <f t="shared" si="1"/>
        <v>558</v>
      </c>
      <c r="E175" s="106">
        <f>E176</f>
        <v>558</v>
      </c>
    </row>
    <row r="176" spans="1:5" ht="105">
      <c r="A176" s="104" t="s">
        <v>342</v>
      </c>
      <c r="B176" s="105" t="s">
        <v>1057</v>
      </c>
      <c r="C176" s="106"/>
      <c r="D176" s="106">
        <f aca="true" t="shared" si="2" ref="D176:D187">E176-C176</f>
        <v>558</v>
      </c>
      <c r="E176" s="106">
        <v>558</v>
      </c>
    </row>
    <row r="177" spans="1:5" ht="15" hidden="1">
      <c r="A177" s="104" t="s">
        <v>344</v>
      </c>
      <c r="B177" s="105" t="s">
        <v>345</v>
      </c>
      <c r="C177" s="106">
        <f>C178+C180+C182</f>
        <v>0</v>
      </c>
      <c r="D177" s="106">
        <f t="shared" si="2"/>
        <v>0</v>
      </c>
      <c r="E177" s="106">
        <f>E178+E180+E182</f>
        <v>0</v>
      </c>
    </row>
    <row r="178" spans="1:5" ht="60" hidden="1">
      <c r="A178" s="104" t="s">
        <v>346</v>
      </c>
      <c r="B178" s="105" t="s">
        <v>347</v>
      </c>
      <c r="C178" s="106">
        <f>C179</f>
        <v>0</v>
      </c>
      <c r="D178" s="106">
        <f t="shared" si="2"/>
        <v>0</v>
      </c>
      <c r="E178" s="106">
        <f>E179</f>
        <v>0</v>
      </c>
    </row>
    <row r="179" spans="1:5" ht="75" hidden="1">
      <c r="A179" s="104" t="s">
        <v>348</v>
      </c>
      <c r="B179" s="105" t="s">
        <v>349</v>
      </c>
      <c r="C179" s="106"/>
      <c r="D179" s="106">
        <f t="shared" si="2"/>
        <v>0</v>
      </c>
      <c r="E179" s="106"/>
    </row>
    <row r="180" spans="1:5" ht="45" hidden="1">
      <c r="A180" s="104" t="s">
        <v>350</v>
      </c>
      <c r="B180" s="105" t="s">
        <v>351</v>
      </c>
      <c r="C180" s="106">
        <f>C181</f>
        <v>0</v>
      </c>
      <c r="D180" s="106">
        <f t="shared" si="2"/>
        <v>0</v>
      </c>
      <c r="E180" s="106">
        <f>E181</f>
        <v>0</v>
      </c>
    </row>
    <row r="181" spans="1:5" ht="120" hidden="1">
      <c r="A181" s="104" t="s">
        <v>352</v>
      </c>
      <c r="B181" s="105" t="s">
        <v>353</v>
      </c>
      <c r="C181" s="106"/>
      <c r="D181" s="106">
        <f t="shared" si="2"/>
        <v>0</v>
      </c>
      <c r="E181" s="106"/>
    </row>
    <row r="182" spans="1:5" ht="30" hidden="1">
      <c r="A182" s="104" t="s">
        <v>354</v>
      </c>
      <c r="B182" s="105" t="s">
        <v>355</v>
      </c>
      <c r="C182" s="106">
        <f>C183</f>
        <v>0</v>
      </c>
      <c r="D182" s="106">
        <f t="shared" si="2"/>
        <v>0</v>
      </c>
      <c r="E182" s="106">
        <f>E183</f>
        <v>0</v>
      </c>
    </row>
    <row r="183" spans="1:5" ht="45" hidden="1">
      <c r="A183" s="104" t="s">
        <v>356</v>
      </c>
      <c r="B183" s="105" t="s">
        <v>357</v>
      </c>
      <c r="C183" s="106"/>
      <c r="D183" s="106">
        <f t="shared" si="2"/>
        <v>0</v>
      </c>
      <c r="E183" s="106"/>
    </row>
    <row r="184" spans="1:5" ht="60" hidden="1">
      <c r="A184" s="104" t="s">
        <v>358</v>
      </c>
      <c r="B184" s="105" t="s">
        <v>359</v>
      </c>
      <c r="C184" s="106">
        <f>C185</f>
        <v>0</v>
      </c>
      <c r="D184" s="106">
        <f t="shared" si="2"/>
        <v>0</v>
      </c>
      <c r="E184" s="106">
        <f>E185</f>
        <v>0</v>
      </c>
    </row>
    <row r="185" spans="1:5" ht="75" hidden="1">
      <c r="A185" s="104" t="s">
        <v>360</v>
      </c>
      <c r="B185" s="105" t="s">
        <v>361</v>
      </c>
      <c r="C185" s="106"/>
      <c r="D185" s="106">
        <f t="shared" si="2"/>
        <v>0</v>
      </c>
      <c r="E185" s="106"/>
    </row>
    <row r="186" spans="1:5" ht="75" hidden="1">
      <c r="A186" s="104" t="s">
        <v>362</v>
      </c>
      <c r="B186" s="105" t="s">
        <v>363</v>
      </c>
      <c r="C186" s="106">
        <f>C187</f>
        <v>0</v>
      </c>
      <c r="D186" s="106">
        <f t="shared" si="2"/>
        <v>0</v>
      </c>
      <c r="E186" s="106">
        <f>E187</f>
        <v>0</v>
      </c>
    </row>
    <row r="187" spans="1:5" ht="60" hidden="1">
      <c r="A187" s="104" t="s">
        <v>364</v>
      </c>
      <c r="B187" s="105" t="s">
        <v>365</v>
      </c>
      <c r="C187" s="106"/>
      <c r="D187" s="106">
        <f t="shared" si="2"/>
        <v>0</v>
      </c>
      <c r="E187" s="106"/>
    </row>
  </sheetData>
  <sheetProtection/>
  <mergeCells count="3">
    <mergeCell ref="C2:E2"/>
    <mergeCell ref="C3:E4"/>
    <mergeCell ref="A6:E7"/>
  </mergeCells>
  <printOptions/>
  <pageMargins left="0.5118110236220472" right="0" top="0.35433070866141736" bottom="0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="60" zoomScalePageLayoutView="0" workbookViewId="0" topLeftCell="A1">
      <selection activeCell="E1" sqref="E1"/>
    </sheetView>
  </sheetViews>
  <sheetFormatPr defaultColWidth="9.140625" defaultRowHeight="12.75"/>
  <cols>
    <col min="1" max="1" width="42.7109375" style="2" customWidth="1"/>
    <col min="2" max="2" width="27.28125" style="3" customWidth="1"/>
    <col min="3" max="3" width="24.421875" style="16" hidden="1" customWidth="1"/>
    <col min="4" max="4" width="22.00390625" style="3" hidden="1" customWidth="1"/>
    <col min="5" max="5" width="24.421875" style="72" customWidth="1"/>
    <col min="6" max="6" width="22.00390625" style="64" customWidth="1"/>
    <col min="7" max="16384" width="9.140625" style="5" customWidth="1"/>
  </cols>
  <sheetData>
    <row r="1" spans="3:6" ht="12">
      <c r="C1" s="56"/>
      <c r="D1" s="4"/>
      <c r="E1" s="61"/>
      <c r="F1" s="62"/>
    </row>
    <row r="2" spans="3:6" ht="12">
      <c r="C2" s="56" t="s">
        <v>71</v>
      </c>
      <c r="D2" s="4"/>
      <c r="E2" s="61" t="s">
        <v>71</v>
      </c>
      <c r="F2" s="62"/>
    </row>
    <row r="3" spans="3:6" ht="12.75" customHeight="1">
      <c r="C3" s="551" t="s">
        <v>73</v>
      </c>
      <c r="D3" s="551"/>
      <c r="E3" s="550" t="s">
        <v>84</v>
      </c>
      <c r="F3" s="550"/>
    </row>
    <row r="4" spans="3:6" ht="16.5" customHeight="1">
      <c r="C4" s="551"/>
      <c r="D4" s="551"/>
      <c r="E4" s="550"/>
      <c r="F4" s="550"/>
    </row>
    <row r="5" spans="3:6" ht="12.75" customHeight="1">
      <c r="C5" s="551"/>
      <c r="D5" s="551"/>
      <c r="E5" s="550"/>
      <c r="F5" s="550"/>
    </row>
    <row r="6" spans="3:5" ht="19.5" customHeight="1">
      <c r="C6" s="6"/>
      <c r="E6" s="63"/>
    </row>
    <row r="7" spans="1:6" ht="15.75" customHeight="1">
      <c r="A7" s="74" t="s">
        <v>90</v>
      </c>
      <c r="B7" s="74"/>
      <c r="C7" s="74"/>
      <c r="D7" s="74"/>
      <c r="E7" s="65"/>
      <c r="F7" s="65"/>
    </row>
    <row r="8" spans="1:5" ht="12">
      <c r="A8" s="7"/>
      <c r="B8" s="7"/>
      <c r="C8" s="7"/>
      <c r="E8" s="66"/>
    </row>
    <row r="9" spans="1:6" ht="12">
      <c r="A9" s="552" t="s">
        <v>0</v>
      </c>
      <c r="B9" s="554" t="s">
        <v>1</v>
      </c>
      <c r="C9" s="17" t="s">
        <v>44</v>
      </c>
      <c r="D9" s="18" t="s">
        <v>70</v>
      </c>
      <c r="E9" s="67" t="s">
        <v>74</v>
      </c>
      <c r="F9" s="68" t="s">
        <v>85</v>
      </c>
    </row>
    <row r="10" spans="1:6" ht="21" customHeight="1">
      <c r="A10" s="553"/>
      <c r="B10" s="555"/>
      <c r="C10" s="11" t="s">
        <v>2</v>
      </c>
      <c r="D10" s="11" t="s">
        <v>2</v>
      </c>
      <c r="E10" s="69" t="s">
        <v>2</v>
      </c>
      <c r="F10" s="69" t="s">
        <v>2</v>
      </c>
    </row>
    <row r="11" spans="1:6" ht="12">
      <c r="A11" s="12" t="s">
        <v>3</v>
      </c>
      <c r="B11" s="13"/>
      <c r="C11" s="36">
        <f>C12</f>
        <v>2604</v>
      </c>
      <c r="D11" s="36">
        <f>D12</f>
        <v>2670</v>
      </c>
      <c r="E11" s="70">
        <f>E12</f>
        <v>1664</v>
      </c>
      <c r="F11" s="70">
        <f>F12</f>
        <v>1440</v>
      </c>
    </row>
    <row r="12" spans="1:6" ht="24">
      <c r="A12" s="12" t="s">
        <v>4</v>
      </c>
      <c r="B12" s="13" t="s">
        <v>10</v>
      </c>
      <c r="C12" s="36">
        <f>C13+C18+C23</f>
        <v>2604</v>
      </c>
      <c r="D12" s="36">
        <f>D13+D18+D23</f>
        <v>2670</v>
      </c>
      <c r="E12" s="70">
        <f>E13+E18+E23</f>
        <v>1664</v>
      </c>
      <c r="F12" s="70">
        <f>F13+F18+F23</f>
        <v>1440</v>
      </c>
    </row>
    <row r="13" spans="1:6" ht="24" hidden="1">
      <c r="A13" s="12" t="s">
        <v>5</v>
      </c>
      <c r="B13" s="13" t="s">
        <v>11</v>
      </c>
      <c r="C13" s="36">
        <f>C14+C16</f>
        <v>1794</v>
      </c>
      <c r="D13" s="36">
        <f>D14+D16</f>
        <v>1860</v>
      </c>
      <c r="E13" s="70">
        <f>E14+E16</f>
        <v>0</v>
      </c>
      <c r="F13" s="70">
        <f>F14+F16</f>
        <v>0</v>
      </c>
    </row>
    <row r="14" spans="1:6" ht="34.5" customHeight="1" hidden="1">
      <c r="A14" s="14" t="s">
        <v>6</v>
      </c>
      <c r="B14" s="15" t="s">
        <v>12</v>
      </c>
      <c r="C14" s="37">
        <f>C15</f>
        <v>6234</v>
      </c>
      <c r="D14" s="37">
        <f>D15</f>
        <v>7442</v>
      </c>
      <c r="E14" s="71">
        <f>E15</f>
        <v>0</v>
      </c>
      <c r="F14" s="71">
        <f>F15</f>
        <v>0</v>
      </c>
    </row>
    <row r="15" spans="1:6" ht="39.75" customHeight="1" hidden="1">
      <c r="A15" s="14" t="s">
        <v>7</v>
      </c>
      <c r="B15" s="15" t="s">
        <v>13</v>
      </c>
      <c r="C15" s="37">
        <v>6234</v>
      </c>
      <c r="D15" s="37">
        <v>7442</v>
      </c>
      <c r="E15" s="71"/>
      <c r="F15" s="71"/>
    </row>
    <row r="16" spans="1:6" ht="31.5" customHeight="1" hidden="1">
      <c r="A16" s="14" t="s">
        <v>8</v>
      </c>
      <c r="B16" s="15" t="s">
        <v>14</v>
      </c>
      <c r="C16" s="37">
        <f>C17</f>
        <v>-4440</v>
      </c>
      <c r="D16" s="37">
        <f>D17</f>
        <v>-5582</v>
      </c>
      <c r="E16" s="71">
        <f>E17</f>
        <v>0</v>
      </c>
      <c r="F16" s="71">
        <f>F17</f>
        <v>0</v>
      </c>
    </row>
    <row r="17" spans="1:6" ht="39.75" customHeight="1" hidden="1">
      <c r="A17" s="14" t="s">
        <v>9</v>
      </c>
      <c r="B17" s="15" t="s">
        <v>15</v>
      </c>
      <c r="C17" s="37">
        <f>-4440</f>
        <v>-4440</v>
      </c>
      <c r="D17" s="37">
        <f>-5581-1</f>
        <v>-5582</v>
      </c>
      <c r="E17" s="71"/>
      <c r="F17" s="71"/>
    </row>
    <row r="18" spans="1:6" ht="27.75" customHeight="1">
      <c r="A18" s="12" t="s">
        <v>16</v>
      </c>
      <c r="B18" s="13" t="s">
        <v>17</v>
      </c>
      <c r="C18" s="36">
        <f>C19+C21</f>
        <v>-390</v>
      </c>
      <c r="D18" s="36">
        <f>D19+D21</f>
        <v>-390</v>
      </c>
      <c r="E18" s="70">
        <f>E19+E21</f>
        <v>1664</v>
      </c>
      <c r="F18" s="70">
        <f>F19+F21</f>
        <v>1440</v>
      </c>
    </row>
    <row r="19" spans="1:6" ht="39.75" customHeight="1">
      <c r="A19" s="14" t="s">
        <v>18</v>
      </c>
      <c r="B19" s="15" t="s">
        <v>19</v>
      </c>
      <c r="C19" s="37">
        <v>5000</v>
      </c>
      <c r="D19" s="37">
        <v>5000</v>
      </c>
      <c r="E19" s="71">
        <f>E20</f>
        <v>3198</v>
      </c>
      <c r="F19" s="71">
        <f>F20</f>
        <v>2140</v>
      </c>
    </row>
    <row r="20" spans="1:6" ht="50.25" customHeight="1">
      <c r="A20" s="14" t="s">
        <v>20</v>
      </c>
      <c r="B20" s="15" t="s">
        <v>21</v>
      </c>
      <c r="C20" s="37">
        <v>5000</v>
      </c>
      <c r="D20" s="37">
        <v>5000</v>
      </c>
      <c r="E20" s="71">
        <f>3334-136</f>
        <v>3198</v>
      </c>
      <c r="F20" s="71">
        <f>2500-360</f>
        <v>2140</v>
      </c>
    </row>
    <row r="21" spans="1:6" ht="41.25" customHeight="1">
      <c r="A21" s="14" t="s">
        <v>22</v>
      </c>
      <c r="B21" s="15" t="s">
        <v>23</v>
      </c>
      <c r="C21" s="37">
        <f>C22</f>
        <v>-5390</v>
      </c>
      <c r="D21" s="37">
        <f>D22</f>
        <v>-5390</v>
      </c>
      <c r="E21" s="71">
        <f>E22</f>
        <v>-1534</v>
      </c>
      <c r="F21" s="71">
        <f>F22</f>
        <v>-700</v>
      </c>
    </row>
    <row r="22" spans="1:6" ht="50.25" customHeight="1">
      <c r="A22" s="14" t="s">
        <v>24</v>
      </c>
      <c r="B22" s="15" t="s">
        <v>25</v>
      </c>
      <c r="C22" s="37">
        <f>-5000+(-390)</f>
        <v>-5390</v>
      </c>
      <c r="D22" s="37">
        <f>-5000+(-390)</f>
        <v>-5390</v>
      </c>
      <c r="E22" s="71">
        <f>-834-700</f>
        <v>-1534</v>
      </c>
      <c r="F22" s="71">
        <v>-700</v>
      </c>
    </row>
    <row r="23" spans="1:6" ht="28.5" customHeight="1">
      <c r="A23" s="12" t="s">
        <v>26</v>
      </c>
      <c r="B23" s="13" t="s">
        <v>27</v>
      </c>
      <c r="C23" s="36">
        <f>C24+C27</f>
        <v>1200</v>
      </c>
      <c r="D23" s="36">
        <f>D24+D27</f>
        <v>1200</v>
      </c>
      <c r="E23" s="70">
        <f>E24+E27</f>
        <v>0</v>
      </c>
      <c r="F23" s="70">
        <f>F24+F27</f>
        <v>0</v>
      </c>
    </row>
    <row r="24" spans="1:6" ht="40.5" customHeight="1" hidden="1">
      <c r="A24" s="12" t="s">
        <v>28</v>
      </c>
      <c r="B24" s="13" t="s">
        <v>30</v>
      </c>
      <c r="C24" s="36">
        <f aca="true" t="shared" si="0" ref="C24:F25">C25</f>
        <v>0</v>
      </c>
      <c r="D24" s="36">
        <f t="shared" si="0"/>
        <v>0</v>
      </c>
      <c r="E24" s="70">
        <f t="shared" si="0"/>
        <v>0</v>
      </c>
      <c r="F24" s="70">
        <f t="shared" si="0"/>
        <v>0</v>
      </c>
    </row>
    <row r="25" spans="1:6" ht="36" hidden="1">
      <c r="A25" s="14" t="s">
        <v>29</v>
      </c>
      <c r="B25" s="15" t="s">
        <v>31</v>
      </c>
      <c r="C25" s="37">
        <f t="shared" si="0"/>
        <v>0</v>
      </c>
      <c r="D25" s="37">
        <f t="shared" si="0"/>
        <v>0</v>
      </c>
      <c r="E25" s="71">
        <f t="shared" si="0"/>
        <v>0</v>
      </c>
      <c r="F25" s="71">
        <f t="shared" si="0"/>
        <v>0</v>
      </c>
    </row>
    <row r="26" spans="1:6" ht="38.25" customHeight="1" hidden="1">
      <c r="A26" s="14" t="s">
        <v>32</v>
      </c>
      <c r="B26" s="15" t="s">
        <v>33</v>
      </c>
      <c r="C26" s="37">
        <v>0</v>
      </c>
      <c r="D26" s="37">
        <v>0</v>
      </c>
      <c r="E26" s="71">
        <v>0</v>
      </c>
      <c r="F26" s="71">
        <v>0</v>
      </c>
    </row>
    <row r="27" spans="1:6" ht="30" customHeight="1">
      <c r="A27" s="12" t="s">
        <v>34</v>
      </c>
      <c r="B27" s="13" t="s">
        <v>35</v>
      </c>
      <c r="C27" s="36">
        <f>C28-C31</f>
        <v>1200</v>
      </c>
      <c r="D27" s="36">
        <f>D28-D31</f>
        <v>1200</v>
      </c>
      <c r="E27" s="70">
        <f>E28-E31</f>
        <v>0</v>
      </c>
      <c r="F27" s="70">
        <f>F28-F31</f>
        <v>0</v>
      </c>
    </row>
    <row r="28" spans="1:6" ht="30" customHeight="1">
      <c r="A28" s="14" t="s">
        <v>36</v>
      </c>
      <c r="B28" s="15" t="s">
        <v>37</v>
      </c>
      <c r="C28" s="37">
        <f>C29+C30</f>
        <v>1200</v>
      </c>
      <c r="D28" s="37">
        <f>D29+D30</f>
        <v>1200</v>
      </c>
      <c r="E28" s="71">
        <f>E29+E30</f>
        <v>0</v>
      </c>
      <c r="F28" s="71">
        <f>F29+F30</f>
        <v>0</v>
      </c>
    </row>
    <row r="29" spans="1:6" ht="39.75" customHeight="1">
      <c r="A29" s="14" t="s">
        <v>45</v>
      </c>
      <c r="B29" s="15" t="s">
        <v>38</v>
      </c>
      <c r="C29" s="37">
        <v>1200</v>
      </c>
      <c r="D29" s="37">
        <v>1200</v>
      </c>
      <c r="E29" s="71"/>
      <c r="F29" s="71"/>
    </row>
    <row r="30" spans="1:6" ht="52.5" customHeight="1" hidden="1">
      <c r="A30" s="14" t="s">
        <v>46</v>
      </c>
      <c r="B30" s="15" t="s">
        <v>39</v>
      </c>
      <c r="C30" s="37">
        <v>0</v>
      </c>
      <c r="D30" s="37">
        <v>0</v>
      </c>
      <c r="E30" s="71">
        <v>0</v>
      </c>
      <c r="F30" s="71">
        <v>0</v>
      </c>
    </row>
    <row r="31" spans="1:6" ht="28.5" customHeight="1" hidden="1">
      <c r="A31" s="14" t="s">
        <v>40</v>
      </c>
      <c r="B31" s="15" t="s">
        <v>41</v>
      </c>
      <c r="C31" s="37">
        <f>C33+C32</f>
        <v>0</v>
      </c>
      <c r="D31" s="37">
        <f>D33+D32</f>
        <v>0</v>
      </c>
      <c r="E31" s="71">
        <f>E33+E32</f>
        <v>0</v>
      </c>
      <c r="F31" s="71">
        <f>F33+F32</f>
        <v>0</v>
      </c>
    </row>
    <row r="32" spans="1:6" ht="33.75" customHeight="1" hidden="1">
      <c r="A32" s="14" t="s">
        <v>54</v>
      </c>
      <c r="B32" s="15" t="s">
        <v>55</v>
      </c>
      <c r="C32" s="37">
        <v>0</v>
      </c>
      <c r="D32" s="37">
        <v>0</v>
      </c>
      <c r="E32" s="71">
        <v>0</v>
      </c>
      <c r="F32" s="71">
        <v>0</v>
      </c>
    </row>
    <row r="33" spans="1:6" ht="52.5" customHeight="1" hidden="1">
      <c r="A33" s="14" t="s">
        <v>47</v>
      </c>
      <c r="B33" s="15" t="s">
        <v>42</v>
      </c>
      <c r="C33" s="37">
        <v>0</v>
      </c>
      <c r="D33" s="37">
        <v>0</v>
      </c>
      <c r="E33" s="71">
        <v>0</v>
      </c>
      <c r="F33" s="71">
        <v>0</v>
      </c>
    </row>
    <row r="34" ht="12" hidden="1"/>
    <row r="35" spans="2:6" ht="12" hidden="1">
      <c r="B35" s="76" t="s">
        <v>75</v>
      </c>
      <c r="C35" s="77"/>
      <c r="D35" s="76"/>
      <c r="E35" s="78">
        <v>1741.7</v>
      </c>
      <c r="F35" s="79">
        <v>584.9</v>
      </c>
    </row>
    <row r="36" spans="2:6" ht="12" hidden="1">
      <c r="B36" s="76"/>
      <c r="C36" s="77"/>
      <c r="D36" s="76"/>
      <c r="E36" s="80" t="s">
        <v>77</v>
      </c>
      <c r="F36" s="81" t="s">
        <v>76</v>
      </c>
    </row>
  </sheetData>
  <sheetProtection/>
  <mergeCells count="4">
    <mergeCell ref="E3:F5"/>
    <mergeCell ref="C3:D5"/>
    <mergeCell ref="A9:A10"/>
    <mergeCell ref="B9:B10"/>
  </mergeCells>
  <printOptions/>
  <pageMargins left="0.7874015748031497" right="0.1968503937007874" top="0.3937007874015748" bottom="0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3"/>
  <sheetViews>
    <sheetView view="pageBreakPreview" zoomScale="60" zoomScalePageLayoutView="0" workbookViewId="0" topLeftCell="A1">
      <selection activeCell="D1" sqref="D1"/>
    </sheetView>
  </sheetViews>
  <sheetFormatPr defaultColWidth="9.140625" defaultRowHeight="12.75"/>
  <cols>
    <col min="1" max="1" width="39.421875" style="101" customWidth="1"/>
    <col min="2" max="2" width="31.8515625" style="102" customWidth="1"/>
    <col min="3" max="3" width="14.7109375" style="107" customWidth="1"/>
    <col min="4" max="4" width="15.00390625" style="107" customWidth="1"/>
    <col min="5" max="5" width="15.57421875" style="107" customWidth="1"/>
    <col min="6" max="6" width="12.8515625" style="107" customWidth="1"/>
    <col min="7" max="16384" width="9.140625" style="107" customWidth="1"/>
  </cols>
  <sheetData>
    <row r="1" spans="1:7" ht="12.75">
      <c r="A1" s="86"/>
      <c r="B1" s="87"/>
      <c r="C1" s="87"/>
      <c r="D1" s="88"/>
      <c r="E1" s="87"/>
      <c r="F1" s="89"/>
      <c r="G1" s="90"/>
    </row>
    <row r="2" spans="1:7" ht="12.75">
      <c r="A2" s="86"/>
      <c r="B2" s="87"/>
      <c r="C2" s="547" t="s">
        <v>1083</v>
      </c>
      <c r="D2" s="547"/>
      <c r="E2" s="547"/>
      <c r="F2" s="91"/>
      <c r="G2" s="92"/>
    </row>
    <row r="3" spans="1:7" ht="12.75" customHeight="1">
      <c r="A3" s="86"/>
      <c r="B3" s="87"/>
      <c r="C3" s="548" t="s">
        <v>96</v>
      </c>
      <c r="D3" s="548"/>
      <c r="E3" s="548"/>
      <c r="F3" s="93"/>
      <c r="G3" s="94"/>
    </row>
    <row r="4" spans="1:7" ht="12.75">
      <c r="A4" s="86"/>
      <c r="B4" s="87"/>
      <c r="C4" s="548"/>
      <c r="D4" s="548"/>
      <c r="E4" s="548"/>
      <c r="F4" s="93"/>
      <c r="G4" s="95"/>
    </row>
    <row r="5" spans="1:7" ht="12.75">
      <c r="A5" s="96"/>
      <c r="B5" s="87"/>
      <c r="C5" s="87"/>
      <c r="D5" s="87"/>
      <c r="E5" s="87"/>
      <c r="F5" s="97"/>
      <c r="G5" s="94"/>
    </row>
    <row r="6" spans="1:7" ht="12.75" customHeight="1">
      <c r="A6" s="549" t="s">
        <v>1058</v>
      </c>
      <c r="B6" s="549"/>
      <c r="C6" s="549"/>
      <c r="D6" s="549"/>
      <c r="E6" s="549"/>
      <c r="F6" s="99"/>
      <c r="G6" s="98"/>
    </row>
    <row r="7" spans="1:6" s="100" customFormat="1" ht="15">
      <c r="A7" s="549"/>
      <c r="B7" s="549"/>
      <c r="C7" s="549"/>
      <c r="D7" s="549"/>
      <c r="E7" s="549"/>
      <c r="F7" s="99"/>
    </row>
    <row r="8" spans="1:2" s="100" customFormat="1" ht="15">
      <c r="A8" s="101"/>
      <c r="B8" s="102"/>
    </row>
    <row r="9" spans="1:6" s="100" customFormat="1" ht="15">
      <c r="A9" s="101"/>
      <c r="B9" s="102"/>
      <c r="F9" s="100" t="s">
        <v>366</v>
      </c>
    </row>
    <row r="10" spans="1:6" s="120" customFormat="1" ht="14.25">
      <c r="A10" s="556" t="s">
        <v>98</v>
      </c>
      <c r="B10" s="557" t="s">
        <v>99</v>
      </c>
      <c r="C10" s="558" t="s">
        <v>367</v>
      </c>
      <c r="D10" s="559"/>
      <c r="E10" s="560"/>
      <c r="F10" s="119" t="s">
        <v>368</v>
      </c>
    </row>
    <row r="11" spans="1:6" s="103" customFormat="1" ht="42.75">
      <c r="A11" s="556"/>
      <c r="B11" s="557"/>
      <c r="C11" s="121" t="s">
        <v>100</v>
      </c>
      <c r="D11" s="121" t="s">
        <v>101</v>
      </c>
      <c r="E11" s="121" t="s">
        <v>102</v>
      </c>
      <c r="F11" s="121" t="s">
        <v>369</v>
      </c>
    </row>
    <row r="12" spans="1:6" ht="15">
      <c r="A12" s="122" t="s">
        <v>103</v>
      </c>
      <c r="B12" s="123" t="s">
        <v>104</v>
      </c>
      <c r="C12" s="106">
        <f>C13+C95</f>
        <v>369326.91</v>
      </c>
      <c r="D12" s="106">
        <f>E12-C12</f>
        <v>-79197.31</v>
      </c>
      <c r="E12" s="106">
        <f>E13+E95</f>
        <v>290129.6</v>
      </c>
      <c r="F12" s="106">
        <f>F13+F95</f>
        <v>294337.82999999996</v>
      </c>
    </row>
    <row r="13" spans="1:6" ht="30">
      <c r="A13" s="104" t="s">
        <v>105</v>
      </c>
      <c r="B13" s="105" t="s">
        <v>106</v>
      </c>
      <c r="C13" s="106">
        <f>C14+C52</f>
        <v>64988.71</v>
      </c>
      <c r="D13" s="106">
        <f aca="true" t="shared" si="0" ref="D13:D77">E13-C13</f>
        <v>-9188.71</v>
      </c>
      <c r="E13" s="106">
        <f>E14+E52</f>
        <v>55800</v>
      </c>
      <c r="F13" s="106">
        <f>F14+F52</f>
        <v>57915.229999999996</v>
      </c>
    </row>
    <row r="14" spans="1:6" ht="15">
      <c r="A14" s="104" t="s">
        <v>107</v>
      </c>
      <c r="B14" s="105"/>
      <c r="C14" s="106">
        <f>C15+C23+C34+C41+C44</f>
        <v>52598</v>
      </c>
      <c r="D14" s="106">
        <f t="shared" si="0"/>
        <v>-4983.5899999999965</v>
      </c>
      <c r="E14" s="106">
        <f>E15+E23+E34+E41+E44</f>
        <v>47614.41</v>
      </c>
      <c r="F14" s="106">
        <f>F15+F23+F34+F41+F44</f>
        <v>49729.64</v>
      </c>
    </row>
    <row r="15" spans="1:6" ht="15">
      <c r="A15" s="104" t="s">
        <v>108</v>
      </c>
      <c r="B15" s="105" t="s">
        <v>109</v>
      </c>
      <c r="C15" s="106">
        <f>C16</f>
        <v>33572</v>
      </c>
      <c r="D15" s="106">
        <f t="shared" si="0"/>
        <v>-4597</v>
      </c>
      <c r="E15" s="106">
        <f>E16</f>
        <v>28975</v>
      </c>
      <c r="F15" s="106">
        <f>F16</f>
        <v>30840</v>
      </c>
    </row>
    <row r="16" spans="1:6" ht="15">
      <c r="A16" s="104" t="s">
        <v>110</v>
      </c>
      <c r="B16" s="105" t="s">
        <v>111</v>
      </c>
      <c r="C16" s="106">
        <f>C17+C18+C21+C22</f>
        <v>33572</v>
      </c>
      <c r="D16" s="106">
        <f t="shared" si="0"/>
        <v>-4597</v>
      </c>
      <c r="E16" s="106">
        <f>E17+E18+E21+E22</f>
        <v>28975</v>
      </c>
      <c r="F16" s="106">
        <f>F17+F18+F21+F22</f>
        <v>30840</v>
      </c>
    </row>
    <row r="17" spans="1:6" ht="90">
      <c r="A17" s="104" t="s">
        <v>112</v>
      </c>
      <c r="B17" s="105" t="s">
        <v>995</v>
      </c>
      <c r="C17" s="106">
        <v>500</v>
      </c>
      <c r="D17" s="106">
        <f t="shared" si="0"/>
        <v>-498</v>
      </c>
      <c r="E17" s="106">
        <v>2</v>
      </c>
      <c r="F17" s="106">
        <v>2</v>
      </c>
    </row>
    <row r="18" spans="1:6" ht="75">
      <c r="A18" s="104" t="s">
        <v>113</v>
      </c>
      <c r="B18" s="105" t="s">
        <v>996</v>
      </c>
      <c r="C18" s="106">
        <f>C19+C20</f>
        <v>33039.6</v>
      </c>
      <c r="D18" s="106">
        <f t="shared" si="0"/>
        <v>-4186.5999999999985</v>
      </c>
      <c r="E18" s="106">
        <f>E19+E20</f>
        <v>28853</v>
      </c>
      <c r="F18" s="106">
        <f>F19+F20</f>
        <v>30718</v>
      </c>
    </row>
    <row r="19" spans="1:6" ht="150">
      <c r="A19" s="104" t="s">
        <v>114</v>
      </c>
      <c r="B19" s="105" t="s">
        <v>997</v>
      </c>
      <c r="C19" s="106">
        <v>33014.6</v>
      </c>
      <c r="D19" s="106">
        <f t="shared" si="0"/>
        <v>-4231.5999999999985</v>
      </c>
      <c r="E19" s="106">
        <v>28783</v>
      </c>
      <c r="F19" s="106">
        <v>30648</v>
      </c>
    </row>
    <row r="20" spans="1:6" ht="135" customHeight="1">
      <c r="A20" s="104" t="s">
        <v>115</v>
      </c>
      <c r="B20" s="105" t="s">
        <v>998</v>
      </c>
      <c r="C20" s="106">
        <v>25</v>
      </c>
      <c r="D20" s="106">
        <f t="shared" si="0"/>
        <v>45</v>
      </c>
      <c r="E20" s="106">
        <v>70</v>
      </c>
      <c r="F20" s="106">
        <v>70</v>
      </c>
    </row>
    <row r="21" spans="1:6" ht="60">
      <c r="A21" s="104" t="s">
        <v>116</v>
      </c>
      <c r="B21" s="105" t="s">
        <v>999</v>
      </c>
      <c r="C21" s="106">
        <v>30</v>
      </c>
      <c r="D21" s="106">
        <f t="shared" si="0"/>
        <v>58</v>
      </c>
      <c r="E21" s="106">
        <v>88</v>
      </c>
      <c r="F21" s="106">
        <v>88</v>
      </c>
    </row>
    <row r="22" spans="1:6" ht="135">
      <c r="A22" s="104" t="s">
        <v>117</v>
      </c>
      <c r="B22" s="105" t="s">
        <v>1000</v>
      </c>
      <c r="C22" s="106">
        <v>2.4</v>
      </c>
      <c r="D22" s="106">
        <f t="shared" si="0"/>
        <v>29.6</v>
      </c>
      <c r="E22" s="106">
        <v>32</v>
      </c>
      <c r="F22" s="106">
        <v>32</v>
      </c>
    </row>
    <row r="23" spans="1:6" ht="15" customHeight="1">
      <c r="A23" s="104" t="s">
        <v>118</v>
      </c>
      <c r="B23" s="105" t="s">
        <v>119</v>
      </c>
      <c r="C23" s="106">
        <f>C24+C30+C32</f>
        <v>13353</v>
      </c>
      <c r="D23" s="106">
        <f t="shared" si="0"/>
        <v>344.0100000000002</v>
      </c>
      <c r="E23" s="106">
        <f>E24+E30+E32</f>
        <v>13697.01</v>
      </c>
      <c r="F23" s="106">
        <f>F24+F30+F32</f>
        <v>13960.24</v>
      </c>
    </row>
    <row r="24" spans="1:6" ht="45">
      <c r="A24" s="104" t="s">
        <v>120</v>
      </c>
      <c r="B24" s="105" t="s">
        <v>121</v>
      </c>
      <c r="C24" s="106">
        <f>C25+C27</f>
        <v>4600</v>
      </c>
      <c r="D24" s="106">
        <f t="shared" si="0"/>
        <v>-219</v>
      </c>
      <c r="E24" s="106">
        <f>E25+E27+E29</f>
        <v>4381</v>
      </c>
      <c r="F24" s="106">
        <f>F25+F27+F29</f>
        <v>4183</v>
      </c>
    </row>
    <row r="25" spans="1:6" ht="60">
      <c r="A25" s="104" t="s">
        <v>122</v>
      </c>
      <c r="B25" s="105" t="s">
        <v>1001</v>
      </c>
      <c r="C25" s="106">
        <f>C26</f>
        <v>3100</v>
      </c>
      <c r="D25" s="106">
        <f t="shared" si="0"/>
        <v>-1582</v>
      </c>
      <c r="E25" s="106">
        <f>E26</f>
        <v>1518</v>
      </c>
      <c r="F25" s="106">
        <f>F26</f>
        <v>1318</v>
      </c>
    </row>
    <row r="26" spans="1:6" ht="60">
      <c r="A26" s="104" t="s">
        <v>122</v>
      </c>
      <c r="B26" s="105" t="s">
        <v>1002</v>
      </c>
      <c r="C26" s="106">
        <v>3100</v>
      </c>
      <c r="D26" s="106">
        <f t="shared" si="0"/>
        <v>-1582</v>
      </c>
      <c r="E26" s="106">
        <v>1518</v>
      </c>
      <c r="F26" s="106">
        <f>2318-1000</f>
        <v>1318</v>
      </c>
    </row>
    <row r="27" spans="1:6" ht="75">
      <c r="A27" s="104" t="s">
        <v>123</v>
      </c>
      <c r="B27" s="105" t="s">
        <v>1003</v>
      </c>
      <c r="C27" s="106">
        <f>C28</f>
        <v>1500</v>
      </c>
      <c r="D27" s="106">
        <f t="shared" si="0"/>
        <v>-637</v>
      </c>
      <c r="E27" s="106">
        <f>E28</f>
        <v>863</v>
      </c>
      <c r="F27" s="106">
        <f>F28</f>
        <v>865</v>
      </c>
    </row>
    <row r="28" spans="1:6" ht="75">
      <c r="A28" s="104" t="s">
        <v>123</v>
      </c>
      <c r="B28" s="105" t="s">
        <v>1004</v>
      </c>
      <c r="C28" s="106">
        <v>1500</v>
      </c>
      <c r="D28" s="106">
        <f t="shared" si="0"/>
        <v>-637</v>
      </c>
      <c r="E28" s="106">
        <v>863</v>
      </c>
      <c r="F28" s="106">
        <f>1865-1000</f>
        <v>865</v>
      </c>
    </row>
    <row r="29" spans="1:6" ht="45">
      <c r="A29" s="506" t="s">
        <v>1005</v>
      </c>
      <c r="B29" s="105" t="s">
        <v>1006</v>
      </c>
      <c r="C29" s="106"/>
      <c r="D29" s="106">
        <f t="shared" si="0"/>
        <v>2000</v>
      </c>
      <c r="E29" s="106">
        <v>2000</v>
      </c>
      <c r="F29" s="106">
        <v>2000</v>
      </c>
    </row>
    <row r="30" spans="1:6" ht="30">
      <c r="A30" s="104" t="s">
        <v>124</v>
      </c>
      <c r="B30" s="105" t="s">
        <v>125</v>
      </c>
      <c r="C30" s="106">
        <f>C31</f>
        <v>8268</v>
      </c>
      <c r="D30" s="106">
        <f t="shared" si="0"/>
        <v>572.0100000000002</v>
      </c>
      <c r="E30" s="106">
        <f>E31</f>
        <v>8840.01</v>
      </c>
      <c r="F30" s="106">
        <f>F31</f>
        <v>9278.24</v>
      </c>
    </row>
    <row r="31" spans="1:6" ht="30">
      <c r="A31" s="104" t="s">
        <v>124</v>
      </c>
      <c r="B31" s="105" t="s">
        <v>1007</v>
      </c>
      <c r="C31" s="106">
        <v>8268</v>
      </c>
      <c r="D31" s="106">
        <f t="shared" si="0"/>
        <v>572.0100000000002</v>
      </c>
      <c r="E31" s="106">
        <v>8840.01</v>
      </c>
      <c r="F31" s="106">
        <v>9278.24</v>
      </c>
    </row>
    <row r="32" spans="1:6" ht="15">
      <c r="A32" s="104" t="s">
        <v>126</v>
      </c>
      <c r="B32" s="105" t="s">
        <v>127</v>
      </c>
      <c r="C32" s="106">
        <f>C33</f>
        <v>485</v>
      </c>
      <c r="D32" s="106">
        <f t="shared" si="0"/>
        <v>-9</v>
      </c>
      <c r="E32" s="106">
        <f>E33</f>
        <v>476</v>
      </c>
      <c r="F32" s="106">
        <f>F33</f>
        <v>499</v>
      </c>
    </row>
    <row r="33" spans="1:6" ht="15">
      <c r="A33" s="104" t="s">
        <v>126</v>
      </c>
      <c r="B33" s="105" t="s">
        <v>1008</v>
      </c>
      <c r="C33" s="106">
        <v>485</v>
      </c>
      <c r="D33" s="106">
        <f t="shared" si="0"/>
        <v>-9</v>
      </c>
      <c r="E33" s="106">
        <v>476</v>
      </c>
      <c r="F33" s="106">
        <v>499</v>
      </c>
    </row>
    <row r="34" spans="1:6" ht="15">
      <c r="A34" s="104" t="s">
        <v>128</v>
      </c>
      <c r="B34" s="105" t="s">
        <v>129</v>
      </c>
      <c r="C34" s="106">
        <f>C35+C38</f>
        <v>2243</v>
      </c>
      <c r="D34" s="106">
        <f t="shared" si="0"/>
        <v>360.4000000000001</v>
      </c>
      <c r="E34" s="106">
        <f>E35+E38</f>
        <v>2603.4</v>
      </c>
      <c r="F34" s="106">
        <f>F35+F38</f>
        <v>2590.4</v>
      </c>
    </row>
    <row r="35" spans="1:6" ht="15">
      <c r="A35" s="104" t="s">
        <v>130</v>
      </c>
      <c r="B35" s="105" t="s">
        <v>131</v>
      </c>
      <c r="C35" s="106">
        <f>C36+C37</f>
        <v>2243</v>
      </c>
      <c r="D35" s="106">
        <f t="shared" si="0"/>
        <v>360.4000000000001</v>
      </c>
      <c r="E35" s="106">
        <f>E36+E37</f>
        <v>2603.4</v>
      </c>
      <c r="F35" s="106">
        <f>F36+F37</f>
        <v>2590.4</v>
      </c>
    </row>
    <row r="36" spans="1:6" ht="45">
      <c r="A36" s="104" t="s">
        <v>132</v>
      </c>
      <c r="B36" s="105" t="s">
        <v>1009</v>
      </c>
      <c r="C36" s="106">
        <v>2242</v>
      </c>
      <c r="D36" s="106">
        <f t="shared" si="0"/>
        <v>361</v>
      </c>
      <c r="E36" s="106">
        <v>2603</v>
      </c>
      <c r="F36" s="106">
        <v>2590</v>
      </c>
    </row>
    <row r="37" spans="1:6" ht="43.5" customHeight="1">
      <c r="A37" s="104" t="s">
        <v>133</v>
      </c>
      <c r="B37" s="105" t="s">
        <v>1010</v>
      </c>
      <c r="C37" s="106">
        <v>1</v>
      </c>
      <c r="D37" s="106">
        <f t="shared" si="0"/>
        <v>-0.6</v>
      </c>
      <c r="E37" s="106">
        <v>0.4</v>
      </c>
      <c r="F37" s="106">
        <v>0.4</v>
      </c>
    </row>
    <row r="38" spans="1:6" ht="15" hidden="1">
      <c r="A38" s="104" t="s">
        <v>134</v>
      </c>
      <c r="B38" s="105" t="s">
        <v>135</v>
      </c>
      <c r="C38" s="106">
        <f>C39+C40</f>
        <v>0</v>
      </c>
      <c r="D38" s="106">
        <f t="shared" si="0"/>
        <v>0</v>
      </c>
      <c r="E38" s="106">
        <f>E39+E40</f>
        <v>0</v>
      </c>
      <c r="F38" s="106">
        <f>F39+F40</f>
        <v>0</v>
      </c>
    </row>
    <row r="39" spans="1:6" ht="15" hidden="1">
      <c r="A39" s="104" t="s">
        <v>136</v>
      </c>
      <c r="B39" s="105" t="s">
        <v>137</v>
      </c>
      <c r="C39" s="106"/>
      <c r="D39" s="106">
        <f t="shared" si="0"/>
        <v>0</v>
      </c>
      <c r="E39" s="106"/>
      <c r="F39" s="106"/>
    </row>
    <row r="40" spans="1:6" ht="15" hidden="1">
      <c r="A40" s="104" t="s">
        <v>138</v>
      </c>
      <c r="B40" s="105" t="s">
        <v>139</v>
      </c>
      <c r="C40" s="106"/>
      <c r="D40" s="106">
        <f t="shared" si="0"/>
        <v>0</v>
      </c>
      <c r="E40" s="106"/>
      <c r="F40" s="106"/>
    </row>
    <row r="41" spans="1:6" ht="45">
      <c r="A41" s="104" t="s">
        <v>140</v>
      </c>
      <c r="B41" s="105" t="s">
        <v>141</v>
      </c>
      <c r="C41" s="106">
        <f>C42</f>
        <v>150</v>
      </c>
      <c r="D41" s="106">
        <f t="shared" si="0"/>
        <v>0</v>
      </c>
      <c r="E41" s="106">
        <f>E42</f>
        <v>150</v>
      </c>
      <c r="F41" s="106">
        <f>F42</f>
        <v>150</v>
      </c>
    </row>
    <row r="42" spans="1:6" ht="30" customHeight="1">
      <c r="A42" s="104" t="s">
        <v>142</v>
      </c>
      <c r="B42" s="105" t="s">
        <v>143</v>
      </c>
      <c r="C42" s="106">
        <f>C43</f>
        <v>150</v>
      </c>
      <c r="D42" s="106">
        <f t="shared" si="0"/>
        <v>0</v>
      </c>
      <c r="E42" s="106">
        <f>E43</f>
        <v>150</v>
      </c>
      <c r="F42" s="106">
        <f>F43</f>
        <v>150</v>
      </c>
    </row>
    <row r="43" spans="1:6" ht="30">
      <c r="A43" s="104" t="s">
        <v>144</v>
      </c>
      <c r="B43" s="105" t="s">
        <v>1011</v>
      </c>
      <c r="C43" s="106">
        <v>150</v>
      </c>
      <c r="D43" s="106">
        <f t="shared" si="0"/>
        <v>0</v>
      </c>
      <c r="E43" s="106">
        <v>150</v>
      </c>
      <c r="F43" s="106">
        <v>150</v>
      </c>
    </row>
    <row r="44" spans="1:6" ht="15">
      <c r="A44" s="104" t="s">
        <v>145</v>
      </c>
      <c r="B44" s="105" t="s">
        <v>146</v>
      </c>
      <c r="C44" s="106">
        <f>C45+C47</f>
        <v>3280</v>
      </c>
      <c r="D44" s="106">
        <f t="shared" si="0"/>
        <v>-1091</v>
      </c>
      <c r="E44" s="106">
        <f>E45+E47</f>
        <v>2189</v>
      </c>
      <c r="F44" s="106">
        <f>F45+F47</f>
        <v>2189</v>
      </c>
    </row>
    <row r="45" spans="1:6" ht="45">
      <c r="A45" s="104" t="s">
        <v>147</v>
      </c>
      <c r="B45" s="105" t="s">
        <v>148</v>
      </c>
      <c r="C45" s="106">
        <f>C46</f>
        <v>600</v>
      </c>
      <c r="D45" s="106">
        <f t="shared" si="0"/>
        <v>300</v>
      </c>
      <c r="E45" s="106">
        <f>E46</f>
        <v>900</v>
      </c>
      <c r="F45" s="106">
        <f>F46</f>
        <v>900</v>
      </c>
    </row>
    <row r="46" spans="1:6" ht="75">
      <c r="A46" s="104" t="s">
        <v>149</v>
      </c>
      <c r="B46" s="105" t="s">
        <v>1012</v>
      </c>
      <c r="C46" s="106">
        <v>600</v>
      </c>
      <c r="D46" s="106">
        <f t="shared" si="0"/>
        <v>300</v>
      </c>
      <c r="E46" s="106">
        <v>900</v>
      </c>
      <c r="F46" s="106">
        <v>900</v>
      </c>
    </row>
    <row r="47" spans="1:6" ht="90" customHeight="1">
      <c r="A47" s="104" t="s">
        <v>150</v>
      </c>
      <c r="B47" s="105" t="s">
        <v>151</v>
      </c>
      <c r="C47" s="106">
        <f>C48+C50+C51</f>
        <v>2680</v>
      </c>
      <c r="D47" s="106">
        <f t="shared" si="0"/>
        <v>-1391</v>
      </c>
      <c r="E47" s="106">
        <f>E48+E50+E51</f>
        <v>1289</v>
      </c>
      <c r="F47" s="106">
        <f>F48+F50+F51</f>
        <v>1289</v>
      </c>
    </row>
    <row r="48" spans="1:6" ht="105" customHeight="1">
      <c r="A48" s="104" t="s">
        <v>152</v>
      </c>
      <c r="B48" s="105" t="s">
        <v>153</v>
      </c>
      <c r="C48" s="106">
        <f>C49</f>
        <v>1480</v>
      </c>
      <c r="D48" s="106">
        <f t="shared" si="0"/>
        <v>-200</v>
      </c>
      <c r="E48" s="106">
        <f>E49</f>
        <v>1280</v>
      </c>
      <c r="F48" s="106">
        <f>F49</f>
        <v>1280</v>
      </c>
    </row>
    <row r="49" spans="1:6" ht="105">
      <c r="A49" s="104" t="s">
        <v>154</v>
      </c>
      <c r="B49" s="105" t="s">
        <v>1013</v>
      </c>
      <c r="C49" s="106">
        <v>1480</v>
      </c>
      <c r="D49" s="106">
        <f t="shared" si="0"/>
        <v>-200</v>
      </c>
      <c r="E49" s="106">
        <v>1280</v>
      </c>
      <c r="F49" s="106">
        <v>1280</v>
      </c>
    </row>
    <row r="50" spans="1:6" ht="105">
      <c r="A50" s="104" t="s">
        <v>155</v>
      </c>
      <c r="B50" s="105" t="s">
        <v>156</v>
      </c>
      <c r="C50" s="106">
        <v>1200</v>
      </c>
      <c r="D50" s="106">
        <f t="shared" si="0"/>
        <v>-1200</v>
      </c>
      <c r="E50" s="106">
        <v>0</v>
      </c>
      <c r="F50" s="106">
        <v>0</v>
      </c>
    </row>
    <row r="51" spans="1:6" ht="45">
      <c r="A51" s="104" t="s">
        <v>157</v>
      </c>
      <c r="B51" s="105" t="s">
        <v>1014</v>
      </c>
      <c r="C51" s="106"/>
      <c r="D51" s="106">
        <f t="shared" si="0"/>
        <v>9</v>
      </c>
      <c r="E51" s="106">
        <v>9</v>
      </c>
      <c r="F51" s="106">
        <v>9</v>
      </c>
    </row>
    <row r="52" spans="1:6" ht="15">
      <c r="A52" s="104" t="s">
        <v>158</v>
      </c>
      <c r="B52" s="105"/>
      <c r="C52" s="106">
        <f>C53+C61+C63+C66+C73+C76+C92</f>
        <v>12390.71</v>
      </c>
      <c r="D52" s="106">
        <f t="shared" si="0"/>
        <v>-4205.119999999999</v>
      </c>
      <c r="E52" s="106">
        <f>E53+E61+E63+E66+E73+E76+E92</f>
        <v>8185.59</v>
      </c>
      <c r="F52" s="106">
        <f>F53+F61+F63+F66+F73+F76+F92</f>
        <v>8185.59</v>
      </c>
    </row>
    <row r="53" spans="1:6" ht="75">
      <c r="A53" s="104" t="s">
        <v>159</v>
      </c>
      <c r="B53" s="105" t="s">
        <v>160</v>
      </c>
      <c r="C53" s="106">
        <f>C54+C56</f>
        <v>1299.71</v>
      </c>
      <c r="D53" s="106">
        <f t="shared" si="0"/>
        <v>20.389999999999873</v>
      </c>
      <c r="E53" s="106">
        <f>E54+E56</f>
        <v>1320.1</v>
      </c>
      <c r="F53" s="106">
        <f>F54+F56</f>
        <v>1320.1</v>
      </c>
    </row>
    <row r="54" spans="1:6" ht="45" hidden="1">
      <c r="A54" s="104" t="s">
        <v>161</v>
      </c>
      <c r="B54" s="105" t="s">
        <v>162</v>
      </c>
      <c r="C54" s="106">
        <f>C55</f>
        <v>0</v>
      </c>
      <c r="D54" s="106">
        <f t="shared" si="0"/>
        <v>0</v>
      </c>
      <c r="E54" s="106">
        <f>E55</f>
        <v>0</v>
      </c>
      <c r="F54" s="106">
        <f>F55</f>
        <v>0</v>
      </c>
    </row>
    <row r="55" spans="1:6" ht="60" hidden="1">
      <c r="A55" s="104" t="s">
        <v>163</v>
      </c>
      <c r="B55" s="105" t="s">
        <v>164</v>
      </c>
      <c r="C55" s="106">
        <v>0</v>
      </c>
      <c r="D55" s="106">
        <f t="shared" si="0"/>
        <v>0</v>
      </c>
      <c r="E55" s="106">
        <v>0</v>
      </c>
      <c r="F55" s="106">
        <v>0</v>
      </c>
    </row>
    <row r="56" spans="1:6" ht="135">
      <c r="A56" s="104" t="s">
        <v>165</v>
      </c>
      <c r="B56" s="105" t="s">
        <v>166</v>
      </c>
      <c r="C56" s="106">
        <f>C57+C59</f>
        <v>1299.71</v>
      </c>
      <c r="D56" s="106">
        <f t="shared" si="0"/>
        <v>20.389999999999873</v>
      </c>
      <c r="E56" s="106">
        <f>E57+E59</f>
        <v>1320.1</v>
      </c>
      <c r="F56" s="106">
        <f>F57+F59</f>
        <v>1320.1</v>
      </c>
    </row>
    <row r="57" spans="1:6" ht="105">
      <c r="A57" s="104" t="s">
        <v>167</v>
      </c>
      <c r="B57" s="105" t="s">
        <v>1016</v>
      </c>
      <c r="C57" s="106">
        <f>C58</f>
        <v>849.71</v>
      </c>
      <c r="D57" s="106">
        <f t="shared" si="0"/>
        <v>-59.50999999999999</v>
      </c>
      <c r="E57" s="106">
        <f>E58</f>
        <v>790.2</v>
      </c>
      <c r="F57" s="106">
        <f>F58</f>
        <v>790.2</v>
      </c>
    </row>
    <row r="58" spans="1:6" ht="120" customHeight="1">
      <c r="A58" s="104" t="s">
        <v>168</v>
      </c>
      <c r="B58" s="105" t="s">
        <v>1017</v>
      </c>
      <c r="C58" s="106">
        <v>849.71</v>
      </c>
      <c r="D58" s="106">
        <f t="shared" si="0"/>
        <v>-59.50999999999999</v>
      </c>
      <c r="E58" s="106">
        <v>790.2</v>
      </c>
      <c r="F58" s="106">
        <v>790.2</v>
      </c>
    </row>
    <row r="59" spans="1:6" ht="90" customHeight="1">
      <c r="A59" s="104" t="s">
        <v>169</v>
      </c>
      <c r="B59" s="105" t="s">
        <v>170</v>
      </c>
      <c r="C59" s="106">
        <f>C60</f>
        <v>450</v>
      </c>
      <c r="D59" s="106">
        <f t="shared" si="0"/>
        <v>79.89999999999998</v>
      </c>
      <c r="E59" s="106">
        <f>E60</f>
        <v>529.9</v>
      </c>
      <c r="F59" s="106">
        <f>F60</f>
        <v>529.9</v>
      </c>
    </row>
    <row r="60" spans="1:6" ht="90">
      <c r="A60" s="104" t="s">
        <v>171</v>
      </c>
      <c r="B60" s="105" t="s">
        <v>1018</v>
      </c>
      <c r="C60" s="106">
        <v>450</v>
      </c>
      <c r="D60" s="106">
        <f t="shared" si="0"/>
        <v>79.89999999999998</v>
      </c>
      <c r="E60" s="106">
        <v>529.9</v>
      </c>
      <c r="F60" s="106">
        <v>529.9</v>
      </c>
    </row>
    <row r="61" spans="1:6" ht="30">
      <c r="A61" s="104" t="s">
        <v>172</v>
      </c>
      <c r="B61" s="105" t="s">
        <v>173</v>
      </c>
      <c r="C61" s="106">
        <f>C62</f>
        <v>100</v>
      </c>
      <c r="D61" s="106">
        <f t="shared" si="0"/>
        <v>70</v>
      </c>
      <c r="E61" s="106">
        <f>E62</f>
        <v>170</v>
      </c>
      <c r="F61" s="106">
        <f>F62</f>
        <v>170</v>
      </c>
    </row>
    <row r="62" spans="1:6" ht="30">
      <c r="A62" s="104" t="s">
        <v>1059</v>
      </c>
      <c r="B62" s="105" t="s">
        <v>1020</v>
      </c>
      <c r="C62" s="106">
        <v>100</v>
      </c>
      <c r="D62" s="106">
        <f t="shared" si="0"/>
        <v>70</v>
      </c>
      <c r="E62" s="106">
        <v>170</v>
      </c>
      <c r="F62" s="106">
        <v>170</v>
      </c>
    </row>
    <row r="63" spans="1:6" ht="45">
      <c r="A63" s="104" t="s">
        <v>174</v>
      </c>
      <c r="B63" s="105" t="s">
        <v>175</v>
      </c>
      <c r="C63" s="106">
        <f>C64</f>
        <v>8500</v>
      </c>
      <c r="D63" s="106">
        <f t="shared" si="0"/>
        <v>-4500</v>
      </c>
      <c r="E63" s="106">
        <f>E64</f>
        <v>4000</v>
      </c>
      <c r="F63" s="106">
        <f>F64</f>
        <v>4000</v>
      </c>
    </row>
    <row r="64" spans="1:6" ht="45">
      <c r="A64" s="104" t="s">
        <v>1060</v>
      </c>
      <c r="B64" s="105" t="s">
        <v>1061</v>
      </c>
      <c r="C64" s="106">
        <f>C65</f>
        <v>8500</v>
      </c>
      <c r="D64" s="106">
        <f t="shared" si="0"/>
        <v>-4500</v>
      </c>
      <c r="E64" s="106">
        <f>E65</f>
        <v>4000</v>
      </c>
      <c r="F64" s="106">
        <f>F65</f>
        <v>4000</v>
      </c>
    </row>
    <row r="65" spans="1:6" ht="45">
      <c r="A65" s="104" t="s">
        <v>1062</v>
      </c>
      <c r="B65" s="105" t="s">
        <v>1022</v>
      </c>
      <c r="C65" s="106">
        <v>8500</v>
      </c>
      <c r="D65" s="106">
        <f t="shared" si="0"/>
        <v>-4500</v>
      </c>
      <c r="E65" s="106">
        <v>4000</v>
      </c>
      <c r="F65" s="106">
        <v>4000</v>
      </c>
    </row>
    <row r="66" spans="1:6" ht="120" customHeight="1" hidden="1">
      <c r="A66" s="104" t="s">
        <v>176</v>
      </c>
      <c r="B66" s="105" t="s">
        <v>177</v>
      </c>
      <c r="C66" s="106">
        <f>C67+C70</f>
        <v>0</v>
      </c>
      <c r="D66" s="106">
        <f t="shared" si="0"/>
        <v>0</v>
      </c>
      <c r="E66" s="106">
        <f>E67+E70</f>
        <v>0</v>
      </c>
      <c r="F66" s="106">
        <f>F67+F70</f>
        <v>0</v>
      </c>
    </row>
    <row r="67" spans="1:6" ht="135" customHeight="1" hidden="1">
      <c r="A67" s="104" t="s">
        <v>178</v>
      </c>
      <c r="B67" s="105" t="s">
        <v>179</v>
      </c>
      <c r="C67" s="106">
        <f>C68</f>
        <v>0</v>
      </c>
      <c r="D67" s="106">
        <f t="shared" si="0"/>
        <v>0</v>
      </c>
      <c r="E67" s="106">
        <f>E68</f>
        <v>0</v>
      </c>
      <c r="F67" s="106">
        <f>F68</f>
        <v>0</v>
      </c>
    </row>
    <row r="68" spans="1:6" ht="135" customHeight="1" hidden="1">
      <c r="A68" s="104" t="s">
        <v>180</v>
      </c>
      <c r="B68" s="105" t="s">
        <v>181</v>
      </c>
      <c r="C68" s="106">
        <f>C69</f>
        <v>0</v>
      </c>
      <c r="D68" s="106">
        <f t="shared" si="0"/>
        <v>0</v>
      </c>
      <c r="E68" s="106">
        <f>E69</f>
        <v>0</v>
      </c>
      <c r="F68" s="106">
        <f>F69</f>
        <v>0</v>
      </c>
    </row>
    <row r="69" spans="1:6" ht="90" customHeight="1" hidden="1">
      <c r="A69" s="104" t="s">
        <v>182</v>
      </c>
      <c r="B69" s="105" t="s">
        <v>183</v>
      </c>
      <c r="C69" s="106"/>
      <c r="D69" s="106">
        <f t="shared" si="0"/>
        <v>0</v>
      </c>
      <c r="E69" s="106"/>
      <c r="F69" s="106"/>
    </row>
    <row r="70" spans="1:6" ht="60" customHeight="1" hidden="1">
      <c r="A70" s="104" t="s">
        <v>184</v>
      </c>
      <c r="B70" s="105" t="s">
        <v>185</v>
      </c>
      <c r="C70" s="106">
        <f>C71</f>
        <v>0</v>
      </c>
      <c r="D70" s="106">
        <f t="shared" si="0"/>
        <v>0</v>
      </c>
      <c r="E70" s="106">
        <f>E71</f>
        <v>0</v>
      </c>
      <c r="F70" s="106">
        <f>F71</f>
        <v>0</v>
      </c>
    </row>
    <row r="71" spans="1:6" ht="75" customHeight="1" hidden="1">
      <c r="A71" s="104" t="s">
        <v>186</v>
      </c>
      <c r="B71" s="105" t="s">
        <v>187</v>
      </c>
      <c r="C71" s="106">
        <f>C72</f>
        <v>0</v>
      </c>
      <c r="D71" s="106">
        <f t="shared" si="0"/>
        <v>0</v>
      </c>
      <c r="E71" s="106">
        <f>E72</f>
        <v>0</v>
      </c>
      <c r="F71" s="106">
        <f>F72</f>
        <v>0</v>
      </c>
    </row>
    <row r="72" spans="1:6" ht="75" hidden="1">
      <c r="A72" s="104" t="s">
        <v>188</v>
      </c>
      <c r="B72" s="105" t="s">
        <v>189</v>
      </c>
      <c r="C72" s="106"/>
      <c r="D72" s="106">
        <f t="shared" si="0"/>
        <v>0</v>
      </c>
      <c r="E72" s="106"/>
      <c r="F72" s="106"/>
    </row>
    <row r="73" spans="1:6" ht="30">
      <c r="A73" s="104" t="s">
        <v>190</v>
      </c>
      <c r="B73" s="105" t="s">
        <v>191</v>
      </c>
      <c r="C73" s="106">
        <f>C74</f>
        <v>30</v>
      </c>
      <c r="D73" s="106">
        <f t="shared" si="0"/>
        <v>-30</v>
      </c>
      <c r="E73" s="106">
        <f>E74</f>
        <v>0</v>
      </c>
      <c r="F73" s="106">
        <f>F74</f>
        <v>0</v>
      </c>
    </row>
    <row r="74" spans="1:6" ht="45">
      <c r="A74" s="104" t="s">
        <v>192</v>
      </c>
      <c r="B74" s="105" t="s">
        <v>193</v>
      </c>
      <c r="C74" s="106">
        <f>C75</f>
        <v>30</v>
      </c>
      <c r="D74" s="106">
        <f t="shared" si="0"/>
        <v>-30</v>
      </c>
      <c r="E74" s="106">
        <f>E75</f>
        <v>0</v>
      </c>
      <c r="F74" s="106">
        <f>F75</f>
        <v>0</v>
      </c>
    </row>
    <row r="75" spans="1:6" ht="60">
      <c r="A75" s="104" t="s">
        <v>1063</v>
      </c>
      <c r="B75" s="105" t="s">
        <v>1024</v>
      </c>
      <c r="C75" s="106">
        <v>30</v>
      </c>
      <c r="D75" s="106">
        <f t="shared" si="0"/>
        <v>-30</v>
      </c>
      <c r="E75" s="106"/>
      <c r="F75" s="106"/>
    </row>
    <row r="76" spans="1:6" ht="30">
      <c r="A76" s="104" t="s">
        <v>194</v>
      </c>
      <c r="B76" s="105" t="s">
        <v>195</v>
      </c>
      <c r="C76" s="106">
        <f>C77+C80+C81+C82+C86+C90+C88+C87</f>
        <v>2461</v>
      </c>
      <c r="D76" s="106">
        <f>D77+D80+D81+D82+D86+D90+D88+D87</f>
        <v>234.49</v>
      </c>
      <c r="E76" s="106">
        <f>E77+E80+E81+E82+E86+E90+E88+E87</f>
        <v>2695.49</v>
      </c>
      <c r="F76" s="106">
        <f>F77+F80+F81+F82+F86+F90+F88+F87</f>
        <v>2695.49</v>
      </c>
    </row>
    <row r="77" spans="1:6" ht="45">
      <c r="A77" s="104" t="s">
        <v>196</v>
      </c>
      <c r="B77" s="105" t="s">
        <v>197</v>
      </c>
      <c r="C77" s="106">
        <f>C78+C79</f>
        <v>52</v>
      </c>
      <c r="D77" s="106">
        <f t="shared" si="0"/>
        <v>0</v>
      </c>
      <c r="E77" s="106">
        <f>E78+E79</f>
        <v>52</v>
      </c>
      <c r="F77" s="106">
        <f>F78+F79</f>
        <v>52</v>
      </c>
    </row>
    <row r="78" spans="1:6" ht="165">
      <c r="A78" s="104" t="s">
        <v>198</v>
      </c>
      <c r="B78" s="105" t="s">
        <v>1025</v>
      </c>
      <c r="C78" s="106">
        <v>17</v>
      </c>
      <c r="D78" s="106">
        <f aca="true" t="shared" si="1" ref="D78:D144">E78-C78</f>
        <v>-1</v>
      </c>
      <c r="E78" s="106">
        <v>16</v>
      </c>
      <c r="F78" s="106">
        <v>16</v>
      </c>
    </row>
    <row r="79" spans="1:6" ht="90">
      <c r="A79" s="104" t="s">
        <v>199</v>
      </c>
      <c r="B79" s="105" t="s">
        <v>1026</v>
      </c>
      <c r="C79" s="106">
        <v>35</v>
      </c>
      <c r="D79" s="106">
        <f t="shared" si="1"/>
        <v>1</v>
      </c>
      <c r="E79" s="106">
        <v>36</v>
      </c>
      <c r="F79" s="106">
        <v>36</v>
      </c>
    </row>
    <row r="80" spans="1:6" ht="90" customHeight="1">
      <c r="A80" s="104" t="s">
        <v>200</v>
      </c>
      <c r="B80" s="105" t="s">
        <v>1027</v>
      </c>
      <c r="C80" s="106">
        <v>77</v>
      </c>
      <c r="D80" s="106">
        <f t="shared" si="1"/>
        <v>0</v>
      </c>
      <c r="E80" s="106">
        <v>77</v>
      </c>
      <c r="F80" s="106">
        <v>77</v>
      </c>
    </row>
    <row r="81" spans="1:6" ht="90">
      <c r="A81" s="104" t="s">
        <v>201</v>
      </c>
      <c r="B81" s="105" t="s">
        <v>1028</v>
      </c>
      <c r="C81" s="106">
        <v>47</v>
      </c>
      <c r="D81" s="106">
        <f t="shared" si="1"/>
        <v>-1</v>
      </c>
      <c r="E81" s="106">
        <v>46</v>
      </c>
      <c r="F81" s="106">
        <v>46</v>
      </c>
    </row>
    <row r="82" spans="1:6" ht="150">
      <c r="A82" s="104" t="s">
        <v>202</v>
      </c>
      <c r="B82" s="105" t="s">
        <v>203</v>
      </c>
      <c r="C82" s="106">
        <f>C83+C84+C85</f>
        <v>55</v>
      </c>
      <c r="D82" s="106">
        <f t="shared" si="1"/>
        <v>0</v>
      </c>
      <c r="E82" s="106">
        <f>E83+E84+E85</f>
        <v>55</v>
      </c>
      <c r="F82" s="106">
        <f>F83+F84+F85</f>
        <v>55</v>
      </c>
    </row>
    <row r="83" spans="1:6" ht="30">
      <c r="A83" s="104" t="s">
        <v>204</v>
      </c>
      <c r="B83" s="105" t="s">
        <v>1029</v>
      </c>
      <c r="C83" s="106">
        <v>35</v>
      </c>
      <c r="D83" s="106">
        <f t="shared" si="1"/>
        <v>0</v>
      </c>
      <c r="E83" s="106">
        <v>35</v>
      </c>
      <c r="F83" s="106">
        <v>35</v>
      </c>
    </row>
    <row r="84" spans="1:6" ht="30" customHeight="1">
      <c r="A84" s="104" t="s">
        <v>205</v>
      </c>
      <c r="B84" s="105" t="s">
        <v>1030</v>
      </c>
      <c r="C84" s="106">
        <v>10</v>
      </c>
      <c r="D84" s="106">
        <f t="shared" si="1"/>
        <v>0</v>
      </c>
      <c r="E84" s="106">
        <v>10</v>
      </c>
      <c r="F84" s="106">
        <v>10</v>
      </c>
    </row>
    <row r="85" spans="1:6" ht="30">
      <c r="A85" s="104" t="s">
        <v>206</v>
      </c>
      <c r="B85" s="105" t="s">
        <v>1031</v>
      </c>
      <c r="C85" s="106">
        <v>10</v>
      </c>
      <c r="D85" s="106">
        <f t="shared" si="1"/>
        <v>0</v>
      </c>
      <c r="E85" s="106">
        <v>10</v>
      </c>
      <c r="F85" s="106">
        <v>10</v>
      </c>
    </row>
    <row r="86" spans="1:6" ht="90">
      <c r="A86" s="104" t="s">
        <v>207</v>
      </c>
      <c r="B86" s="105" t="s">
        <v>1032</v>
      </c>
      <c r="C86" s="106">
        <v>430</v>
      </c>
      <c r="D86" s="106">
        <f t="shared" si="1"/>
        <v>-5</v>
      </c>
      <c r="E86" s="106">
        <v>425</v>
      </c>
      <c r="F86" s="106">
        <v>425</v>
      </c>
    </row>
    <row r="87" spans="1:6" ht="45">
      <c r="A87" s="104" t="s">
        <v>208</v>
      </c>
      <c r="B87" s="105" t="s">
        <v>1033</v>
      </c>
      <c r="C87" s="106">
        <v>1050</v>
      </c>
      <c r="D87" s="106">
        <f t="shared" si="1"/>
        <v>190</v>
      </c>
      <c r="E87" s="106">
        <f>1050+190</f>
        <v>1240</v>
      </c>
      <c r="F87" s="106">
        <v>1240</v>
      </c>
    </row>
    <row r="88" spans="1:6" ht="75">
      <c r="A88" s="104" t="s">
        <v>209</v>
      </c>
      <c r="B88" s="105" t="s">
        <v>210</v>
      </c>
      <c r="C88" s="106">
        <f>C89</f>
        <v>0</v>
      </c>
      <c r="D88" s="106">
        <f>D89</f>
        <v>30</v>
      </c>
      <c r="E88" s="106">
        <f>E89</f>
        <v>30</v>
      </c>
      <c r="F88" s="106">
        <f>F89</f>
        <v>30</v>
      </c>
    </row>
    <row r="89" spans="1:6" ht="90">
      <c r="A89" s="104" t="s">
        <v>211</v>
      </c>
      <c r="B89" s="105" t="s">
        <v>1034</v>
      </c>
      <c r="C89" s="106">
        <v>0</v>
      </c>
      <c r="D89" s="106">
        <f t="shared" si="1"/>
        <v>30</v>
      </c>
      <c r="E89" s="106">
        <v>30</v>
      </c>
      <c r="F89" s="106">
        <v>30</v>
      </c>
    </row>
    <row r="90" spans="1:6" ht="45">
      <c r="A90" s="104" t="s">
        <v>212</v>
      </c>
      <c r="B90" s="105" t="s">
        <v>213</v>
      </c>
      <c r="C90" s="106">
        <f>C91</f>
        <v>750</v>
      </c>
      <c r="D90" s="106">
        <f t="shared" si="1"/>
        <v>20.49000000000001</v>
      </c>
      <c r="E90" s="106">
        <f>E91</f>
        <v>770.49</v>
      </c>
      <c r="F90" s="106">
        <f>F91</f>
        <v>770.49</v>
      </c>
    </row>
    <row r="91" spans="1:6" ht="60">
      <c r="A91" s="104" t="s">
        <v>214</v>
      </c>
      <c r="B91" s="105" t="s">
        <v>215</v>
      </c>
      <c r="C91" s="106">
        <v>750</v>
      </c>
      <c r="D91" s="106">
        <f t="shared" si="1"/>
        <v>20.49000000000001</v>
      </c>
      <c r="E91" s="106">
        <f>750+20.49</f>
        <v>770.49</v>
      </c>
      <c r="F91" s="106">
        <v>770.49</v>
      </c>
    </row>
    <row r="92" spans="1:6" ht="15" hidden="1">
      <c r="A92" s="104" t="s">
        <v>216</v>
      </c>
      <c r="B92" s="105" t="s">
        <v>217</v>
      </c>
      <c r="C92" s="106">
        <f>C93</f>
        <v>0</v>
      </c>
      <c r="D92" s="106">
        <f t="shared" si="1"/>
        <v>0</v>
      </c>
      <c r="E92" s="106">
        <f>E93</f>
        <v>0</v>
      </c>
      <c r="F92" s="106">
        <f>F93</f>
        <v>0</v>
      </c>
    </row>
    <row r="93" spans="1:6" ht="15" hidden="1">
      <c r="A93" s="104" t="s">
        <v>218</v>
      </c>
      <c r="B93" s="105" t="s">
        <v>219</v>
      </c>
      <c r="C93" s="106">
        <f>C94</f>
        <v>0</v>
      </c>
      <c r="D93" s="106">
        <f t="shared" si="1"/>
        <v>0</v>
      </c>
      <c r="E93" s="106">
        <f>E94</f>
        <v>0</v>
      </c>
      <c r="F93" s="106">
        <f>F94</f>
        <v>0</v>
      </c>
    </row>
    <row r="94" spans="1:6" ht="30" hidden="1">
      <c r="A94" s="104" t="s">
        <v>220</v>
      </c>
      <c r="B94" s="105" t="s">
        <v>1035</v>
      </c>
      <c r="C94" s="106">
        <v>0</v>
      </c>
      <c r="D94" s="106">
        <f t="shared" si="1"/>
        <v>0</v>
      </c>
      <c r="E94" s="106">
        <v>0</v>
      </c>
      <c r="F94" s="106">
        <v>0</v>
      </c>
    </row>
    <row r="95" spans="1:6" ht="15">
      <c r="A95" s="104" t="s">
        <v>221</v>
      </c>
      <c r="B95" s="105" t="s">
        <v>222</v>
      </c>
      <c r="C95" s="106">
        <f>C96+C187+C189</f>
        <v>304338.19999999995</v>
      </c>
      <c r="D95" s="106">
        <f t="shared" si="1"/>
        <v>-70008.59999999998</v>
      </c>
      <c r="E95" s="106">
        <f>E96+E187+E189</f>
        <v>234329.59999999998</v>
      </c>
      <c r="F95" s="106">
        <f>F96+F187+F189</f>
        <v>236422.59999999998</v>
      </c>
    </row>
    <row r="96" spans="1:8" ht="60">
      <c r="A96" s="104" t="s">
        <v>223</v>
      </c>
      <c r="B96" s="105" t="s">
        <v>224</v>
      </c>
      <c r="C96" s="106">
        <f>C97+C104+C127+C180</f>
        <v>304338.19999999995</v>
      </c>
      <c r="D96" s="106">
        <f t="shared" si="1"/>
        <v>-70008.59999999998</v>
      </c>
      <c r="E96" s="106">
        <f>E97+E104+E127+E180</f>
        <v>234329.59999999998</v>
      </c>
      <c r="F96" s="106">
        <f>F97+F104+F127+F180</f>
        <v>236422.59999999998</v>
      </c>
      <c r="G96" s="108"/>
      <c r="H96" s="108"/>
    </row>
    <row r="97" spans="1:8" ht="45">
      <c r="A97" s="104" t="s">
        <v>225</v>
      </c>
      <c r="B97" s="105" t="s">
        <v>226</v>
      </c>
      <c r="C97" s="106">
        <f>C98+C102</f>
        <v>102390.4</v>
      </c>
      <c r="D97" s="106">
        <f t="shared" si="1"/>
        <v>-27263.09999999999</v>
      </c>
      <c r="E97" s="106">
        <f>E98+E102</f>
        <v>75127.3</v>
      </c>
      <c r="F97" s="106">
        <f>F98+F102</f>
        <v>75127.3</v>
      </c>
      <c r="H97" s="108"/>
    </row>
    <row r="98" spans="1:6" ht="30">
      <c r="A98" s="104" t="s">
        <v>227</v>
      </c>
      <c r="B98" s="105" t="s">
        <v>228</v>
      </c>
      <c r="C98" s="106">
        <f>C99</f>
        <v>100483.5</v>
      </c>
      <c r="D98" s="106">
        <f t="shared" si="1"/>
        <v>-25356.199999999997</v>
      </c>
      <c r="E98" s="106">
        <f>E99</f>
        <v>75127.3</v>
      </c>
      <c r="F98" s="106">
        <f>F99</f>
        <v>75127.3</v>
      </c>
    </row>
    <row r="99" spans="1:6" ht="45">
      <c r="A99" s="104" t="s">
        <v>229</v>
      </c>
      <c r="B99" s="105" t="s">
        <v>1064</v>
      </c>
      <c r="C99" s="106">
        <f>SUM(C100:C101)</f>
        <v>100483.5</v>
      </c>
      <c r="D99" s="106">
        <f>SUM(D100:D101)</f>
        <v>-25356.200000000004</v>
      </c>
      <c r="E99" s="106">
        <f>SUM(E100:E101)</f>
        <v>75127.3</v>
      </c>
      <c r="F99" s="106">
        <f>SUM(F100:F101)</f>
        <v>75127.3</v>
      </c>
    </row>
    <row r="100" spans="1:6" ht="15" hidden="1">
      <c r="A100" s="109" t="s">
        <v>230</v>
      </c>
      <c r="B100" s="105"/>
      <c r="C100" s="106">
        <v>96214</v>
      </c>
      <c r="D100" s="106">
        <f t="shared" si="1"/>
        <v>-30969.800000000003</v>
      </c>
      <c r="E100" s="106">
        <v>65244.2</v>
      </c>
      <c r="F100" s="106">
        <v>65244.2</v>
      </c>
    </row>
    <row r="101" spans="1:6" ht="15" hidden="1">
      <c r="A101" s="109" t="s">
        <v>231</v>
      </c>
      <c r="B101" s="105"/>
      <c r="C101" s="106">
        <v>4269.5</v>
      </c>
      <c r="D101" s="106">
        <f t="shared" si="1"/>
        <v>5613.6</v>
      </c>
      <c r="E101" s="106">
        <v>9883.1</v>
      </c>
      <c r="F101" s="106">
        <v>9883.1</v>
      </c>
    </row>
    <row r="102" spans="1:6" ht="45">
      <c r="A102" s="104" t="s">
        <v>232</v>
      </c>
      <c r="B102" s="105" t="s">
        <v>233</v>
      </c>
      <c r="C102" s="106">
        <f>C103</f>
        <v>1906.9</v>
      </c>
      <c r="D102" s="106">
        <f t="shared" si="1"/>
        <v>-1906.9</v>
      </c>
      <c r="E102" s="106">
        <f>E103</f>
        <v>0</v>
      </c>
      <c r="F102" s="106">
        <f>F103</f>
        <v>0</v>
      </c>
    </row>
    <row r="103" spans="1:6" ht="60">
      <c r="A103" s="104" t="s">
        <v>234</v>
      </c>
      <c r="B103" s="105" t="s">
        <v>1037</v>
      </c>
      <c r="C103" s="106">
        <v>1906.9</v>
      </c>
      <c r="D103" s="106">
        <f t="shared" si="1"/>
        <v>-1906.9</v>
      </c>
      <c r="E103" s="106">
        <v>0</v>
      </c>
      <c r="F103" s="106">
        <v>0</v>
      </c>
    </row>
    <row r="104" spans="1:6" ht="60" customHeight="1">
      <c r="A104" s="104" t="s">
        <v>235</v>
      </c>
      <c r="B104" s="105" t="s">
        <v>236</v>
      </c>
      <c r="C104" s="106">
        <f>C105+C107+C109+C111+C113+C115+C117</f>
        <v>16145.199999999999</v>
      </c>
      <c r="D104" s="106">
        <f t="shared" si="1"/>
        <v>-14007.3</v>
      </c>
      <c r="E104" s="106">
        <f>E105+E107+E109+E111+E113+E115+E117</f>
        <v>2137.9</v>
      </c>
      <c r="F104" s="106">
        <f>F105+F107+F109+F111+F113+F115+F117</f>
        <v>2137.9</v>
      </c>
    </row>
    <row r="105" spans="1:6" ht="75" customHeight="1" hidden="1">
      <c r="A105" s="104" t="s">
        <v>237</v>
      </c>
      <c r="B105" s="105" t="s">
        <v>238</v>
      </c>
      <c r="C105" s="106">
        <f>C106</f>
        <v>0</v>
      </c>
      <c r="D105" s="106">
        <f t="shared" si="1"/>
        <v>0</v>
      </c>
      <c r="E105" s="106">
        <f>E106</f>
        <v>0</v>
      </c>
      <c r="F105" s="106">
        <f>F106</f>
        <v>0</v>
      </c>
    </row>
    <row r="106" spans="1:6" ht="105" customHeight="1" hidden="1">
      <c r="A106" s="104" t="s">
        <v>239</v>
      </c>
      <c r="B106" s="105" t="s">
        <v>240</v>
      </c>
      <c r="C106" s="106"/>
      <c r="D106" s="106">
        <f t="shared" si="1"/>
        <v>0</v>
      </c>
      <c r="E106" s="106"/>
      <c r="F106" s="106"/>
    </row>
    <row r="107" spans="1:6" ht="75" customHeight="1" hidden="1">
      <c r="A107" s="104" t="s">
        <v>241</v>
      </c>
      <c r="B107" s="105" t="s">
        <v>242</v>
      </c>
      <c r="C107" s="106">
        <f>C108</f>
        <v>0</v>
      </c>
      <c r="D107" s="106">
        <f t="shared" si="1"/>
        <v>0</v>
      </c>
      <c r="E107" s="106">
        <f>E108</f>
        <v>0</v>
      </c>
      <c r="F107" s="106">
        <f>F108</f>
        <v>0</v>
      </c>
    </row>
    <row r="108" spans="1:6" ht="60" customHeight="1" hidden="1">
      <c r="A108" s="104" t="s">
        <v>243</v>
      </c>
      <c r="B108" s="105" t="s">
        <v>244</v>
      </c>
      <c r="C108" s="106"/>
      <c r="D108" s="106">
        <f t="shared" si="1"/>
        <v>0</v>
      </c>
      <c r="E108" s="106"/>
      <c r="F108" s="106"/>
    </row>
    <row r="109" spans="1:6" ht="60" customHeight="1" hidden="1">
      <c r="A109" s="104" t="s">
        <v>245</v>
      </c>
      <c r="B109" s="105" t="s">
        <v>246</v>
      </c>
      <c r="C109" s="106">
        <f>C110</f>
        <v>0</v>
      </c>
      <c r="D109" s="106">
        <f t="shared" si="1"/>
        <v>0</v>
      </c>
      <c r="E109" s="106">
        <f>E110</f>
        <v>0</v>
      </c>
      <c r="F109" s="106">
        <f>F110</f>
        <v>0</v>
      </c>
    </row>
    <row r="110" spans="1:6" ht="60" customHeight="1" hidden="1">
      <c r="A110" s="104" t="s">
        <v>247</v>
      </c>
      <c r="B110" s="105" t="s">
        <v>248</v>
      </c>
      <c r="C110" s="106"/>
      <c r="D110" s="106">
        <f t="shared" si="1"/>
        <v>0</v>
      </c>
      <c r="E110" s="106"/>
      <c r="F110" s="106"/>
    </row>
    <row r="111" spans="1:6" ht="75" customHeight="1" hidden="1">
      <c r="A111" s="104" t="s">
        <v>249</v>
      </c>
      <c r="B111" s="105" t="s">
        <v>250</v>
      </c>
      <c r="C111" s="106">
        <f>C112</f>
        <v>0</v>
      </c>
      <c r="D111" s="106">
        <f t="shared" si="1"/>
        <v>0</v>
      </c>
      <c r="E111" s="106">
        <f>E112</f>
        <v>0</v>
      </c>
      <c r="F111" s="106">
        <f>F112</f>
        <v>0</v>
      </c>
    </row>
    <row r="112" spans="1:6" ht="75" customHeight="1" hidden="1">
      <c r="A112" s="104" t="s">
        <v>251</v>
      </c>
      <c r="B112" s="105" t="s">
        <v>252</v>
      </c>
      <c r="C112" s="106"/>
      <c r="D112" s="106">
        <f t="shared" si="1"/>
        <v>0</v>
      </c>
      <c r="E112" s="106"/>
      <c r="F112" s="106"/>
    </row>
    <row r="113" spans="1:6" ht="75" customHeight="1" hidden="1">
      <c r="A113" s="104" t="s">
        <v>253</v>
      </c>
      <c r="B113" s="105" t="s">
        <v>254</v>
      </c>
      <c r="C113" s="106">
        <f>C114</f>
        <v>0</v>
      </c>
      <c r="D113" s="106">
        <f t="shared" si="1"/>
        <v>0</v>
      </c>
      <c r="E113" s="106">
        <f>E114</f>
        <v>0</v>
      </c>
      <c r="F113" s="106">
        <f>F114</f>
        <v>0</v>
      </c>
    </row>
    <row r="114" spans="1:6" ht="45" customHeight="1" hidden="1">
      <c r="A114" s="104" t="s">
        <v>255</v>
      </c>
      <c r="B114" s="105" t="s">
        <v>256</v>
      </c>
      <c r="C114" s="106"/>
      <c r="D114" s="106">
        <f t="shared" si="1"/>
        <v>0</v>
      </c>
      <c r="E114" s="106"/>
      <c r="F114" s="106"/>
    </row>
    <row r="115" spans="1:6" ht="45" customHeight="1" hidden="1">
      <c r="A115" s="104" t="s">
        <v>257</v>
      </c>
      <c r="B115" s="105" t="s">
        <v>258</v>
      </c>
      <c r="C115" s="106">
        <f>C116</f>
        <v>0</v>
      </c>
      <c r="D115" s="106">
        <f t="shared" si="1"/>
        <v>0</v>
      </c>
      <c r="E115" s="106">
        <f>E116</f>
        <v>0</v>
      </c>
      <c r="F115" s="106">
        <f>F116</f>
        <v>0</v>
      </c>
    </row>
    <row r="116" spans="1:6" ht="45">
      <c r="A116" s="104" t="s">
        <v>259</v>
      </c>
      <c r="B116" s="105" t="s">
        <v>260</v>
      </c>
      <c r="C116" s="106"/>
      <c r="D116" s="106">
        <f t="shared" si="1"/>
        <v>0</v>
      </c>
      <c r="E116" s="106"/>
      <c r="F116" s="106"/>
    </row>
    <row r="117" spans="1:6" ht="15">
      <c r="A117" s="104" t="s">
        <v>261</v>
      </c>
      <c r="B117" s="105" t="s">
        <v>262</v>
      </c>
      <c r="C117" s="106">
        <f>C118</f>
        <v>16145.199999999999</v>
      </c>
      <c r="D117" s="106">
        <f t="shared" si="1"/>
        <v>-14007.3</v>
      </c>
      <c r="E117" s="106">
        <f>E118</f>
        <v>2137.9</v>
      </c>
      <c r="F117" s="106">
        <f>F118</f>
        <v>2137.9</v>
      </c>
    </row>
    <row r="118" spans="1:6" ht="30">
      <c r="A118" s="104" t="s">
        <v>263</v>
      </c>
      <c r="B118" s="105" t="s">
        <v>1043</v>
      </c>
      <c r="C118" s="106">
        <f>SUM(C119:C126)</f>
        <v>16145.199999999999</v>
      </c>
      <c r="D118" s="106">
        <f t="shared" si="1"/>
        <v>-14007.3</v>
      </c>
      <c r="E118" s="106">
        <f>SUM(E119:E126)</f>
        <v>2137.9</v>
      </c>
      <c r="F118" s="106">
        <f>SUM(F119:F126)</f>
        <v>2137.9</v>
      </c>
    </row>
    <row r="119" spans="1:6" ht="105" customHeight="1" hidden="1">
      <c r="A119" s="110" t="s">
        <v>264</v>
      </c>
      <c r="B119" s="111"/>
      <c r="C119" s="112">
        <v>5613.8</v>
      </c>
      <c r="D119" s="113">
        <f t="shared" si="1"/>
        <v>-5613.8</v>
      </c>
      <c r="E119" s="112">
        <v>0</v>
      </c>
      <c r="F119" s="112">
        <v>0</v>
      </c>
    </row>
    <row r="120" spans="1:6" ht="105" hidden="1">
      <c r="A120" s="110" t="s">
        <v>265</v>
      </c>
      <c r="B120" s="111"/>
      <c r="C120" s="112">
        <v>0</v>
      </c>
      <c r="D120" s="113">
        <f t="shared" si="1"/>
        <v>0</v>
      </c>
      <c r="E120" s="112">
        <v>0</v>
      </c>
      <c r="F120" s="112">
        <v>0</v>
      </c>
    </row>
    <row r="121" spans="1:6" ht="105" hidden="1">
      <c r="A121" s="110" t="s">
        <v>266</v>
      </c>
      <c r="B121" s="111"/>
      <c r="C121" s="112">
        <v>10000</v>
      </c>
      <c r="D121" s="113">
        <f t="shared" si="1"/>
        <v>-10000</v>
      </c>
      <c r="E121" s="112">
        <v>0</v>
      </c>
      <c r="F121" s="112">
        <v>0</v>
      </c>
    </row>
    <row r="122" spans="1:6" ht="75" hidden="1">
      <c r="A122" s="110" t="s">
        <v>267</v>
      </c>
      <c r="B122" s="111"/>
      <c r="C122" s="112">
        <v>487.9</v>
      </c>
      <c r="D122" s="113">
        <f t="shared" si="1"/>
        <v>-487.9</v>
      </c>
      <c r="E122" s="112">
        <v>0</v>
      </c>
      <c r="F122" s="112">
        <v>0</v>
      </c>
    </row>
    <row r="123" spans="1:6" ht="60" hidden="1">
      <c r="A123" s="110" t="s">
        <v>268</v>
      </c>
      <c r="B123" s="111"/>
      <c r="C123" s="112">
        <v>43.5</v>
      </c>
      <c r="D123" s="113">
        <f t="shared" si="1"/>
        <v>-43.5</v>
      </c>
      <c r="E123" s="112">
        <v>0</v>
      </c>
      <c r="F123" s="112">
        <v>0</v>
      </c>
    </row>
    <row r="124" spans="1:6" ht="75" customHeight="1" hidden="1">
      <c r="A124" s="110" t="s">
        <v>1065</v>
      </c>
      <c r="B124" s="111"/>
      <c r="C124" s="112"/>
      <c r="D124" s="113"/>
      <c r="E124" s="112">
        <v>1667.4</v>
      </c>
      <c r="F124" s="112">
        <v>1667.4</v>
      </c>
    </row>
    <row r="125" spans="1:6" ht="105" hidden="1">
      <c r="A125" s="114" t="s">
        <v>269</v>
      </c>
      <c r="B125" s="111"/>
      <c r="C125" s="113"/>
      <c r="D125" s="113">
        <f t="shared" si="1"/>
        <v>433.7</v>
      </c>
      <c r="E125" s="113">
        <v>433.7</v>
      </c>
      <c r="F125" s="113">
        <v>433.7</v>
      </c>
    </row>
    <row r="126" spans="1:6" ht="75" hidden="1">
      <c r="A126" s="114" t="s">
        <v>270</v>
      </c>
      <c r="B126" s="111"/>
      <c r="C126" s="113"/>
      <c r="D126" s="113">
        <f t="shared" si="1"/>
        <v>36.8</v>
      </c>
      <c r="E126" s="113">
        <v>36.8</v>
      </c>
      <c r="F126" s="113">
        <v>36.8</v>
      </c>
    </row>
    <row r="127" spans="1:6" ht="45">
      <c r="A127" s="104" t="s">
        <v>271</v>
      </c>
      <c r="B127" s="105" t="s">
        <v>272</v>
      </c>
      <c r="C127" s="106">
        <f>C128+C130+C132+C136+C138+C140+C142+C144+C166+C168+C170+C172+C174+C176+C178+C134</f>
        <v>185802.59999999998</v>
      </c>
      <c r="D127" s="106">
        <f t="shared" si="1"/>
        <v>-28738.199999999983</v>
      </c>
      <c r="E127" s="106">
        <f>E128+E130+E132+E136+E138+E140+E142+E144+E166+E168+E170+E172+E174+E176+E178+E134</f>
        <v>157064.4</v>
      </c>
      <c r="F127" s="106">
        <f>F128+F130+F132+F136+F138+F140+F142+F144+F166+F168+F170+F172+F174+F176+F178+F134</f>
        <v>159157.4</v>
      </c>
    </row>
    <row r="128" spans="1:6" ht="45" customHeight="1" hidden="1">
      <c r="A128" s="104" t="s">
        <v>273</v>
      </c>
      <c r="B128" s="105" t="s">
        <v>274</v>
      </c>
      <c r="C128" s="106">
        <f>C129</f>
        <v>12484.9</v>
      </c>
      <c r="D128" s="106">
        <f t="shared" si="1"/>
        <v>-12484.9</v>
      </c>
      <c r="E128" s="106">
        <f>E129</f>
        <v>0</v>
      </c>
      <c r="F128" s="106">
        <f>F129</f>
        <v>0</v>
      </c>
    </row>
    <row r="129" spans="1:6" ht="60" customHeight="1" hidden="1">
      <c r="A129" s="104" t="s">
        <v>275</v>
      </c>
      <c r="B129" s="105" t="s">
        <v>1044</v>
      </c>
      <c r="C129" s="106">
        <v>12484.9</v>
      </c>
      <c r="D129" s="106">
        <f t="shared" si="1"/>
        <v>-12484.9</v>
      </c>
      <c r="E129" s="106">
        <v>0</v>
      </c>
      <c r="F129" s="106">
        <v>0</v>
      </c>
    </row>
    <row r="130" spans="1:6" ht="45" hidden="1">
      <c r="A130" s="104" t="s">
        <v>276</v>
      </c>
      <c r="B130" s="105" t="s">
        <v>277</v>
      </c>
      <c r="C130" s="106">
        <f>C131</f>
        <v>0</v>
      </c>
      <c r="D130" s="106">
        <f t="shared" si="1"/>
        <v>0</v>
      </c>
      <c r="E130" s="106">
        <f>E131</f>
        <v>0</v>
      </c>
      <c r="F130" s="106">
        <f>F131</f>
        <v>0</v>
      </c>
    </row>
    <row r="131" spans="1:6" ht="60" hidden="1">
      <c r="A131" s="104" t="s">
        <v>278</v>
      </c>
      <c r="B131" s="105" t="s">
        <v>279</v>
      </c>
      <c r="C131" s="106"/>
      <c r="D131" s="106">
        <f t="shared" si="1"/>
        <v>0</v>
      </c>
      <c r="E131" s="106"/>
      <c r="F131" s="106"/>
    </row>
    <row r="132" spans="1:6" ht="75" customHeight="1" hidden="1">
      <c r="A132" s="104" t="s">
        <v>280</v>
      </c>
      <c r="B132" s="105" t="s">
        <v>281</v>
      </c>
      <c r="C132" s="106">
        <f>C133</f>
        <v>134</v>
      </c>
      <c r="D132" s="106">
        <f t="shared" si="1"/>
        <v>-134</v>
      </c>
      <c r="E132" s="106">
        <f>E133</f>
        <v>0</v>
      </c>
      <c r="F132" s="106">
        <f>F133</f>
        <v>0</v>
      </c>
    </row>
    <row r="133" spans="1:6" ht="90" customHeight="1" hidden="1">
      <c r="A133" s="104" t="s">
        <v>282</v>
      </c>
      <c r="B133" s="105" t="s">
        <v>1045</v>
      </c>
      <c r="C133" s="106">
        <v>134</v>
      </c>
      <c r="D133" s="106">
        <f t="shared" si="1"/>
        <v>-134</v>
      </c>
      <c r="E133" s="106">
        <v>0</v>
      </c>
      <c r="F133" s="106">
        <v>0</v>
      </c>
    </row>
    <row r="134" spans="1:6" ht="75" hidden="1">
      <c r="A134" s="104" t="s">
        <v>283</v>
      </c>
      <c r="B134" s="105" t="s">
        <v>284</v>
      </c>
      <c r="C134" s="104">
        <f>SUM(C135)</f>
        <v>0</v>
      </c>
      <c r="D134" s="106">
        <f t="shared" si="1"/>
        <v>0</v>
      </c>
      <c r="E134" s="104">
        <f>SUM(E135)</f>
        <v>0</v>
      </c>
      <c r="F134" s="104">
        <f>SUM(F135)</f>
        <v>0</v>
      </c>
    </row>
    <row r="135" spans="1:6" ht="90" hidden="1">
      <c r="A135" s="104" t="s">
        <v>285</v>
      </c>
      <c r="B135" s="105" t="s">
        <v>286</v>
      </c>
      <c r="C135" s="104">
        <v>0</v>
      </c>
      <c r="D135" s="106">
        <f t="shared" si="1"/>
        <v>0</v>
      </c>
      <c r="E135" s="104">
        <v>0</v>
      </c>
      <c r="F135" s="104">
        <v>0</v>
      </c>
    </row>
    <row r="136" spans="1:6" ht="90">
      <c r="A136" s="104" t="s">
        <v>287</v>
      </c>
      <c r="B136" s="105" t="s">
        <v>288</v>
      </c>
      <c r="C136" s="106">
        <f>C137</f>
        <v>256</v>
      </c>
      <c r="D136" s="106">
        <f t="shared" si="1"/>
        <v>-256</v>
      </c>
      <c r="E136" s="106">
        <f>E137</f>
        <v>0</v>
      </c>
      <c r="F136" s="106">
        <f>F137</f>
        <v>0</v>
      </c>
    </row>
    <row r="137" spans="1:6" ht="75">
      <c r="A137" s="104" t="s">
        <v>289</v>
      </c>
      <c r="B137" s="105" t="s">
        <v>1047</v>
      </c>
      <c r="C137" s="106">
        <v>256</v>
      </c>
      <c r="D137" s="106">
        <f t="shared" si="1"/>
        <v>-256</v>
      </c>
      <c r="E137" s="106">
        <v>0</v>
      </c>
      <c r="F137" s="106">
        <v>0</v>
      </c>
    </row>
    <row r="138" spans="1:6" ht="45" customHeight="1">
      <c r="A138" s="104" t="s">
        <v>290</v>
      </c>
      <c r="B138" s="105" t="s">
        <v>291</v>
      </c>
      <c r="C138" s="106">
        <f>C139</f>
        <v>526.6</v>
      </c>
      <c r="D138" s="106">
        <f t="shared" si="1"/>
        <v>38</v>
      </c>
      <c r="E138" s="106">
        <f>E139</f>
        <v>564.6</v>
      </c>
      <c r="F138" s="106">
        <f>F139</f>
        <v>581.2</v>
      </c>
    </row>
    <row r="139" spans="1:6" ht="45" customHeight="1">
      <c r="A139" s="104" t="s">
        <v>292</v>
      </c>
      <c r="B139" s="105" t="s">
        <v>1048</v>
      </c>
      <c r="C139" s="106">
        <v>526.6</v>
      </c>
      <c r="D139" s="106">
        <f t="shared" si="1"/>
        <v>38</v>
      </c>
      <c r="E139" s="106">
        <v>564.6</v>
      </c>
      <c r="F139" s="106">
        <v>581.2</v>
      </c>
    </row>
    <row r="140" spans="1:6" ht="45" hidden="1">
      <c r="A140" s="104" t="s">
        <v>293</v>
      </c>
      <c r="B140" s="105" t="s">
        <v>294</v>
      </c>
      <c r="C140" s="106">
        <f>C141</f>
        <v>0</v>
      </c>
      <c r="D140" s="106">
        <f t="shared" si="1"/>
        <v>0</v>
      </c>
      <c r="E140" s="106">
        <f>E141</f>
        <v>0</v>
      </c>
      <c r="F140" s="106">
        <f>F141</f>
        <v>0</v>
      </c>
    </row>
    <row r="141" spans="1:6" ht="45" hidden="1">
      <c r="A141" s="104" t="s">
        <v>295</v>
      </c>
      <c r="B141" s="105" t="s">
        <v>296</v>
      </c>
      <c r="C141" s="106"/>
      <c r="D141" s="106">
        <f t="shared" si="1"/>
        <v>0</v>
      </c>
      <c r="E141" s="106"/>
      <c r="F141" s="106"/>
    </row>
    <row r="142" spans="1:6" ht="60">
      <c r="A142" s="104" t="s">
        <v>297</v>
      </c>
      <c r="B142" s="105" t="s">
        <v>298</v>
      </c>
      <c r="C142" s="106">
        <f>C143</f>
        <v>10053.8</v>
      </c>
      <c r="D142" s="106">
        <f t="shared" si="1"/>
        <v>-10053.8</v>
      </c>
      <c r="E142" s="106">
        <f>E143</f>
        <v>0</v>
      </c>
      <c r="F142" s="106">
        <f>F143</f>
        <v>0</v>
      </c>
    </row>
    <row r="143" spans="1:6" ht="60">
      <c r="A143" s="104" t="s">
        <v>299</v>
      </c>
      <c r="B143" s="105" t="s">
        <v>1049</v>
      </c>
      <c r="C143" s="106">
        <v>10053.8</v>
      </c>
      <c r="D143" s="106">
        <f t="shared" si="1"/>
        <v>-10053.8</v>
      </c>
      <c r="E143" s="106">
        <v>0</v>
      </c>
      <c r="F143" s="106">
        <v>0</v>
      </c>
    </row>
    <row r="144" spans="1:6" ht="45">
      <c r="A144" s="104" t="s">
        <v>300</v>
      </c>
      <c r="B144" s="105" t="s">
        <v>301</v>
      </c>
      <c r="C144" s="106">
        <f>C145</f>
        <v>142235.59999999998</v>
      </c>
      <c r="D144" s="106">
        <f t="shared" si="1"/>
        <v>-3891.899999999994</v>
      </c>
      <c r="E144" s="106">
        <f>E145</f>
        <v>138343.69999999998</v>
      </c>
      <c r="F144" s="106">
        <f>F145</f>
        <v>140420.09999999998</v>
      </c>
    </row>
    <row r="145" spans="1:6" ht="60">
      <c r="A145" s="104" t="s">
        <v>302</v>
      </c>
      <c r="B145" s="105" t="s">
        <v>1050</v>
      </c>
      <c r="C145" s="106">
        <f>SUM(C146:C165)</f>
        <v>142235.59999999998</v>
      </c>
      <c r="D145" s="106">
        <f aca="true" t="shared" si="2" ref="D145:D190">E145-C145</f>
        <v>-3891.899999999994</v>
      </c>
      <c r="E145" s="106">
        <f>SUM(E146:E165)</f>
        <v>138343.69999999998</v>
      </c>
      <c r="F145" s="106">
        <f>SUM(F146:F165)</f>
        <v>140420.09999999998</v>
      </c>
    </row>
    <row r="146" spans="1:6" s="117" customFormat="1" ht="75" hidden="1">
      <c r="A146" s="115" t="s">
        <v>303</v>
      </c>
      <c r="B146" s="111"/>
      <c r="C146" s="116">
        <v>475</v>
      </c>
      <c r="D146" s="116">
        <f t="shared" si="2"/>
        <v>4</v>
      </c>
      <c r="E146" s="116">
        <v>479</v>
      </c>
      <c r="F146" s="116">
        <v>479</v>
      </c>
    </row>
    <row r="147" spans="1:6" s="117" customFormat="1" ht="135" hidden="1">
      <c r="A147" s="115" t="s">
        <v>304</v>
      </c>
      <c r="B147" s="111"/>
      <c r="C147" s="116">
        <v>599</v>
      </c>
      <c r="D147" s="116">
        <f t="shared" si="2"/>
        <v>6</v>
      </c>
      <c r="E147" s="116">
        <v>605</v>
      </c>
      <c r="F147" s="116">
        <v>605</v>
      </c>
    </row>
    <row r="148" spans="1:6" s="117" customFormat="1" ht="150" hidden="1">
      <c r="A148" s="115" t="s">
        <v>305</v>
      </c>
      <c r="B148" s="111"/>
      <c r="C148" s="116">
        <v>8194.1</v>
      </c>
      <c r="D148" s="116">
        <f t="shared" si="2"/>
        <v>-8194.1</v>
      </c>
      <c r="E148" s="116">
        <v>0</v>
      </c>
      <c r="F148" s="116"/>
    </row>
    <row r="149" spans="1:6" s="117" customFormat="1" ht="60" hidden="1">
      <c r="A149" s="115" t="s">
        <v>306</v>
      </c>
      <c r="B149" s="111"/>
      <c r="C149" s="116">
        <v>0.5</v>
      </c>
      <c r="D149" s="116">
        <f t="shared" si="2"/>
        <v>0</v>
      </c>
      <c r="E149" s="116">
        <v>0.5</v>
      </c>
      <c r="F149" s="116">
        <v>0.5</v>
      </c>
    </row>
    <row r="150" spans="1:6" s="117" customFormat="1" ht="105" customHeight="1" hidden="1">
      <c r="A150" s="115" t="s">
        <v>307</v>
      </c>
      <c r="B150" s="111"/>
      <c r="C150" s="116">
        <v>105221.7</v>
      </c>
      <c r="D150" s="116">
        <f t="shared" si="2"/>
        <v>31130.300000000003</v>
      </c>
      <c r="E150" s="116">
        <v>136352</v>
      </c>
      <c r="F150" s="116">
        <v>138428.4</v>
      </c>
    </row>
    <row r="151" spans="1:6" s="117" customFormat="1" ht="120" hidden="1">
      <c r="A151" s="115" t="s">
        <v>308</v>
      </c>
      <c r="B151" s="111"/>
      <c r="C151" s="116">
        <v>685</v>
      </c>
      <c r="D151" s="116">
        <f t="shared" si="2"/>
        <v>-19.200000000000045</v>
      </c>
      <c r="E151" s="116">
        <v>665.8</v>
      </c>
      <c r="F151" s="116">
        <v>665.8</v>
      </c>
    </row>
    <row r="152" spans="1:6" s="117" customFormat="1" ht="105" hidden="1">
      <c r="A152" s="115" t="s">
        <v>309</v>
      </c>
      <c r="B152" s="111"/>
      <c r="C152" s="116"/>
      <c r="D152" s="116">
        <f t="shared" si="2"/>
        <v>0</v>
      </c>
      <c r="E152" s="116"/>
      <c r="F152" s="116"/>
    </row>
    <row r="153" spans="1:6" s="117" customFormat="1" ht="45" hidden="1">
      <c r="A153" s="115" t="s">
        <v>310</v>
      </c>
      <c r="B153" s="111"/>
      <c r="C153" s="116">
        <v>327</v>
      </c>
      <c r="D153" s="116">
        <f t="shared" si="2"/>
        <v>-327</v>
      </c>
      <c r="E153" s="116">
        <v>0</v>
      </c>
      <c r="F153" s="116"/>
    </row>
    <row r="154" spans="1:6" s="117" customFormat="1" ht="45" hidden="1">
      <c r="A154" s="115" t="s">
        <v>311</v>
      </c>
      <c r="B154" s="111"/>
      <c r="C154" s="116">
        <v>1096</v>
      </c>
      <c r="D154" s="116">
        <f t="shared" si="2"/>
        <v>-1096</v>
      </c>
      <c r="E154" s="116">
        <v>0</v>
      </c>
      <c r="F154" s="116"/>
    </row>
    <row r="155" spans="1:6" s="117" customFormat="1" ht="75" hidden="1">
      <c r="A155" s="115" t="s">
        <v>312</v>
      </c>
      <c r="B155" s="111"/>
      <c r="C155" s="116">
        <v>8846</v>
      </c>
      <c r="D155" s="116">
        <f t="shared" si="2"/>
        <v>-8846</v>
      </c>
      <c r="E155" s="116">
        <v>0</v>
      </c>
      <c r="F155" s="116"/>
    </row>
    <row r="156" spans="1:6" s="117" customFormat="1" ht="45" hidden="1">
      <c r="A156" s="115" t="s">
        <v>313</v>
      </c>
      <c r="B156" s="111"/>
      <c r="C156" s="116">
        <v>4350</v>
      </c>
      <c r="D156" s="116">
        <f t="shared" si="2"/>
        <v>-4350</v>
      </c>
      <c r="E156" s="116">
        <v>0</v>
      </c>
      <c r="F156" s="116"/>
    </row>
    <row r="157" spans="1:6" s="117" customFormat="1" ht="45" hidden="1">
      <c r="A157" s="115" t="s">
        <v>314</v>
      </c>
      <c r="B157" s="111"/>
      <c r="C157" s="116">
        <v>7085</v>
      </c>
      <c r="D157" s="116">
        <f t="shared" si="2"/>
        <v>-7085</v>
      </c>
      <c r="E157" s="116">
        <v>0</v>
      </c>
      <c r="F157" s="116"/>
    </row>
    <row r="158" spans="1:6" s="117" customFormat="1" ht="45" hidden="1">
      <c r="A158" s="115" t="s">
        <v>315</v>
      </c>
      <c r="B158" s="111"/>
      <c r="C158" s="116">
        <v>3762</v>
      </c>
      <c r="D158" s="116">
        <f t="shared" si="2"/>
        <v>-3762</v>
      </c>
      <c r="E158" s="116">
        <v>0</v>
      </c>
      <c r="F158" s="116"/>
    </row>
    <row r="159" spans="1:6" s="117" customFormat="1" ht="60" hidden="1">
      <c r="A159" s="115" t="s">
        <v>316</v>
      </c>
      <c r="B159" s="111"/>
      <c r="C159" s="116">
        <v>54.3</v>
      </c>
      <c r="D159" s="116">
        <f t="shared" si="2"/>
        <v>0</v>
      </c>
      <c r="E159" s="116">
        <v>54.3</v>
      </c>
      <c r="F159" s="116">
        <v>54.3</v>
      </c>
    </row>
    <row r="160" spans="1:6" s="117" customFormat="1" ht="165" customHeight="1" hidden="1">
      <c r="A160" s="115" t="s">
        <v>317</v>
      </c>
      <c r="B160" s="111"/>
      <c r="C160" s="116">
        <v>1540</v>
      </c>
      <c r="D160" s="116">
        <f t="shared" si="2"/>
        <v>-1540</v>
      </c>
      <c r="E160" s="116">
        <v>0</v>
      </c>
      <c r="F160" s="116"/>
    </row>
    <row r="161" spans="1:6" s="117" customFormat="1" ht="15" customHeight="1" hidden="1">
      <c r="A161" s="115" t="s">
        <v>318</v>
      </c>
      <c r="B161" s="111"/>
      <c r="C161" s="113"/>
      <c r="D161" s="113">
        <f t="shared" si="2"/>
        <v>0</v>
      </c>
      <c r="E161" s="113"/>
      <c r="F161" s="113"/>
    </row>
    <row r="162" spans="1:6" s="117" customFormat="1" ht="15" customHeight="1" hidden="1">
      <c r="A162" s="115" t="s">
        <v>319</v>
      </c>
      <c r="B162" s="111"/>
      <c r="C162" s="113"/>
      <c r="D162" s="113">
        <f t="shared" si="2"/>
        <v>187.1</v>
      </c>
      <c r="E162" s="113">
        <v>187.1</v>
      </c>
      <c r="F162" s="113">
        <v>187.1</v>
      </c>
    </row>
    <row r="163" spans="1:6" ht="15" customHeight="1" hidden="1">
      <c r="A163" s="104"/>
      <c r="B163" s="105"/>
      <c r="C163" s="118"/>
      <c r="D163" s="106">
        <f t="shared" si="2"/>
        <v>0</v>
      </c>
      <c r="E163" s="118"/>
      <c r="F163" s="118"/>
    </row>
    <row r="164" spans="1:6" ht="15" hidden="1">
      <c r="A164" s="104"/>
      <c r="B164" s="105"/>
      <c r="C164" s="118"/>
      <c r="D164" s="106">
        <f t="shared" si="2"/>
        <v>0</v>
      </c>
      <c r="E164" s="118"/>
      <c r="F164" s="118"/>
    </row>
    <row r="165" spans="1:6" ht="15" hidden="1">
      <c r="A165" s="104"/>
      <c r="B165" s="105"/>
      <c r="C165" s="118"/>
      <c r="D165" s="106">
        <f t="shared" si="2"/>
        <v>0</v>
      </c>
      <c r="E165" s="118"/>
      <c r="F165" s="118"/>
    </row>
    <row r="166" spans="1:6" ht="105">
      <c r="A166" s="104" t="s">
        <v>320</v>
      </c>
      <c r="B166" s="105" t="s">
        <v>321</v>
      </c>
      <c r="C166" s="106">
        <f>C167</f>
        <v>5988</v>
      </c>
      <c r="D166" s="106">
        <f t="shared" si="2"/>
        <v>-2556</v>
      </c>
      <c r="E166" s="106">
        <f>E167</f>
        <v>3432</v>
      </c>
      <c r="F166" s="106">
        <f>F167</f>
        <v>3432</v>
      </c>
    </row>
    <row r="167" spans="1:6" ht="105">
      <c r="A167" s="104" t="s">
        <v>322</v>
      </c>
      <c r="B167" s="105" t="s">
        <v>1051</v>
      </c>
      <c r="C167" s="106">
        <v>5988</v>
      </c>
      <c r="D167" s="106">
        <f t="shared" si="2"/>
        <v>-2556</v>
      </c>
      <c r="E167" s="106">
        <v>3432</v>
      </c>
      <c r="F167" s="106">
        <v>3432</v>
      </c>
    </row>
    <row r="168" spans="1:6" ht="75">
      <c r="A168" s="104" t="s">
        <v>323</v>
      </c>
      <c r="B168" s="105" t="s">
        <v>324</v>
      </c>
      <c r="C168" s="106">
        <f>C169</f>
        <v>10078.6</v>
      </c>
      <c r="D168" s="106">
        <f t="shared" si="2"/>
        <v>2714.8999999999996</v>
      </c>
      <c r="E168" s="106">
        <f>E169</f>
        <v>12793.5</v>
      </c>
      <c r="F168" s="106">
        <f>F169</f>
        <v>12793.5</v>
      </c>
    </row>
    <row r="169" spans="1:6" ht="75">
      <c r="A169" s="104" t="s">
        <v>325</v>
      </c>
      <c r="B169" s="105" t="s">
        <v>1052</v>
      </c>
      <c r="C169" s="106">
        <v>10078.6</v>
      </c>
      <c r="D169" s="106">
        <f t="shared" si="2"/>
        <v>2714.8999999999996</v>
      </c>
      <c r="E169" s="106">
        <v>12793.5</v>
      </c>
      <c r="F169" s="106">
        <v>12793.5</v>
      </c>
    </row>
    <row r="170" spans="1:6" ht="120">
      <c r="A170" s="104" t="s">
        <v>326</v>
      </c>
      <c r="B170" s="105" t="s">
        <v>327</v>
      </c>
      <c r="C170" s="106">
        <f>C171</f>
        <v>2346.1</v>
      </c>
      <c r="D170" s="106">
        <f t="shared" si="2"/>
        <v>-973.5</v>
      </c>
      <c r="E170" s="106">
        <f>E171</f>
        <v>1372.6</v>
      </c>
      <c r="F170" s="106">
        <f>F171</f>
        <v>1372.6</v>
      </c>
    </row>
    <row r="171" spans="1:6" ht="120">
      <c r="A171" s="104" t="s">
        <v>328</v>
      </c>
      <c r="B171" s="105" t="s">
        <v>1053</v>
      </c>
      <c r="C171" s="106">
        <v>2346.1</v>
      </c>
      <c r="D171" s="106">
        <f t="shared" si="2"/>
        <v>-973.5</v>
      </c>
      <c r="E171" s="106">
        <v>1372.6</v>
      </c>
      <c r="F171" s="106">
        <v>1372.6</v>
      </c>
    </row>
    <row r="172" spans="1:6" ht="90" customHeight="1" hidden="1">
      <c r="A172" s="104" t="s">
        <v>329</v>
      </c>
      <c r="B172" s="105" t="s">
        <v>330</v>
      </c>
      <c r="C172" s="106">
        <f>C173</f>
        <v>1699</v>
      </c>
      <c r="D172" s="106">
        <f t="shared" si="2"/>
        <v>-1699</v>
      </c>
      <c r="E172" s="106">
        <f>E173</f>
        <v>0</v>
      </c>
      <c r="F172" s="106">
        <f>F173</f>
        <v>0</v>
      </c>
    </row>
    <row r="173" spans="1:6" ht="90" customHeight="1" hidden="1">
      <c r="A173" s="104" t="s">
        <v>331</v>
      </c>
      <c r="B173" s="105" t="s">
        <v>1054</v>
      </c>
      <c r="C173" s="106">
        <v>1699</v>
      </c>
      <c r="D173" s="106">
        <f t="shared" si="2"/>
        <v>-1699</v>
      </c>
      <c r="E173" s="106">
        <v>0</v>
      </c>
      <c r="F173" s="106">
        <v>0</v>
      </c>
    </row>
    <row r="174" spans="1:6" ht="135" customHeight="1" hidden="1">
      <c r="A174" s="104" t="s">
        <v>332</v>
      </c>
      <c r="B174" s="105" t="s">
        <v>333</v>
      </c>
      <c r="C174" s="106">
        <f>C175</f>
        <v>0</v>
      </c>
      <c r="D174" s="106">
        <f t="shared" si="2"/>
        <v>0</v>
      </c>
      <c r="E174" s="106">
        <f>E175</f>
        <v>0</v>
      </c>
      <c r="F174" s="106">
        <f>F175</f>
        <v>0</v>
      </c>
    </row>
    <row r="175" spans="1:6" ht="150" customHeight="1" hidden="1">
      <c r="A175" s="104" t="s">
        <v>334</v>
      </c>
      <c r="B175" s="105" t="s">
        <v>335</v>
      </c>
      <c r="C175" s="106">
        <v>0</v>
      </c>
      <c r="D175" s="106">
        <f t="shared" si="2"/>
        <v>0</v>
      </c>
      <c r="E175" s="106">
        <v>0</v>
      </c>
      <c r="F175" s="106">
        <v>0</v>
      </c>
    </row>
    <row r="176" spans="1:6" ht="105" customHeight="1" hidden="1">
      <c r="A176" s="104" t="s">
        <v>336</v>
      </c>
      <c r="B176" s="105" t="s">
        <v>337</v>
      </c>
      <c r="C176" s="106">
        <f>C177</f>
        <v>0</v>
      </c>
      <c r="D176" s="106">
        <f t="shared" si="2"/>
        <v>0</v>
      </c>
      <c r="E176" s="106">
        <f>E177</f>
        <v>0</v>
      </c>
      <c r="F176" s="106">
        <f>F177</f>
        <v>0</v>
      </c>
    </row>
    <row r="177" spans="1:6" ht="120" customHeight="1" hidden="1">
      <c r="A177" s="104" t="s">
        <v>338</v>
      </c>
      <c r="B177" s="105" t="s">
        <v>339</v>
      </c>
      <c r="C177" s="106"/>
      <c r="D177" s="106">
        <f t="shared" si="2"/>
        <v>0</v>
      </c>
      <c r="E177" s="106"/>
      <c r="F177" s="106"/>
    </row>
    <row r="178" spans="1:6" ht="15" customHeight="1" hidden="1">
      <c r="A178" s="104" t="s">
        <v>340</v>
      </c>
      <c r="B178" s="105" t="s">
        <v>341</v>
      </c>
      <c r="C178" s="106">
        <f>C179</f>
        <v>0</v>
      </c>
      <c r="D178" s="106">
        <f t="shared" si="2"/>
        <v>558</v>
      </c>
      <c r="E178" s="106">
        <f>E179</f>
        <v>558</v>
      </c>
      <c r="F178" s="106">
        <f>F179</f>
        <v>558</v>
      </c>
    </row>
    <row r="179" spans="1:6" ht="75" customHeight="1" hidden="1">
      <c r="A179" s="104" t="s">
        <v>342</v>
      </c>
      <c r="B179" s="105" t="s">
        <v>343</v>
      </c>
      <c r="C179" s="106"/>
      <c r="D179" s="106">
        <f t="shared" si="2"/>
        <v>558</v>
      </c>
      <c r="E179" s="106">
        <v>558</v>
      </c>
      <c r="F179" s="106">
        <v>558</v>
      </c>
    </row>
    <row r="180" spans="1:6" ht="90" customHeight="1" hidden="1">
      <c r="A180" s="104" t="s">
        <v>344</v>
      </c>
      <c r="B180" s="105" t="s">
        <v>345</v>
      </c>
      <c r="C180" s="106">
        <f>C181+C183+C185</f>
        <v>0</v>
      </c>
      <c r="D180" s="106">
        <f t="shared" si="2"/>
        <v>0</v>
      </c>
      <c r="E180" s="106">
        <f>E181+E183+E185</f>
        <v>0</v>
      </c>
      <c r="F180" s="106">
        <f>F181+F183+F185</f>
        <v>0</v>
      </c>
    </row>
    <row r="181" spans="1:6" ht="45" customHeight="1" hidden="1">
      <c r="A181" s="104" t="s">
        <v>346</v>
      </c>
      <c r="B181" s="105" t="s">
        <v>347</v>
      </c>
      <c r="C181" s="106">
        <f>C182</f>
        <v>0</v>
      </c>
      <c r="D181" s="106">
        <f t="shared" si="2"/>
        <v>0</v>
      </c>
      <c r="E181" s="106">
        <f>E182</f>
        <v>0</v>
      </c>
      <c r="F181" s="106">
        <f>F182</f>
        <v>0</v>
      </c>
    </row>
    <row r="182" spans="1:6" ht="135" customHeight="1" hidden="1">
      <c r="A182" s="104" t="s">
        <v>348</v>
      </c>
      <c r="B182" s="105" t="s">
        <v>349</v>
      </c>
      <c r="C182" s="106"/>
      <c r="D182" s="106">
        <f t="shared" si="2"/>
        <v>0</v>
      </c>
      <c r="E182" s="106"/>
      <c r="F182" s="106"/>
    </row>
    <row r="183" spans="1:6" ht="30" customHeight="1" hidden="1">
      <c r="A183" s="104" t="s">
        <v>350</v>
      </c>
      <c r="B183" s="105" t="s">
        <v>351</v>
      </c>
      <c r="C183" s="106">
        <f>C184</f>
        <v>0</v>
      </c>
      <c r="D183" s="106">
        <f t="shared" si="2"/>
        <v>0</v>
      </c>
      <c r="E183" s="106">
        <f>E184</f>
        <v>0</v>
      </c>
      <c r="F183" s="106">
        <f>F184</f>
        <v>0</v>
      </c>
    </row>
    <row r="184" spans="1:6" ht="45" customHeight="1" hidden="1">
      <c r="A184" s="104" t="s">
        <v>352</v>
      </c>
      <c r="B184" s="105" t="s">
        <v>353</v>
      </c>
      <c r="C184" s="106"/>
      <c r="D184" s="106">
        <f t="shared" si="2"/>
        <v>0</v>
      </c>
      <c r="E184" s="106"/>
      <c r="F184" s="106"/>
    </row>
    <row r="185" spans="1:6" ht="75" customHeight="1" hidden="1">
      <c r="A185" s="104" t="s">
        <v>354</v>
      </c>
      <c r="B185" s="105" t="s">
        <v>355</v>
      </c>
      <c r="C185" s="106">
        <f>C186</f>
        <v>0</v>
      </c>
      <c r="D185" s="106">
        <f t="shared" si="2"/>
        <v>0</v>
      </c>
      <c r="E185" s="106">
        <f>E186</f>
        <v>0</v>
      </c>
      <c r="F185" s="106">
        <f>F186</f>
        <v>0</v>
      </c>
    </row>
    <row r="186" spans="1:6" ht="90" customHeight="1" hidden="1">
      <c r="A186" s="104" t="s">
        <v>356</v>
      </c>
      <c r="B186" s="105" t="s">
        <v>357</v>
      </c>
      <c r="C186" s="106"/>
      <c r="D186" s="106">
        <f t="shared" si="2"/>
        <v>0</v>
      </c>
      <c r="E186" s="106"/>
      <c r="F186" s="106"/>
    </row>
    <row r="187" spans="1:6" ht="75" customHeight="1" hidden="1">
      <c r="A187" s="104" t="s">
        <v>358</v>
      </c>
      <c r="B187" s="105" t="s">
        <v>359</v>
      </c>
      <c r="C187" s="106">
        <f>C188</f>
        <v>0</v>
      </c>
      <c r="D187" s="106">
        <f t="shared" si="2"/>
        <v>0</v>
      </c>
      <c r="E187" s="106">
        <f>E188</f>
        <v>0</v>
      </c>
      <c r="F187" s="106">
        <f>F188</f>
        <v>0</v>
      </c>
    </row>
    <row r="188" spans="1:6" ht="60" customHeight="1" hidden="1">
      <c r="A188" s="104" t="s">
        <v>360</v>
      </c>
      <c r="B188" s="105" t="s">
        <v>361</v>
      </c>
      <c r="C188" s="106"/>
      <c r="D188" s="106">
        <f t="shared" si="2"/>
        <v>0</v>
      </c>
      <c r="E188" s="106"/>
      <c r="F188" s="106"/>
    </row>
    <row r="189" spans="1:6" ht="75" hidden="1">
      <c r="A189" s="104" t="s">
        <v>362</v>
      </c>
      <c r="B189" s="105" t="s">
        <v>363</v>
      </c>
      <c r="C189" s="106">
        <f>C190</f>
        <v>0</v>
      </c>
      <c r="D189" s="106">
        <f t="shared" si="2"/>
        <v>0</v>
      </c>
      <c r="E189" s="106">
        <f>E190</f>
        <v>0</v>
      </c>
      <c r="F189" s="106">
        <f>F190</f>
        <v>0</v>
      </c>
    </row>
    <row r="190" spans="1:6" ht="60" hidden="1">
      <c r="A190" s="104" t="s">
        <v>364</v>
      </c>
      <c r="B190" s="105" t="s">
        <v>365</v>
      </c>
      <c r="C190" s="106"/>
      <c r="D190" s="106">
        <f t="shared" si="2"/>
        <v>0</v>
      </c>
      <c r="E190" s="106"/>
      <c r="F190" s="106"/>
    </row>
    <row r="191" spans="1:6" s="126" customFormat="1" ht="15">
      <c r="A191" s="124"/>
      <c r="B191" s="125"/>
      <c r="C191" s="100"/>
      <c r="D191" s="100"/>
      <c r="E191" s="100"/>
      <c r="F191" s="100"/>
    </row>
    <row r="192" spans="1:6" s="126" customFormat="1" ht="15">
      <c r="A192" s="124"/>
      <c r="B192" s="125"/>
      <c r="C192" s="127"/>
      <c r="D192" s="127"/>
      <c r="E192" s="127"/>
      <c r="F192" s="127"/>
    </row>
    <row r="193" spans="1:6" s="126" customFormat="1" ht="15">
      <c r="A193" s="124"/>
      <c r="B193" s="125"/>
      <c r="C193" s="127"/>
      <c r="D193" s="127"/>
      <c r="E193" s="127"/>
      <c r="F193" s="127"/>
    </row>
    <row r="194" spans="1:6" s="126" customFormat="1" ht="15">
      <c r="A194" s="124"/>
      <c r="B194" s="125"/>
      <c r="C194" s="127"/>
      <c r="D194" s="127"/>
      <c r="E194" s="127"/>
      <c r="F194" s="127"/>
    </row>
    <row r="195" spans="1:6" s="126" customFormat="1" ht="15">
      <c r="A195" s="124"/>
      <c r="B195" s="125"/>
      <c r="C195" s="128"/>
      <c r="D195" s="128"/>
      <c r="E195" s="128"/>
      <c r="F195" s="128"/>
    </row>
    <row r="196" spans="1:6" s="126" customFormat="1" ht="15">
      <c r="A196" s="124"/>
      <c r="B196" s="125"/>
      <c r="C196" s="129"/>
      <c r="D196" s="130"/>
      <c r="E196" s="130"/>
      <c r="F196" s="130"/>
    </row>
    <row r="197" spans="1:3" s="126" customFormat="1" ht="15">
      <c r="A197" s="124"/>
      <c r="B197" s="125"/>
      <c r="C197" s="129"/>
    </row>
    <row r="198" spans="1:6" s="126" customFormat="1" ht="15">
      <c r="A198" s="124"/>
      <c r="B198" s="125"/>
      <c r="C198" s="129"/>
      <c r="D198" s="130"/>
      <c r="E198" s="130"/>
      <c r="F198" s="130"/>
    </row>
    <row r="199" spans="1:3" s="126" customFormat="1" ht="15">
      <c r="A199" s="124"/>
      <c r="B199" s="125"/>
      <c r="C199" s="129"/>
    </row>
    <row r="200" spans="1:8" s="126" customFormat="1" ht="15">
      <c r="A200" s="124"/>
      <c r="B200" s="125"/>
      <c r="C200" s="129"/>
      <c r="E200" s="130"/>
      <c r="F200" s="130"/>
      <c r="H200" s="130"/>
    </row>
    <row r="201" spans="1:8" s="126" customFormat="1" ht="15">
      <c r="A201" s="124"/>
      <c r="B201" s="125"/>
      <c r="C201" s="129"/>
      <c r="E201" s="130"/>
      <c r="F201" s="130"/>
      <c r="H201" s="130"/>
    </row>
    <row r="202" spans="1:3" s="126" customFormat="1" ht="15">
      <c r="A202" s="124"/>
      <c r="B202" s="125"/>
      <c r="C202" s="129"/>
    </row>
    <row r="203" spans="1:6" s="126" customFormat="1" ht="15">
      <c r="A203" s="124"/>
      <c r="B203" s="125"/>
      <c r="C203" s="129"/>
      <c r="D203" s="130"/>
      <c r="E203" s="130"/>
      <c r="F203" s="130"/>
    </row>
    <row r="204" spans="1:3" s="126" customFormat="1" ht="15">
      <c r="A204" s="124"/>
      <c r="B204" s="125"/>
      <c r="C204" s="129"/>
    </row>
    <row r="205" spans="1:3" s="126" customFormat="1" ht="15">
      <c r="A205" s="124"/>
      <c r="B205" s="125"/>
      <c r="C205" s="129"/>
    </row>
    <row r="206" spans="1:6" s="126" customFormat="1" ht="15">
      <c r="A206" s="124"/>
      <c r="B206" s="125"/>
      <c r="C206" s="129"/>
      <c r="D206" s="130"/>
      <c r="E206" s="130"/>
      <c r="F206" s="130"/>
    </row>
    <row r="207" spans="1:3" s="126" customFormat="1" ht="15">
      <c r="A207" s="124"/>
      <c r="B207" s="125"/>
      <c r="C207" s="129"/>
    </row>
    <row r="208" spans="1:3" s="126" customFormat="1" ht="15">
      <c r="A208" s="124"/>
      <c r="B208" s="125"/>
      <c r="C208" s="129"/>
    </row>
    <row r="209" spans="1:3" s="126" customFormat="1" ht="15">
      <c r="A209" s="124"/>
      <c r="B209" s="125"/>
      <c r="C209" s="129"/>
    </row>
    <row r="210" spans="1:3" s="126" customFormat="1" ht="15">
      <c r="A210" s="124"/>
      <c r="B210" s="125"/>
      <c r="C210" s="129"/>
    </row>
    <row r="211" spans="1:3" s="126" customFormat="1" ht="15">
      <c r="A211" s="124"/>
      <c r="B211" s="125"/>
      <c r="C211" s="129"/>
    </row>
    <row r="212" spans="1:3" s="126" customFormat="1" ht="15">
      <c r="A212" s="124"/>
      <c r="B212" s="125"/>
      <c r="C212" s="129"/>
    </row>
    <row r="213" spans="1:3" s="126" customFormat="1" ht="15">
      <c r="A213" s="124"/>
      <c r="B213" s="125"/>
      <c r="C213" s="129"/>
    </row>
    <row r="214" spans="1:3" s="126" customFormat="1" ht="15">
      <c r="A214" s="124"/>
      <c r="B214" s="125"/>
      <c r="C214" s="129"/>
    </row>
    <row r="215" spans="1:3" s="126" customFormat="1" ht="15">
      <c r="A215" s="124"/>
      <c r="B215" s="125"/>
      <c r="C215" s="129"/>
    </row>
    <row r="216" spans="1:3" s="126" customFormat="1" ht="15">
      <c r="A216" s="124"/>
      <c r="B216" s="125"/>
      <c r="C216" s="129"/>
    </row>
    <row r="217" spans="1:3" s="126" customFormat="1" ht="15">
      <c r="A217" s="124"/>
      <c r="B217" s="125"/>
      <c r="C217" s="129"/>
    </row>
    <row r="218" spans="1:3" s="126" customFormat="1" ht="15">
      <c r="A218" s="124"/>
      <c r="B218" s="125"/>
      <c r="C218" s="129"/>
    </row>
    <row r="219" spans="1:3" s="126" customFormat="1" ht="15">
      <c r="A219" s="124"/>
      <c r="B219" s="125"/>
      <c r="C219" s="129"/>
    </row>
    <row r="220" spans="1:3" s="126" customFormat="1" ht="15">
      <c r="A220" s="124"/>
      <c r="B220" s="125"/>
      <c r="C220" s="129"/>
    </row>
    <row r="221" spans="1:3" s="126" customFormat="1" ht="15">
      <c r="A221" s="124"/>
      <c r="B221" s="125"/>
      <c r="C221" s="129"/>
    </row>
    <row r="222" spans="1:2" s="126" customFormat="1" ht="15">
      <c r="A222" s="124"/>
      <c r="B222" s="125"/>
    </row>
    <row r="223" spans="1:2" s="126" customFormat="1" ht="15">
      <c r="A223" s="124"/>
      <c r="B223" s="125"/>
    </row>
  </sheetData>
  <sheetProtection/>
  <mergeCells count="6">
    <mergeCell ref="C2:E2"/>
    <mergeCell ref="A10:A11"/>
    <mergeCell ref="B10:B11"/>
    <mergeCell ref="C10:E10"/>
    <mergeCell ref="C3:E4"/>
    <mergeCell ref="A6:E7"/>
  </mergeCells>
  <printOptions/>
  <pageMargins left="0.31496062992125984" right="0" top="0.5511811023622047" bottom="0" header="0.31496062992125984" footer="0.31496062992125984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C19"/>
  <sheetViews>
    <sheetView view="pageBreakPreview" zoomScale="60" zoomScalePageLayoutView="0" workbookViewId="0" topLeftCell="A1">
      <selection activeCell="C1" sqref="C1"/>
    </sheetView>
  </sheetViews>
  <sheetFormatPr defaultColWidth="9.140625" defaultRowHeight="12.75"/>
  <cols>
    <col min="1" max="1" width="9.140625" style="19" customWidth="1"/>
    <col min="2" max="2" width="27.00390625" style="5" customWidth="1"/>
    <col min="3" max="3" width="54.00390625" style="5" customWidth="1"/>
    <col min="4" max="16384" width="9.140625" style="5" customWidth="1"/>
  </cols>
  <sheetData>
    <row r="1" ht="12">
      <c r="C1" s="56"/>
    </row>
    <row r="2" ht="12">
      <c r="C2" s="56" t="s">
        <v>68</v>
      </c>
    </row>
    <row r="3" ht="12.75" customHeight="1">
      <c r="C3" s="551" t="s">
        <v>88</v>
      </c>
    </row>
    <row r="4" ht="25.5" customHeight="1">
      <c r="C4" s="551"/>
    </row>
    <row r="5" ht="29.25" customHeight="1"/>
    <row r="6" spans="1:3" ht="12">
      <c r="A6" s="561" t="s">
        <v>49</v>
      </c>
      <c r="B6" s="561"/>
      <c r="C6" s="561"/>
    </row>
    <row r="7" spans="1:3" ht="12">
      <c r="A7" s="561" t="s">
        <v>50</v>
      </c>
      <c r="B7" s="561"/>
      <c r="C7" s="561"/>
    </row>
    <row r="8" ht="18.75" customHeight="1"/>
    <row r="9" spans="1:3" s="20" customFormat="1" ht="23.25" customHeight="1">
      <c r="A9" s="24" t="s">
        <v>51</v>
      </c>
      <c r="B9" s="25" t="s">
        <v>52</v>
      </c>
      <c r="C9" s="9" t="s">
        <v>0</v>
      </c>
    </row>
    <row r="10" spans="1:3" s="20" customFormat="1" ht="23.25" customHeight="1">
      <c r="A10" s="21" t="s">
        <v>53</v>
      </c>
      <c r="B10" s="22"/>
      <c r="C10" s="9" t="s">
        <v>62</v>
      </c>
    </row>
    <row r="11" spans="1:3" ht="36.75" customHeight="1">
      <c r="A11" s="21" t="s">
        <v>53</v>
      </c>
      <c r="B11" s="15" t="s">
        <v>79</v>
      </c>
      <c r="C11" s="23" t="s">
        <v>18</v>
      </c>
    </row>
    <row r="12" spans="1:3" ht="34.5" customHeight="1">
      <c r="A12" s="21" t="s">
        <v>53</v>
      </c>
      <c r="B12" s="15" t="s">
        <v>56</v>
      </c>
      <c r="C12" s="23" t="s">
        <v>20</v>
      </c>
    </row>
    <row r="13" spans="1:3" ht="36" customHeight="1">
      <c r="A13" s="21" t="s">
        <v>53</v>
      </c>
      <c r="B13" s="15" t="s">
        <v>81</v>
      </c>
      <c r="C13" s="23" t="s">
        <v>80</v>
      </c>
    </row>
    <row r="14" spans="1:3" ht="22.5" customHeight="1" hidden="1">
      <c r="A14" s="21" t="s">
        <v>53</v>
      </c>
      <c r="B14" s="15" t="s">
        <v>58</v>
      </c>
      <c r="C14" s="23" t="s">
        <v>46</v>
      </c>
    </row>
    <row r="15" spans="1:3" ht="30" customHeight="1" hidden="1">
      <c r="A15" s="21" t="s">
        <v>53</v>
      </c>
      <c r="B15" s="15" t="s">
        <v>59</v>
      </c>
      <c r="C15" s="23" t="s">
        <v>9</v>
      </c>
    </row>
    <row r="16" spans="1:3" ht="36.75" customHeight="1">
      <c r="A16" s="21" t="s">
        <v>53</v>
      </c>
      <c r="B16" s="15" t="s">
        <v>60</v>
      </c>
      <c r="C16" s="23" t="s">
        <v>24</v>
      </c>
    </row>
    <row r="17" spans="1:3" ht="37.5" customHeight="1" hidden="1">
      <c r="A17" s="21" t="s">
        <v>53</v>
      </c>
      <c r="B17" s="15" t="s">
        <v>61</v>
      </c>
      <c r="C17" s="23" t="s">
        <v>54</v>
      </c>
    </row>
    <row r="18" spans="1:3" ht="33.75" customHeight="1">
      <c r="A18" s="21" t="s">
        <v>53</v>
      </c>
      <c r="B18" s="15" t="s">
        <v>82</v>
      </c>
      <c r="C18" s="23" t="s">
        <v>36</v>
      </c>
    </row>
    <row r="19" spans="1:3" ht="36">
      <c r="A19" s="55" t="s">
        <v>53</v>
      </c>
      <c r="B19" s="15" t="s">
        <v>57</v>
      </c>
      <c r="C19" s="23" t="s">
        <v>45</v>
      </c>
    </row>
    <row r="24" ht="27.75" customHeight="1"/>
    <row r="25" ht="27.75" customHeight="1"/>
    <row r="26" ht="25.5" customHeight="1"/>
    <row r="27" ht="28.5" customHeight="1"/>
    <row r="28" ht="30" customHeight="1"/>
    <row r="29" ht="36" customHeight="1"/>
    <row r="30" ht="42" customHeight="1"/>
    <row r="31" ht="40.5" customHeight="1"/>
    <row r="32" ht="39" customHeight="1"/>
    <row r="33" ht="26.25" customHeight="1"/>
    <row r="34" ht="29.25" customHeight="1"/>
    <row r="35" ht="38.25" customHeight="1"/>
    <row r="36" ht="39" customHeight="1"/>
    <row r="37" ht="30" customHeight="1"/>
    <row r="38" ht="27.75" customHeight="1"/>
    <row r="39" ht="39.75" customHeight="1"/>
    <row r="40" ht="52.5" customHeight="1"/>
    <row r="41" ht="27" customHeight="1"/>
    <row r="42" ht="41.25" customHeight="1"/>
  </sheetData>
  <sheetProtection/>
  <mergeCells count="3">
    <mergeCell ref="C3:C4"/>
    <mergeCell ref="A6:C6"/>
    <mergeCell ref="A7:C7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5"/>
  <sheetViews>
    <sheetView view="pageBreakPreview" zoomScaleSheetLayoutView="100" zoomScalePageLayoutView="0" workbookViewId="0" topLeftCell="A16">
      <selection activeCell="B16" sqref="B16"/>
    </sheetView>
  </sheetViews>
  <sheetFormatPr defaultColWidth="26.28125" defaultRowHeight="12.75"/>
  <cols>
    <col min="1" max="1" width="52.57421875" style="131" customWidth="1"/>
    <col min="2" max="2" width="7.7109375" style="131" customWidth="1"/>
    <col min="3" max="3" width="7.28125" style="131" customWidth="1"/>
    <col min="4" max="6" width="11.28125" style="131" customWidth="1"/>
    <col min="7" max="7" width="8.8515625" style="131" customWidth="1"/>
    <col min="8" max="16384" width="26.28125" style="131" customWidth="1"/>
  </cols>
  <sheetData>
    <row r="1" spans="3:8" ht="12.75">
      <c r="C1" s="132"/>
      <c r="D1" s="132"/>
      <c r="E1" s="132"/>
      <c r="F1" s="132"/>
      <c r="G1" s="132"/>
      <c r="H1" s="132"/>
    </row>
    <row r="2" spans="1:8" ht="12.75" customHeight="1">
      <c r="A2" s="133"/>
      <c r="C2" s="563" t="s">
        <v>370</v>
      </c>
      <c r="D2" s="564"/>
      <c r="E2" s="564"/>
      <c r="F2" s="134"/>
      <c r="G2" s="134"/>
      <c r="H2" s="134"/>
    </row>
    <row r="3" spans="1:8" ht="39.75" customHeight="1">
      <c r="A3" s="133"/>
      <c r="C3" s="565" t="s">
        <v>371</v>
      </c>
      <c r="D3" s="565"/>
      <c r="E3" s="565"/>
      <c r="F3" s="565"/>
      <c r="G3" s="136"/>
      <c r="H3" s="136"/>
    </row>
    <row r="4" spans="1:6" ht="9" customHeight="1">
      <c r="A4" s="133"/>
      <c r="B4" s="135"/>
      <c r="C4" s="135"/>
      <c r="D4" s="135"/>
      <c r="E4" s="136"/>
      <c r="F4" s="136"/>
    </row>
    <row r="5" spans="1:6" ht="12.75">
      <c r="A5" s="566" t="s">
        <v>372</v>
      </c>
      <c r="B5" s="567"/>
      <c r="C5" s="567"/>
      <c r="D5" s="568"/>
      <c r="E5" s="569"/>
      <c r="F5" s="569"/>
    </row>
    <row r="6" spans="1:6" ht="27.75" customHeight="1">
      <c r="A6" s="570" t="s">
        <v>373</v>
      </c>
      <c r="B6" s="571"/>
      <c r="C6" s="571"/>
      <c r="D6" s="571"/>
      <c r="E6" s="571"/>
      <c r="F6" s="571"/>
    </row>
    <row r="7" spans="1:6" ht="12.75">
      <c r="A7" s="516"/>
      <c r="B7" s="510"/>
      <c r="C7" s="510"/>
      <c r="D7" s="510"/>
      <c r="E7" s="510"/>
      <c r="F7" s="510" t="s">
        <v>97</v>
      </c>
    </row>
    <row r="8" spans="1:6" ht="41.25" customHeight="1">
      <c r="A8" s="137" t="s">
        <v>374</v>
      </c>
      <c r="B8" s="137" t="s">
        <v>471</v>
      </c>
      <c r="C8" s="137" t="s">
        <v>472</v>
      </c>
      <c r="D8" s="137" t="s">
        <v>377</v>
      </c>
      <c r="E8" s="138" t="s">
        <v>378</v>
      </c>
      <c r="F8" s="137" t="s">
        <v>379</v>
      </c>
    </row>
    <row r="9" spans="1:7" ht="15" customHeight="1">
      <c r="A9" s="139" t="s">
        <v>380</v>
      </c>
      <c r="B9" s="562" t="s">
        <v>381</v>
      </c>
      <c r="C9" s="562"/>
      <c r="D9" s="141">
        <f>D10+D11+D12+D13+D14+D15+D16+D17</f>
        <v>23509.36</v>
      </c>
      <c r="E9" s="147">
        <f>E10+E11+E12+E13+E14+E15+E16+E17</f>
        <v>115.73099999999988</v>
      </c>
      <c r="F9" s="141">
        <f>F10+F11+F12+F13+F14+F15+F16+F17</f>
        <v>23625.091</v>
      </c>
      <c r="G9" s="515">
        <f>F9/309430.22*100</f>
        <v>7.6350302824333065</v>
      </c>
    </row>
    <row r="10" spans="1:6" ht="21.75" customHeight="1">
      <c r="A10" s="142" t="s">
        <v>1076</v>
      </c>
      <c r="B10" s="143" t="s">
        <v>382</v>
      </c>
      <c r="C10" s="143" t="s">
        <v>383</v>
      </c>
      <c r="D10" s="144">
        <f>'прил10 (2012 '!J641</f>
        <v>1012.93</v>
      </c>
      <c r="E10" s="144">
        <f>'прил10 (2012 '!K641</f>
        <v>-30.191999999999894</v>
      </c>
      <c r="F10" s="144">
        <f>'прил10 (2012 '!L641</f>
        <v>982.738</v>
      </c>
    </row>
    <row r="11" spans="1:6" ht="25.5" customHeight="1">
      <c r="A11" s="142" t="s">
        <v>1077</v>
      </c>
      <c r="B11" s="143" t="s">
        <v>382</v>
      </c>
      <c r="C11" s="143" t="s">
        <v>384</v>
      </c>
      <c r="D11" s="144">
        <f>'прил10 (2012 '!J642</f>
        <v>1589.6999999999998</v>
      </c>
      <c r="E11" s="144">
        <f>'прил10 (2012 '!K642</f>
        <v>-373.2529999999998</v>
      </c>
      <c r="F11" s="144">
        <f>'прил10 (2012 '!L642</f>
        <v>1216.4470000000001</v>
      </c>
    </row>
    <row r="12" spans="1:6" ht="15" customHeight="1">
      <c r="A12" s="142" t="s">
        <v>1078</v>
      </c>
      <c r="B12" s="143" t="s">
        <v>382</v>
      </c>
      <c r="C12" s="143" t="s">
        <v>385</v>
      </c>
      <c r="D12" s="144">
        <f>'прил10 (2012 '!J643</f>
        <v>16755.98</v>
      </c>
      <c r="E12" s="144">
        <f>'прил10 (2012 '!K643</f>
        <v>-776.4680000000004</v>
      </c>
      <c r="F12" s="144">
        <f>'прил10 (2012 '!L643</f>
        <v>15979.512</v>
      </c>
    </row>
    <row r="13" spans="1:6" ht="15" customHeight="1">
      <c r="A13" s="142" t="s">
        <v>386</v>
      </c>
      <c r="B13" s="143" t="s">
        <v>382</v>
      </c>
      <c r="C13" s="143" t="s">
        <v>387</v>
      </c>
      <c r="D13" s="144">
        <f>'прил10 (2012 '!J644</f>
        <v>6.8</v>
      </c>
      <c r="E13" s="144">
        <f>'прил10 (2012 '!K644</f>
        <v>4.8999999999999995</v>
      </c>
      <c r="F13" s="144">
        <f>'прил10 (2012 '!L644</f>
        <v>11.7</v>
      </c>
    </row>
    <row r="14" spans="1:6" ht="28.5" customHeight="1">
      <c r="A14" s="142" t="s">
        <v>1079</v>
      </c>
      <c r="B14" s="143" t="s">
        <v>382</v>
      </c>
      <c r="C14" s="143" t="s">
        <v>388</v>
      </c>
      <c r="D14" s="144">
        <f>'прил10 (2012 '!J645</f>
        <v>3092.22</v>
      </c>
      <c r="E14" s="144">
        <f>'прил10 (2012 '!K645</f>
        <v>654.3739999999998</v>
      </c>
      <c r="F14" s="144">
        <f>'прил10 (2012 '!L645</f>
        <v>3746.5939999999996</v>
      </c>
    </row>
    <row r="15" spans="1:6" ht="15" customHeight="1">
      <c r="A15" s="142" t="s">
        <v>389</v>
      </c>
      <c r="B15" s="143" t="s">
        <v>382</v>
      </c>
      <c r="C15" s="143" t="s">
        <v>390</v>
      </c>
      <c r="D15" s="144">
        <f>'прил10 (2012 '!J646</f>
        <v>150</v>
      </c>
      <c r="E15" s="144">
        <f>'прил10 (2012 '!K646</f>
        <v>-150</v>
      </c>
      <c r="F15" s="144">
        <f>'прил10 (2012 '!L646</f>
        <v>0</v>
      </c>
    </row>
    <row r="16" spans="1:6" ht="15" customHeight="1">
      <c r="A16" s="145" t="s">
        <v>391</v>
      </c>
      <c r="B16" s="143" t="s">
        <v>382</v>
      </c>
      <c r="C16" s="143" t="s">
        <v>392</v>
      </c>
      <c r="D16" s="144">
        <f>'прил10 (2012 '!J648</f>
        <v>333</v>
      </c>
      <c r="E16" s="144">
        <f>'прил10 (2012 '!K648</f>
        <v>0</v>
      </c>
      <c r="F16" s="144">
        <f>'прил10 (2012 '!L648</f>
        <v>333</v>
      </c>
    </row>
    <row r="17" spans="1:6" ht="15" customHeight="1">
      <c r="A17" s="230" t="s">
        <v>395</v>
      </c>
      <c r="B17" s="143" t="s">
        <v>382</v>
      </c>
      <c r="C17" s="143" t="s">
        <v>394</v>
      </c>
      <c r="D17" s="144">
        <f>'прил10 (2012 '!J650</f>
        <v>568.73</v>
      </c>
      <c r="E17" s="144">
        <f>'прил10 (2012 '!K650</f>
        <v>786.37</v>
      </c>
      <c r="F17" s="144">
        <f>'прил10 (2012 '!L650</f>
        <v>1355.1</v>
      </c>
    </row>
    <row r="18" spans="1:7" ht="15" customHeight="1">
      <c r="A18" s="139" t="s">
        <v>397</v>
      </c>
      <c r="B18" s="562" t="s">
        <v>398</v>
      </c>
      <c r="C18" s="562"/>
      <c r="D18" s="146">
        <f>D19</f>
        <v>526.6</v>
      </c>
      <c r="E18" s="146">
        <f>E19</f>
        <v>16.5</v>
      </c>
      <c r="F18" s="146">
        <f>F19</f>
        <v>543.1</v>
      </c>
      <c r="G18" s="515">
        <f>F18/309430.22*100</f>
        <v>0.17551614706540303</v>
      </c>
    </row>
    <row r="19" spans="1:6" ht="15" customHeight="1">
      <c r="A19" s="142" t="s">
        <v>399</v>
      </c>
      <c r="B19" s="143" t="s">
        <v>383</v>
      </c>
      <c r="C19" s="143" t="s">
        <v>384</v>
      </c>
      <c r="D19" s="144">
        <f>'прил10 (2012 '!J653</f>
        <v>526.6</v>
      </c>
      <c r="E19" s="144">
        <f>'прил10 (2012 '!K653</f>
        <v>16.5</v>
      </c>
      <c r="F19" s="144">
        <f>'прил10 (2012 '!L653</f>
        <v>543.1</v>
      </c>
    </row>
    <row r="20" spans="1:7" ht="15" customHeight="1">
      <c r="A20" s="139" t="s">
        <v>400</v>
      </c>
      <c r="B20" s="562" t="s">
        <v>401</v>
      </c>
      <c r="C20" s="562"/>
      <c r="D20" s="147">
        <f>SUM(D21:D23)</f>
        <v>575</v>
      </c>
      <c r="E20" s="147">
        <f>SUM(E21:E23)</f>
        <v>-275</v>
      </c>
      <c r="F20" s="147">
        <f>SUM(F21:F23)</f>
        <v>300</v>
      </c>
      <c r="G20" s="515">
        <f>F20/309430.22*100</f>
        <v>0.09695239204496575</v>
      </c>
    </row>
    <row r="21" spans="1:6" ht="15" customHeight="1">
      <c r="A21" s="142" t="s">
        <v>402</v>
      </c>
      <c r="B21" s="143" t="s">
        <v>384</v>
      </c>
      <c r="C21" s="143" t="s">
        <v>383</v>
      </c>
      <c r="D21" s="144">
        <f>'прил10 (2012 '!J655</f>
        <v>500</v>
      </c>
      <c r="E21" s="144">
        <f>'прил10 (2012 '!K655</f>
        <v>-300</v>
      </c>
      <c r="F21" s="144">
        <f>'прил10 (2012 '!L655</f>
        <v>200</v>
      </c>
    </row>
    <row r="22" spans="1:6" ht="25.5" customHeight="1">
      <c r="A22" s="142" t="s">
        <v>403</v>
      </c>
      <c r="B22" s="143" t="s">
        <v>384</v>
      </c>
      <c r="C22" s="143" t="s">
        <v>404</v>
      </c>
      <c r="D22" s="144">
        <f>'прил10 (2012 '!J656</f>
        <v>75</v>
      </c>
      <c r="E22" s="144">
        <f>'прил10 (2012 '!K656</f>
        <v>0</v>
      </c>
      <c r="F22" s="144">
        <f>'прил10 (2012 '!L656</f>
        <v>75</v>
      </c>
    </row>
    <row r="23" spans="1:6" ht="15" customHeight="1">
      <c r="A23" s="142" t="s">
        <v>405</v>
      </c>
      <c r="B23" s="143" t="s">
        <v>384</v>
      </c>
      <c r="C23" s="143" t="s">
        <v>396</v>
      </c>
      <c r="D23" s="144">
        <f>'прил10 (2012 '!J657</f>
        <v>0</v>
      </c>
      <c r="E23" s="144">
        <f>'прил10 (2012 '!K657</f>
        <v>25</v>
      </c>
      <c r="F23" s="144">
        <f>'прил10 (2012 '!L657</f>
        <v>25</v>
      </c>
    </row>
    <row r="24" spans="1:7" ht="15" customHeight="1">
      <c r="A24" s="139" t="s">
        <v>406</v>
      </c>
      <c r="B24" s="562" t="s">
        <v>407</v>
      </c>
      <c r="C24" s="562"/>
      <c r="D24" s="147">
        <f>SUM(D25:D27)</f>
        <v>1435</v>
      </c>
      <c r="E24" s="147">
        <f>SUM(E25:E27)</f>
        <v>2129.3900000000003</v>
      </c>
      <c r="F24" s="147">
        <f>SUM(F25:F27)</f>
        <v>3564.3900000000003</v>
      </c>
      <c r="G24" s="515">
        <f>F24/309430.22*100</f>
        <v>1.1519204556038518</v>
      </c>
    </row>
    <row r="25" spans="1:6" ht="15" customHeight="1" hidden="1">
      <c r="A25" s="142" t="s">
        <v>408</v>
      </c>
      <c r="B25" s="143" t="s">
        <v>385</v>
      </c>
      <c r="C25" s="143" t="s">
        <v>382</v>
      </c>
      <c r="D25" s="144"/>
      <c r="E25" s="144"/>
      <c r="F25" s="144"/>
    </row>
    <row r="26" spans="1:6" ht="15" customHeight="1">
      <c r="A26" s="142" t="s">
        <v>409</v>
      </c>
      <c r="B26" s="143" t="s">
        <v>385</v>
      </c>
      <c r="C26" s="143" t="s">
        <v>387</v>
      </c>
      <c r="D26" s="144">
        <f>'прил10 (2012 '!J659</f>
        <v>160</v>
      </c>
      <c r="E26" s="144">
        <f>'прил10 (2012 '!K659</f>
        <v>70</v>
      </c>
      <c r="F26" s="144">
        <f>'прил10 (2012 '!L659</f>
        <v>230</v>
      </c>
    </row>
    <row r="27" spans="1:6" ht="15" customHeight="1">
      <c r="A27" s="142" t="s">
        <v>411</v>
      </c>
      <c r="B27" s="143" t="s">
        <v>385</v>
      </c>
      <c r="C27" s="143" t="s">
        <v>393</v>
      </c>
      <c r="D27" s="144">
        <f>'прил10 (2012 '!J662</f>
        <v>1275</v>
      </c>
      <c r="E27" s="144">
        <f>'прил10 (2012 '!K662</f>
        <v>2059.3900000000003</v>
      </c>
      <c r="F27" s="144">
        <f>'прил10 (2012 '!L662</f>
        <v>3334.3900000000003</v>
      </c>
    </row>
    <row r="28" spans="1:7" ht="15" customHeight="1">
      <c r="A28" s="139" t="s">
        <v>412</v>
      </c>
      <c r="B28" s="562" t="s">
        <v>413</v>
      </c>
      <c r="C28" s="562"/>
      <c r="D28" s="147">
        <f>SUM(D29:D31)</f>
        <v>500</v>
      </c>
      <c r="E28" s="147">
        <f>SUM(E29:E31)</f>
        <v>6600.32</v>
      </c>
      <c r="F28" s="147">
        <f>SUM(F29:F31)</f>
        <v>7100.32</v>
      </c>
      <c r="G28" s="515">
        <f>F28/309430.22*100</f>
        <v>2.2946433609490375</v>
      </c>
    </row>
    <row r="29" spans="1:6" ht="15" customHeight="1">
      <c r="A29" s="142" t="s">
        <v>414</v>
      </c>
      <c r="B29" s="143" t="s">
        <v>387</v>
      </c>
      <c r="C29" s="143" t="s">
        <v>382</v>
      </c>
      <c r="D29" s="144">
        <f>'прил10 (2012 '!J664</f>
        <v>0</v>
      </c>
      <c r="E29" s="144">
        <f>'прил10 (2012 '!K664</f>
        <v>260</v>
      </c>
      <c r="F29" s="144">
        <f>'прил10 (2012 '!L664</f>
        <v>260</v>
      </c>
    </row>
    <row r="30" spans="1:6" ht="15" customHeight="1">
      <c r="A30" s="142" t="s">
        <v>415</v>
      </c>
      <c r="B30" s="143" t="s">
        <v>387</v>
      </c>
      <c r="C30" s="143" t="s">
        <v>383</v>
      </c>
      <c r="D30" s="144">
        <f>'прил10 (2012 '!J665</f>
        <v>500</v>
      </c>
      <c r="E30" s="144">
        <f>'прил10 (2012 '!K665</f>
        <v>5840.32</v>
      </c>
      <c r="F30" s="144">
        <f>'прил10 (2012 '!L665</f>
        <v>6340.32</v>
      </c>
    </row>
    <row r="31" spans="1:6" ht="15" customHeight="1">
      <c r="A31" s="142" t="s">
        <v>416</v>
      </c>
      <c r="B31" s="143" t="s">
        <v>387</v>
      </c>
      <c r="C31" s="143" t="s">
        <v>384</v>
      </c>
      <c r="D31" s="144">
        <f>'прил10 (2012 '!J666</f>
        <v>0</v>
      </c>
      <c r="E31" s="144">
        <f>'прил10 (2012 '!K666</f>
        <v>500</v>
      </c>
      <c r="F31" s="144">
        <f>'прил10 (2012 '!L666</f>
        <v>500</v>
      </c>
    </row>
    <row r="32" spans="1:7" ht="15" customHeight="1">
      <c r="A32" s="139" t="s">
        <v>417</v>
      </c>
      <c r="B32" s="562" t="s">
        <v>418</v>
      </c>
      <c r="C32" s="562"/>
      <c r="D32" s="147">
        <f>SUM(D33:D37)</f>
        <v>182151.95</v>
      </c>
      <c r="E32" s="147">
        <f>SUM(E33:E37)</f>
        <v>29656.892000000003</v>
      </c>
      <c r="F32" s="147">
        <f>SUM(F33:F37)</f>
        <v>211808.84199999998</v>
      </c>
      <c r="G32" s="515">
        <f>F32/309430.22*100</f>
        <v>68.45124629391401</v>
      </c>
    </row>
    <row r="33" spans="1:6" ht="15" customHeight="1">
      <c r="A33" s="142" t="s">
        <v>419</v>
      </c>
      <c r="B33" s="143" t="s">
        <v>390</v>
      </c>
      <c r="C33" s="143" t="s">
        <v>382</v>
      </c>
      <c r="D33" s="144">
        <f>'прил10 (2012 '!J669</f>
        <v>0</v>
      </c>
      <c r="E33" s="144">
        <f>'прил10 (2012 '!K669</f>
        <v>451.78</v>
      </c>
      <c r="F33" s="144">
        <f>'прил10 (2012 '!L669</f>
        <v>451.78</v>
      </c>
    </row>
    <row r="34" spans="1:6" ht="15" customHeight="1">
      <c r="A34" s="142" t="s">
        <v>420</v>
      </c>
      <c r="B34" s="143" t="s">
        <v>390</v>
      </c>
      <c r="C34" s="143" t="s">
        <v>383</v>
      </c>
      <c r="D34" s="144">
        <f>'прил10 (2012 '!J670</f>
        <v>172097.77000000002</v>
      </c>
      <c r="E34" s="144">
        <f>'прил10 (2012 '!K670</f>
        <v>31364.870000000003</v>
      </c>
      <c r="F34" s="144">
        <f>'прил10 (2012 '!L670</f>
        <v>203462.63999999998</v>
      </c>
    </row>
    <row r="35" spans="1:6" ht="15" customHeight="1">
      <c r="A35" s="142" t="s">
        <v>421</v>
      </c>
      <c r="B35" s="143" t="s">
        <v>390</v>
      </c>
      <c r="C35" s="143" t="s">
        <v>387</v>
      </c>
      <c r="D35" s="144">
        <f>'прил10 (2012 '!J671</f>
        <v>950.51</v>
      </c>
      <c r="E35" s="144">
        <f>'прил10 (2012 '!K671</f>
        <v>-750.51</v>
      </c>
      <c r="F35" s="144">
        <f>'прил10 (2012 '!L671</f>
        <v>200</v>
      </c>
    </row>
    <row r="36" spans="1:6" ht="15" customHeight="1">
      <c r="A36" s="142" t="s">
        <v>422</v>
      </c>
      <c r="B36" s="143" t="s">
        <v>390</v>
      </c>
      <c r="C36" s="143" t="s">
        <v>390</v>
      </c>
      <c r="D36" s="144">
        <f>'прил10 (2012 '!J672</f>
        <v>2380.06</v>
      </c>
      <c r="E36" s="144">
        <f>'прил10 (2012 '!K672</f>
        <v>-1924.62</v>
      </c>
      <c r="F36" s="144">
        <f>'прил10 (2012 '!L672</f>
        <v>455.44</v>
      </c>
    </row>
    <row r="37" spans="1:6" ht="15" customHeight="1">
      <c r="A37" s="142" t="s">
        <v>423</v>
      </c>
      <c r="B37" s="143" t="s">
        <v>390</v>
      </c>
      <c r="C37" s="143" t="s">
        <v>404</v>
      </c>
      <c r="D37" s="144">
        <f>'прил10 (2012 '!J673</f>
        <v>6723.61</v>
      </c>
      <c r="E37" s="144">
        <f>'прил10 (2012 '!K673</f>
        <v>515.3720000000001</v>
      </c>
      <c r="F37" s="144">
        <f>'прил10 (2012 '!L673</f>
        <v>7238.982</v>
      </c>
    </row>
    <row r="38" spans="1:7" ht="15" customHeight="1">
      <c r="A38" s="139" t="s">
        <v>424</v>
      </c>
      <c r="B38" s="562" t="s">
        <v>425</v>
      </c>
      <c r="C38" s="562"/>
      <c r="D38" s="147">
        <f>SUM(D39:D41)</f>
        <v>6838.02</v>
      </c>
      <c r="E38" s="147">
        <f>SUM(E39:E41)</f>
        <v>1194.2569999999996</v>
      </c>
      <c r="F38" s="147">
        <f>SUM(F39:F41)</f>
        <v>8032.277</v>
      </c>
      <c r="G38" s="515">
        <f>F38/309430.22*100</f>
        <v>2.5958282290592045</v>
      </c>
    </row>
    <row r="39" spans="1:6" ht="15" customHeight="1">
      <c r="A39" s="142" t="s">
        <v>426</v>
      </c>
      <c r="B39" s="143" t="s">
        <v>410</v>
      </c>
      <c r="C39" s="143" t="s">
        <v>382</v>
      </c>
      <c r="D39" s="144">
        <f>'прил10 (2012 '!J675</f>
        <v>4116.25</v>
      </c>
      <c r="E39" s="144">
        <f>'прил10 (2012 '!K675</f>
        <v>1078.206</v>
      </c>
      <c r="F39" s="144">
        <f>'прил10 (2012 '!L675</f>
        <v>5194.456</v>
      </c>
    </row>
    <row r="40" spans="1:6" ht="15" customHeight="1">
      <c r="A40" s="142" t="s">
        <v>427</v>
      </c>
      <c r="B40" s="143" t="s">
        <v>410</v>
      </c>
      <c r="C40" s="143" t="s">
        <v>385</v>
      </c>
      <c r="D40" s="144">
        <f>'прил10 (2012 '!J676</f>
        <v>0</v>
      </c>
      <c r="E40" s="144">
        <f>'прил10 (2012 '!K676</f>
        <v>0</v>
      </c>
      <c r="F40" s="144">
        <f>'прил10 (2012 '!L676</f>
        <v>0</v>
      </c>
    </row>
    <row r="41" spans="1:6" ht="15" customHeight="1">
      <c r="A41" s="142" t="s">
        <v>428</v>
      </c>
      <c r="B41" s="143" t="s">
        <v>410</v>
      </c>
      <c r="C41" s="143" t="s">
        <v>385</v>
      </c>
      <c r="D41" s="144">
        <f>'прил10 (2012 '!J677</f>
        <v>2721.77</v>
      </c>
      <c r="E41" s="144">
        <f>'прил10 (2012 '!K677</f>
        <v>116.05099999999979</v>
      </c>
      <c r="F41" s="144">
        <f>'прил10 (2012 '!L677</f>
        <v>2837.821</v>
      </c>
    </row>
    <row r="42" spans="1:7" ht="15" customHeight="1">
      <c r="A42" s="139" t="s">
        <v>429</v>
      </c>
      <c r="B42" s="562" t="s">
        <v>430</v>
      </c>
      <c r="C42" s="562"/>
      <c r="D42" s="147">
        <f>SUM(D43:D46)</f>
        <v>42672.07000000001</v>
      </c>
      <c r="E42" s="147">
        <f>SUM(E43:E46)</f>
        <v>-42282.07000000001</v>
      </c>
      <c r="F42" s="147">
        <f>SUM(F43:F46)</f>
        <v>390</v>
      </c>
      <c r="G42" s="515">
        <f>F42/309430.22*100</f>
        <v>0.12603810965845547</v>
      </c>
    </row>
    <row r="43" spans="1:6" ht="15" customHeight="1">
      <c r="A43" s="142" t="s">
        <v>431</v>
      </c>
      <c r="B43" s="143" t="s">
        <v>404</v>
      </c>
      <c r="C43" s="143" t="s">
        <v>382</v>
      </c>
      <c r="D43" s="144">
        <f>'прил10 (2012 '!J680</f>
        <v>38155.97</v>
      </c>
      <c r="E43" s="144">
        <f>'прил10 (2012 '!K680</f>
        <v>-38155.97</v>
      </c>
      <c r="F43" s="144">
        <f>'прил10 (2012 '!L680</f>
        <v>0</v>
      </c>
    </row>
    <row r="44" spans="1:6" ht="15" customHeight="1">
      <c r="A44" s="142" t="s">
        <v>432</v>
      </c>
      <c r="B44" s="143" t="s">
        <v>404</v>
      </c>
      <c r="C44" s="143" t="s">
        <v>383</v>
      </c>
      <c r="D44" s="144">
        <f>'прил10 (2012 '!J681</f>
        <v>3243.4</v>
      </c>
      <c r="E44" s="144">
        <f>'прил10 (2012 '!K681</f>
        <v>-3243.4</v>
      </c>
      <c r="F44" s="144">
        <f>'прил10 (2012 '!L681</f>
        <v>0</v>
      </c>
    </row>
    <row r="45" spans="1:6" ht="15" customHeight="1">
      <c r="A45" s="142" t="s">
        <v>433</v>
      </c>
      <c r="B45" s="143" t="s">
        <v>404</v>
      </c>
      <c r="C45" s="143" t="s">
        <v>385</v>
      </c>
      <c r="D45" s="144">
        <f>'прил10 (2012 '!J682</f>
        <v>749.9</v>
      </c>
      <c r="E45" s="144">
        <f>'прил10 (2012 '!K682</f>
        <v>-749.9</v>
      </c>
      <c r="F45" s="144">
        <f>'прил10 (2012 '!L682</f>
        <v>0</v>
      </c>
    </row>
    <row r="46" spans="1:6" ht="15" customHeight="1">
      <c r="A46" s="142" t="s">
        <v>435</v>
      </c>
      <c r="B46" s="143" t="s">
        <v>404</v>
      </c>
      <c r="C46" s="143" t="s">
        <v>404</v>
      </c>
      <c r="D46" s="144">
        <f>'прил10 (2012 '!J684</f>
        <v>522.8</v>
      </c>
      <c r="E46" s="144">
        <f>'прил10 (2012 '!K684</f>
        <v>-132.79999999999995</v>
      </c>
      <c r="F46" s="144">
        <f>'прил10 (2012 '!L684</f>
        <v>390</v>
      </c>
    </row>
    <row r="47" spans="1:7" ht="15" customHeight="1">
      <c r="A47" s="139" t="s">
        <v>438</v>
      </c>
      <c r="B47" s="562" t="s">
        <v>439</v>
      </c>
      <c r="C47" s="562"/>
      <c r="D47" s="147">
        <f>SUM(D48:D52)</f>
        <v>72073.88</v>
      </c>
      <c r="E47" s="147">
        <f>SUM(E48:E52)</f>
        <v>-50330.579999999994</v>
      </c>
      <c r="F47" s="147">
        <f>SUM(F48:F52)</f>
        <v>21743.300000000003</v>
      </c>
      <c r="G47" s="515">
        <f>F47/309430.22*100</f>
        <v>7.026883153171013</v>
      </c>
    </row>
    <row r="48" spans="1:6" ht="15" customHeight="1">
      <c r="A48" s="142" t="s">
        <v>440</v>
      </c>
      <c r="B48" s="143" t="s">
        <v>437</v>
      </c>
      <c r="C48" s="143" t="s">
        <v>382</v>
      </c>
      <c r="D48" s="144">
        <f>'прил10 (2012 '!J687</f>
        <v>1606.18</v>
      </c>
      <c r="E48" s="144">
        <f>'прил10 (2012 '!K687</f>
        <v>-1561.18</v>
      </c>
      <c r="F48" s="144">
        <f>'прил10 (2012 '!L687</f>
        <v>45</v>
      </c>
    </row>
    <row r="49" spans="1:6" ht="15" customHeight="1">
      <c r="A49" s="142" t="s">
        <v>441</v>
      </c>
      <c r="B49" s="143" t="s">
        <v>437</v>
      </c>
      <c r="C49" s="143" t="s">
        <v>383</v>
      </c>
      <c r="D49" s="144">
        <f>'прил10 (2012 '!J688</f>
        <v>6938.29</v>
      </c>
      <c r="E49" s="144">
        <f>'прил10 (2012 '!K688</f>
        <v>-6782.05</v>
      </c>
      <c r="F49" s="144">
        <f>'прил10 (2012 '!L688</f>
        <v>156.24</v>
      </c>
    </row>
    <row r="50" spans="1:6" ht="15" customHeight="1">
      <c r="A50" s="142" t="s">
        <v>442</v>
      </c>
      <c r="B50" s="143" t="s">
        <v>437</v>
      </c>
      <c r="C50" s="143" t="s">
        <v>384</v>
      </c>
      <c r="D50" s="144">
        <f>'прил10 (2012 '!J689</f>
        <v>49869.2</v>
      </c>
      <c r="E50" s="144">
        <f>'прил10 (2012 '!K689</f>
        <v>-46651.2</v>
      </c>
      <c r="F50" s="144">
        <f>'прил10 (2012 '!L689</f>
        <v>3218</v>
      </c>
    </row>
    <row r="51" spans="1:6" ht="15" customHeight="1">
      <c r="A51" s="142" t="s">
        <v>443</v>
      </c>
      <c r="B51" s="143" t="s">
        <v>437</v>
      </c>
      <c r="C51" s="143" t="s">
        <v>385</v>
      </c>
      <c r="D51" s="144">
        <f>'прил10 (2012 '!J690</f>
        <v>11733.1</v>
      </c>
      <c r="E51" s="144">
        <f>'прил10 (2012 '!K690</f>
        <v>6097.6</v>
      </c>
      <c r="F51" s="144">
        <f>'прил10 (2012 '!L690</f>
        <v>17830.7</v>
      </c>
    </row>
    <row r="52" spans="1:6" ht="15" customHeight="1">
      <c r="A52" s="142" t="s">
        <v>444</v>
      </c>
      <c r="B52" s="143" t="s">
        <v>437</v>
      </c>
      <c r="C52" s="143" t="s">
        <v>388</v>
      </c>
      <c r="D52" s="144">
        <f>'прил10 (2012 '!J691</f>
        <v>1927.1100000000001</v>
      </c>
      <c r="E52" s="144">
        <f>'прил10 (2012 '!K691</f>
        <v>-1433.7500000000002</v>
      </c>
      <c r="F52" s="144">
        <f>'прил10 (2012 '!L691</f>
        <v>493.36</v>
      </c>
    </row>
    <row r="53" spans="1:7" ht="15" customHeight="1">
      <c r="A53" s="139" t="s">
        <v>434</v>
      </c>
      <c r="B53" s="562" t="s">
        <v>445</v>
      </c>
      <c r="C53" s="562"/>
      <c r="D53" s="146">
        <f>D54</f>
        <v>1000</v>
      </c>
      <c r="E53" s="146">
        <f>E54</f>
        <v>-600</v>
      </c>
      <c r="F53" s="146">
        <f>F54</f>
        <v>400</v>
      </c>
      <c r="G53" s="515">
        <f>F53/309430.22*100</f>
        <v>0.12926985605995434</v>
      </c>
    </row>
    <row r="54" spans="1:6" ht="15" customHeight="1">
      <c r="A54" s="142" t="s">
        <v>446</v>
      </c>
      <c r="B54" s="143" t="s">
        <v>392</v>
      </c>
      <c r="C54" s="143" t="s">
        <v>382</v>
      </c>
      <c r="D54" s="144">
        <f>'прил10 (2012 '!J698</f>
        <v>1000</v>
      </c>
      <c r="E54" s="144">
        <f>'прил10 (2012 '!K698</f>
        <v>-600</v>
      </c>
      <c r="F54" s="144">
        <f>'прил10 (2012 '!L698</f>
        <v>400</v>
      </c>
    </row>
    <row r="55" spans="1:7" ht="15" customHeight="1">
      <c r="A55" s="139" t="s">
        <v>447</v>
      </c>
      <c r="B55" s="562" t="s">
        <v>448</v>
      </c>
      <c r="C55" s="562"/>
      <c r="D55" s="146">
        <f>D56</f>
        <v>890</v>
      </c>
      <c r="E55" s="146">
        <f>E56</f>
        <v>13.600000000000023</v>
      </c>
      <c r="F55" s="146">
        <f>F56</f>
        <v>903.6</v>
      </c>
      <c r="G55" s="515">
        <f>F55/309430.22*100</f>
        <v>0.29202060483943687</v>
      </c>
    </row>
    <row r="56" spans="1:6" ht="15" customHeight="1">
      <c r="A56" s="142" t="s">
        <v>427</v>
      </c>
      <c r="B56" s="143" t="s">
        <v>393</v>
      </c>
      <c r="C56" s="143" t="s">
        <v>383</v>
      </c>
      <c r="D56" s="144">
        <f>'прил10 (2012 '!J701</f>
        <v>890</v>
      </c>
      <c r="E56" s="144">
        <f>'прил10 (2012 '!K701</f>
        <v>13.600000000000023</v>
      </c>
      <c r="F56" s="144">
        <f>'прил10 (2012 '!L701</f>
        <v>903.6</v>
      </c>
    </row>
    <row r="57" spans="1:7" ht="15" customHeight="1">
      <c r="A57" s="139" t="s">
        <v>449</v>
      </c>
      <c r="B57" s="562" t="s">
        <v>450</v>
      </c>
      <c r="C57" s="562"/>
      <c r="D57" s="146">
        <f>D58</f>
        <v>100</v>
      </c>
      <c r="E57" s="146">
        <f>E58</f>
        <v>42.19999999999999</v>
      </c>
      <c r="F57" s="146">
        <f>F58</f>
        <v>142.2</v>
      </c>
      <c r="G57" s="515">
        <f>F57/309430.22*100</f>
        <v>0.04595543382931376</v>
      </c>
    </row>
    <row r="58" spans="1:6" ht="24.75" customHeight="1">
      <c r="A58" s="142" t="s">
        <v>451</v>
      </c>
      <c r="B58" s="143" t="s">
        <v>394</v>
      </c>
      <c r="C58" s="143" t="s">
        <v>382</v>
      </c>
      <c r="D58" s="144">
        <f>'прил10 (2012 '!J705</f>
        <v>100</v>
      </c>
      <c r="E58" s="144">
        <f>'прил10 (2012 '!K705</f>
        <v>42.19999999999999</v>
      </c>
      <c r="F58" s="144">
        <f>'прил10 (2012 '!L705</f>
        <v>142.2</v>
      </c>
    </row>
    <row r="59" spans="1:7" ht="23.25" customHeight="1">
      <c r="A59" s="139" t="s">
        <v>452</v>
      </c>
      <c r="B59" s="562" t="s">
        <v>453</v>
      </c>
      <c r="C59" s="562"/>
      <c r="D59" s="146">
        <f>D60+D61</f>
        <v>29126.1</v>
      </c>
      <c r="E59" s="146">
        <f>E60+E61</f>
        <v>1751.000000000001</v>
      </c>
      <c r="F59" s="146">
        <f>F60+F61</f>
        <v>30877.1</v>
      </c>
      <c r="G59" s="515">
        <f>F59/309430.22*100</f>
        <v>9.97869568137204</v>
      </c>
    </row>
    <row r="60" spans="1:6" ht="23.25" customHeight="1">
      <c r="A60" s="142" t="s">
        <v>454</v>
      </c>
      <c r="B60" s="143" t="s">
        <v>396</v>
      </c>
      <c r="C60" s="143" t="s">
        <v>382</v>
      </c>
      <c r="D60" s="144">
        <f>'прил10 (2012 '!J708</f>
        <v>23512.3</v>
      </c>
      <c r="E60" s="144">
        <f>'прил10 (2012 '!K708</f>
        <v>7364.800000000001</v>
      </c>
      <c r="F60" s="144">
        <f>'прил10 (2012 '!L708</f>
        <v>30877.1</v>
      </c>
    </row>
    <row r="61" spans="1:6" ht="26.25" customHeight="1">
      <c r="A61" s="142" t="s">
        <v>456</v>
      </c>
      <c r="B61" s="143" t="s">
        <v>396</v>
      </c>
      <c r="C61" s="143" t="s">
        <v>384</v>
      </c>
      <c r="D61" s="144">
        <f>'прил10 (2012 '!J710</f>
        <v>5613.8</v>
      </c>
      <c r="E61" s="144">
        <f>'прил10 (2012 '!K710</f>
        <v>-5613.8</v>
      </c>
      <c r="F61" s="144">
        <f>'прил10 (2012 '!L710</f>
        <v>0</v>
      </c>
    </row>
    <row r="62" spans="1:6" ht="15" customHeight="1">
      <c r="A62" s="142" t="s">
        <v>457</v>
      </c>
      <c r="B62" s="143"/>
      <c r="C62" s="143"/>
      <c r="D62" s="144">
        <v>9647.17</v>
      </c>
      <c r="E62" s="144">
        <f>'[1]прил11 (2012-2013рабоч '!K846</f>
        <v>-9647.17</v>
      </c>
      <c r="F62" s="144">
        <f>'[1]прил11 (2012-2013рабоч '!L846</f>
        <v>0</v>
      </c>
    </row>
    <row r="63" spans="1:7" ht="12.75">
      <c r="A63" s="139" t="s">
        <v>458</v>
      </c>
      <c r="B63" s="140"/>
      <c r="C63" s="140"/>
      <c r="D63" s="147">
        <f>D9+D18+D20+D24+D28+D32+D38+D42+D47+D53+D55+D57+D59+D62</f>
        <v>371045.14999999997</v>
      </c>
      <c r="E63" s="147">
        <f>E9+E18+E20+E24+E28+E32+E38+E42+E47+E53+E55+E57+E59+E62</f>
        <v>-61614.93000000001</v>
      </c>
      <c r="F63" s="147">
        <f>F9+F18+F20+F24+F28+F32+F38+F42+F47+F53+F55+F57+F59</f>
        <v>309430.2199999999</v>
      </c>
      <c r="G63" s="515">
        <f>SUM(G9:G62)</f>
        <v>100</v>
      </c>
    </row>
    <row r="64" spans="4:5" ht="12.75">
      <c r="D64" s="149"/>
      <c r="E64" s="149"/>
    </row>
    <row r="65" spans="4:6" ht="12.75">
      <c r="D65" s="149"/>
      <c r="E65" s="149"/>
      <c r="F65" s="149"/>
    </row>
  </sheetData>
  <sheetProtection/>
  <mergeCells count="17">
    <mergeCell ref="B47:C47"/>
    <mergeCell ref="B53:C53"/>
    <mergeCell ref="B55:C55"/>
    <mergeCell ref="B57:C57"/>
    <mergeCell ref="B59:C59"/>
    <mergeCell ref="B20:C20"/>
    <mergeCell ref="B24:C24"/>
    <mergeCell ref="B28:C28"/>
    <mergeCell ref="B32:C32"/>
    <mergeCell ref="B38:C38"/>
    <mergeCell ref="B42:C42"/>
    <mergeCell ref="C2:E2"/>
    <mergeCell ref="C3:F3"/>
    <mergeCell ref="A5:F5"/>
    <mergeCell ref="A6:F6"/>
    <mergeCell ref="B9:C9"/>
    <mergeCell ref="B18:C18"/>
  </mergeCells>
  <printOptions/>
  <pageMargins left="1.1023622047244095" right="0" top="0.35433070866141736" bottom="0" header="0.31496062992125984" footer="0.31496062992125984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5"/>
  <sheetViews>
    <sheetView view="pageBreakPreview" zoomScaleSheetLayoutView="100" zoomScalePageLayoutView="0" workbookViewId="0" topLeftCell="A54">
      <selection activeCell="G62" sqref="G62"/>
    </sheetView>
  </sheetViews>
  <sheetFormatPr defaultColWidth="26.28125" defaultRowHeight="12.75"/>
  <cols>
    <col min="1" max="1" width="46.7109375" style="131" customWidth="1"/>
    <col min="2" max="2" width="7.7109375" style="131" customWidth="1"/>
    <col min="3" max="3" width="7.28125" style="131" customWidth="1"/>
    <col min="4" max="7" width="11.28125" style="131" customWidth="1"/>
    <col min="8" max="16384" width="26.28125" style="131" customWidth="1"/>
  </cols>
  <sheetData>
    <row r="1" spans="3:9" ht="12.75">
      <c r="C1" s="132"/>
      <c r="D1" s="132"/>
      <c r="E1" s="132"/>
      <c r="F1" s="132"/>
      <c r="G1" s="132"/>
      <c r="H1" s="132"/>
      <c r="I1" s="132"/>
    </row>
    <row r="2" spans="1:9" ht="12.75">
      <c r="A2" s="133"/>
      <c r="C2" s="134"/>
      <c r="D2" s="563" t="s">
        <v>942</v>
      </c>
      <c r="E2" s="564"/>
      <c r="F2" s="564"/>
      <c r="G2" s="134"/>
      <c r="H2" s="134"/>
      <c r="I2" s="134"/>
    </row>
    <row r="3" spans="1:9" ht="42" customHeight="1">
      <c r="A3" s="133"/>
      <c r="C3" s="135"/>
      <c r="D3" s="572" t="s">
        <v>371</v>
      </c>
      <c r="E3" s="572"/>
      <c r="F3" s="572"/>
      <c r="G3" s="572"/>
      <c r="H3" s="136"/>
      <c r="I3" s="136"/>
    </row>
    <row r="4" spans="1:3" ht="9" customHeight="1">
      <c r="A4" s="133"/>
      <c r="B4" s="135"/>
      <c r="C4" s="135"/>
    </row>
    <row r="5" spans="1:6" ht="12.75">
      <c r="A5" s="566" t="s">
        <v>372</v>
      </c>
      <c r="B5" s="567"/>
      <c r="C5" s="567"/>
      <c r="D5" s="546"/>
      <c r="E5" s="546"/>
      <c r="F5" s="546"/>
    </row>
    <row r="6" spans="1:7" ht="34.5" customHeight="1">
      <c r="A6" s="570" t="s">
        <v>943</v>
      </c>
      <c r="B6" s="575"/>
      <c r="C6" s="575"/>
      <c r="D6" s="546"/>
      <c r="E6" s="546"/>
      <c r="F6" s="546"/>
      <c r="G6" s="546"/>
    </row>
    <row r="7" spans="1:7" ht="12.75">
      <c r="A7" s="573"/>
      <c r="B7" s="574"/>
      <c r="C7" s="574"/>
      <c r="G7" s="131" t="s">
        <v>944</v>
      </c>
    </row>
    <row r="8" spans="1:7" ht="38.25">
      <c r="A8" s="137" t="s">
        <v>374</v>
      </c>
      <c r="B8" s="137" t="s">
        <v>375</v>
      </c>
      <c r="C8" s="137" t="s">
        <v>376</v>
      </c>
      <c r="D8" s="342" t="s">
        <v>945</v>
      </c>
      <c r="E8" s="154" t="s">
        <v>378</v>
      </c>
      <c r="F8" s="342" t="s">
        <v>946</v>
      </c>
      <c r="G8" s="137" t="s">
        <v>368</v>
      </c>
    </row>
    <row r="9" spans="1:7" ht="12.75">
      <c r="A9" s="139" t="s">
        <v>380</v>
      </c>
      <c r="B9" s="562" t="s">
        <v>381</v>
      </c>
      <c r="C9" s="562"/>
      <c r="D9" s="343">
        <f>D10+D11+D12+D13+D14+D15+D18+D17+D16</f>
        <v>22584.56</v>
      </c>
      <c r="E9" s="343">
        <f>E10+E11+E12+E13+E14+E15+E18+E17+E16</f>
        <v>2085.130000000001</v>
      </c>
      <c r="F9" s="343">
        <f>F10+F11+F12+F13+F14+F15+F18+F17+F16</f>
        <v>24669.690000000002</v>
      </c>
      <c r="G9" s="343">
        <f>G10+G11+G12+G13+G14+G15+G18+G17+G16</f>
        <v>26177.28</v>
      </c>
    </row>
    <row r="10" spans="1:7" ht="25.5">
      <c r="A10" s="142" t="s">
        <v>1076</v>
      </c>
      <c r="B10" s="143" t="s">
        <v>382</v>
      </c>
      <c r="C10" s="143" t="s">
        <v>383</v>
      </c>
      <c r="D10" s="344">
        <f>'прил11 (2013-2014)'!L620</f>
        <v>1012.93</v>
      </c>
      <c r="E10" s="344">
        <f>'прил11 (2013-2014)'!M620</f>
        <v>34.97000000000014</v>
      </c>
      <c r="F10" s="344">
        <f>'прил11 (2013-2014)'!N620</f>
        <v>1047.9</v>
      </c>
      <c r="G10" s="344">
        <f>'прил11 (2013-2014)'!O620</f>
        <v>1047.9</v>
      </c>
    </row>
    <row r="11" spans="1:7" ht="25.5">
      <c r="A11" s="142" t="s">
        <v>1077</v>
      </c>
      <c r="B11" s="143" t="s">
        <v>382</v>
      </c>
      <c r="C11" s="143" t="s">
        <v>384</v>
      </c>
      <c r="D11" s="344">
        <f>'прил11 (2013-2014)'!L624</f>
        <v>1589.6999999999998</v>
      </c>
      <c r="E11" s="344">
        <f>'прил11 (2013-2014)'!M624</f>
        <v>189.73000000000002</v>
      </c>
      <c r="F11" s="344">
        <f>'прил11 (2013-2014)'!N624</f>
        <v>1779.4299999999998</v>
      </c>
      <c r="G11" s="344">
        <f>'прил11 (2013-2014)'!O624</f>
        <v>1768.6</v>
      </c>
    </row>
    <row r="12" spans="1:7" ht="12.75">
      <c r="A12" s="142" t="s">
        <v>1078</v>
      </c>
      <c r="B12" s="143" t="s">
        <v>382</v>
      </c>
      <c r="C12" s="143" t="s">
        <v>385</v>
      </c>
      <c r="D12" s="344">
        <f>'прил11 (2013-2014)'!L625</f>
        <v>15868.98</v>
      </c>
      <c r="E12" s="344">
        <f>'прил11 (2013-2014)'!M625</f>
        <v>1014.7700000000007</v>
      </c>
      <c r="F12" s="344">
        <f>'прил11 (2013-2014)'!N625</f>
        <v>16883.75</v>
      </c>
      <c r="G12" s="344">
        <f>'прил11 (2013-2014)'!O625</f>
        <v>18687.17</v>
      </c>
    </row>
    <row r="13" spans="1:7" ht="12.75">
      <c r="A13" s="142" t="s">
        <v>386</v>
      </c>
      <c r="B13" s="143" t="s">
        <v>382</v>
      </c>
      <c r="C13" s="143" t="s">
        <v>387</v>
      </c>
      <c r="D13" s="344">
        <f>'прил11 (2013-2014)'!L626</f>
        <v>0</v>
      </c>
      <c r="E13" s="344">
        <f>'прил11 (2013-2014)'!M626</f>
        <v>0</v>
      </c>
      <c r="F13" s="344">
        <f>'прил11 (2013-2014)'!N626</f>
        <v>0</v>
      </c>
      <c r="G13" s="344">
        <f>'прил11 (2013-2014)'!O626</f>
        <v>0</v>
      </c>
    </row>
    <row r="14" spans="1:7" ht="25.5">
      <c r="A14" s="142" t="s">
        <v>1079</v>
      </c>
      <c r="B14" s="143" t="s">
        <v>382</v>
      </c>
      <c r="C14" s="143" t="s">
        <v>388</v>
      </c>
      <c r="D14" s="344">
        <f>'прил11 (2013-2014)'!L627</f>
        <v>3092.22</v>
      </c>
      <c r="E14" s="344">
        <f>'прил11 (2013-2014)'!M627</f>
        <v>457.00000000000045</v>
      </c>
      <c r="F14" s="344">
        <f>'прил11 (2013-2014)'!N627</f>
        <v>3549.2200000000003</v>
      </c>
      <c r="G14" s="344">
        <f>'прил11 (2013-2014)'!O627</f>
        <v>3549.2200000000003</v>
      </c>
    </row>
    <row r="15" spans="1:7" ht="12.75">
      <c r="A15" s="142" t="s">
        <v>389</v>
      </c>
      <c r="B15" s="143" t="s">
        <v>382</v>
      </c>
      <c r="C15" s="143" t="s">
        <v>390</v>
      </c>
      <c r="D15" s="344">
        <f>'прил11 (2013-2014)'!L628</f>
        <v>0</v>
      </c>
      <c r="E15" s="344">
        <f>'прил11 (2013-2014)'!M628</f>
        <v>100</v>
      </c>
      <c r="F15" s="344">
        <f>'прил11 (2013-2014)'!N628</f>
        <v>100</v>
      </c>
      <c r="G15" s="344">
        <f>'прил11 (2013-2014)'!O628</f>
        <v>0</v>
      </c>
    </row>
    <row r="16" spans="1:7" ht="12.75">
      <c r="A16" s="145" t="s">
        <v>391</v>
      </c>
      <c r="B16" s="143" t="s">
        <v>382</v>
      </c>
      <c r="C16" s="143" t="s">
        <v>392</v>
      </c>
      <c r="D16" s="344">
        <f>'прил11 (2013-2014)'!L629</f>
        <v>433</v>
      </c>
      <c r="E16" s="344">
        <f>'прил11 (2013-2014)'!M629</f>
        <v>-100</v>
      </c>
      <c r="F16" s="344">
        <f>'прил11 (2013-2014)'!N629</f>
        <v>333</v>
      </c>
      <c r="G16" s="344">
        <f>'прил11 (2013-2014)'!O629</f>
        <v>233</v>
      </c>
    </row>
    <row r="17" spans="1:7" ht="12.75">
      <c r="A17" s="145" t="s">
        <v>395</v>
      </c>
      <c r="B17" s="143" t="s">
        <v>382</v>
      </c>
      <c r="C17" s="143" t="s">
        <v>394</v>
      </c>
      <c r="D17" s="344">
        <f>'прил11 (2013-2014)'!L631</f>
        <v>587.73</v>
      </c>
      <c r="E17" s="344">
        <f>'прил11 (2013-2014)'!M631</f>
        <v>388.65999999999997</v>
      </c>
      <c r="F17" s="344">
        <f>'прил11 (2013-2014)'!N631</f>
        <v>976.39</v>
      </c>
      <c r="G17" s="344">
        <f>'прил11 (2013-2014)'!O631</f>
        <v>891.39</v>
      </c>
    </row>
    <row r="18" spans="1:7" ht="12.75">
      <c r="A18" s="142" t="s">
        <v>395</v>
      </c>
      <c r="B18" s="143" t="s">
        <v>382</v>
      </c>
      <c r="C18" s="143" t="s">
        <v>396</v>
      </c>
      <c r="D18" s="344">
        <f>'прил11 (2013-2014)'!L632</f>
        <v>0</v>
      </c>
      <c r="E18" s="344">
        <f>'прил11 (2013-2014)'!M632</f>
        <v>0</v>
      </c>
      <c r="F18" s="344">
        <f>'прил11 (2013-2014)'!N632</f>
        <v>0</v>
      </c>
      <c r="G18" s="344">
        <f>'прил11 (2013-2014)'!O632</f>
        <v>0</v>
      </c>
    </row>
    <row r="19" spans="1:7" ht="12.75">
      <c r="A19" s="139" t="s">
        <v>397</v>
      </c>
      <c r="B19" s="562" t="s">
        <v>398</v>
      </c>
      <c r="C19" s="562"/>
      <c r="D19" s="345">
        <f>D20</f>
        <v>567.6</v>
      </c>
      <c r="E19" s="345">
        <f>E20</f>
        <v>-3</v>
      </c>
      <c r="F19" s="345">
        <f>F20</f>
        <v>564.6</v>
      </c>
      <c r="G19" s="146">
        <f>G20</f>
        <v>581.2</v>
      </c>
    </row>
    <row r="20" spans="1:7" ht="12.75">
      <c r="A20" s="142" t="s">
        <v>399</v>
      </c>
      <c r="B20" s="143" t="s">
        <v>383</v>
      </c>
      <c r="C20" s="143" t="s">
        <v>384</v>
      </c>
      <c r="D20" s="344">
        <f>'прил11 (2013-2014)'!L634</f>
        <v>567.6</v>
      </c>
      <c r="E20" s="344">
        <f>'прил11 (2013-2014)'!M634</f>
        <v>-3</v>
      </c>
      <c r="F20" s="344">
        <f>'прил11 (2013-2014)'!N634</f>
        <v>564.6</v>
      </c>
      <c r="G20" s="344">
        <f>'прил11 (2013-2014)'!O634</f>
        <v>581.2</v>
      </c>
    </row>
    <row r="21" spans="1:7" ht="25.5">
      <c r="A21" s="139" t="s">
        <v>400</v>
      </c>
      <c r="B21" s="562" t="s">
        <v>401</v>
      </c>
      <c r="C21" s="562"/>
      <c r="D21" s="346">
        <f>SUM(D22:D24)</f>
        <v>75</v>
      </c>
      <c r="E21" s="346">
        <f>SUM(E22:E24)</f>
        <v>25</v>
      </c>
      <c r="F21" s="346">
        <f>SUM(F22:F24)</f>
        <v>100</v>
      </c>
      <c r="G21" s="147">
        <f>SUM(G22:G24)</f>
        <v>25</v>
      </c>
    </row>
    <row r="22" spans="1:7" ht="12.75" hidden="1">
      <c r="A22" s="142" t="s">
        <v>402</v>
      </c>
      <c r="B22" s="143" t="s">
        <v>384</v>
      </c>
      <c r="C22" s="143" t="s">
        <v>383</v>
      </c>
      <c r="D22" s="344">
        <f>'прил11 (2013-2014)'!L636</f>
        <v>0</v>
      </c>
      <c r="E22" s="344">
        <f>'прил11 (2013-2014)'!M636</f>
        <v>0</v>
      </c>
      <c r="F22" s="344">
        <f>'прил11 (2013-2014)'!N636</f>
        <v>0</v>
      </c>
      <c r="G22" s="344">
        <f>'прил11 (2013-2014)'!O636</f>
        <v>0</v>
      </c>
    </row>
    <row r="23" spans="1:7" ht="38.25">
      <c r="A23" s="142" t="s">
        <v>403</v>
      </c>
      <c r="B23" s="143" t="s">
        <v>384</v>
      </c>
      <c r="C23" s="143" t="s">
        <v>404</v>
      </c>
      <c r="D23" s="344">
        <f>'прил11 (2013-2014)'!L637</f>
        <v>75</v>
      </c>
      <c r="E23" s="344">
        <f>'прил11 (2013-2014)'!M637</f>
        <v>0</v>
      </c>
      <c r="F23" s="344">
        <f>'прил11 (2013-2014)'!N637</f>
        <v>75</v>
      </c>
      <c r="G23" s="344">
        <f>'прил11 (2013-2014)'!O637</f>
        <v>0</v>
      </c>
    </row>
    <row r="24" spans="1:7" ht="25.5">
      <c r="A24" s="142" t="s">
        <v>405</v>
      </c>
      <c r="B24" s="143" t="s">
        <v>384</v>
      </c>
      <c r="C24" s="143" t="s">
        <v>396</v>
      </c>
      <c r="D24" s="344">
        <f>'прил11 (2013-2014)'!L638</f>
        <v>0</v>
      </c>
      <c r="E24" s="344">
        <f>'прил11 (2013-2014)'!M638</f>
        <v>25</v>
      </c>
      <c r="F24" s="344">
        <f>'прил11 (2013-2014)'!N638</f>
        <v>25</v>
      </c>
      <c r="G24" s="344">
        <f>'прил11 (2013-2014)'!O638</f>
        <v>25</v>
      </c>
    </row>
    <row r="25" spans="1:7" ht="12.75">
      <c r="A25" s="139" t="s">
        <v>406</v>
      </c>
      <c r="B25" s="562" t="s">
        <v>407</v>
      </c>
      <c r="C25" s="562"/>
      <c r="D25" s="346">
        <f>SUM(D26:D27)</f>
        <v>825</v>
      </c>
      <c r="E25" s="346">
        <f>SUM(E26:E27)</f>
        <v>711.54</v>
      </c>
      <c r="F25" s="346">
        <f>SUM(F26:F27)</f>
        <v>1536.54</v>
      </c>
      <c r="G25" s="147">
        <f>SUM(G26:G27)</f>
        <v>160</v>
      </c>
    </row>
    <row r="26" spans="1:7" ht="12.75">
      <c r="A26" s="142" t="s">
        <v>409</v>
      </c>
      <c r="B26" s="143" t="s">
        <v>385</v>
      </c>
      <c r="C26" s="143" t="s">
        <v>387</v>
      </c>
      <c r="D26" s="344">
        <f>'прил11 (2013-2014)'!L640</f>
        <v>0</v>
      </c>
      <c r="E26" s="344">
        <f>'прил11 (2013-2014)'!M640</f>
        <v>160</v>
      </c>
      <c r="F26" s="344">
        <f>'прил11 (2013-2014)'!N640</f>
        <v>160</v>
      </c>
      <c r="G26" s="344">
        <f>'прил11 (2013-2014)'!O640</f>
        <v>160</v>
      </c>
    </row>
    <row r="27" spans="1:7" ht="12.75">
      <c r="A27" s="142" t="s">
        <v>411</v>
      </c>
      <c r="B27" s="143" t="s">
        <v>385</v>
      </c>
      <c r="C27" s="143" t="s">
        <v>393</v>
      </c>
      <c r="D27" s="344">
        <f>'прил11 (2013-2014)'!L643</f>
        <v>825</v>
      </c>
      <c r="E27" s="344">
        <f>'прил11 (2013-2014)'!M643</f>
        <v>551.54</v>
      </c>
      <c r="F27" s="344">
        <f>'прил11 (2013-2014)'!N643</f>
        <v>1376.54</v>
      </c>
      <c r="G27" s="344">
        <f>'прил11 (2013-2014)'!O643</f>
        <v>0</v>
      </c>
    </row>
    <row r="28" spans="1:7" ht="12.75">
      <c r="A28" s="139" t="s">
        <v>412</v>
      </c>
      <c r="B28" s="562" t="s">
        <v>413</v>
      </c>
      <c r="C28" s="562"/>
      <c r="D28" s="346">
        <f>SUM(D29:D31)</f>
        <v>500</v>
      </c>
      <c r="E28" s="346">
        <f>SUM(E29:E31)</f>
        <v>1850</v>
      </c>
      <c r="F28" s="346">
        <f>SUM(F29:F31)</f>
        <v>2350</v>
      </c>
      <c r="G28" s="147">
        <f>SUM(G29:G31)</f>
        <v>0</v>
      </c>
    </row>
    <row r="29" spans="1:7" ht="12.75" hidden="1">
      <c r="A29" s="142" t="s">
        <v>414</v>
      </c>
      <c r="B29" s="143" t="s">
        <v>387</v>
      </c>
      <c r="C29" s="143" t="s">
        <v>382</v>
      </c>
      <c r="D29" s="344">
        <f>'прил11 (2013-2014)'!L645</f>
        <v>0</v>
      </c>
      <c r="E29" s="344">
        <f>'прил11 (2013-2014)'!M645</f>
        <v>0</v>
      </c>
      <c r="F29" s="344">
        <f>'прил11 (2013-2014)'!N645</f>
        <v>0</v>
      </c>
      <c r="G29" s="344">
        <f>'прил11 (2013-2014)'!O645</f>
        <v>0</v>
      </c>
    </row>
    <row r="30" spans="1:7" ht="12.75">
      <c r="A30" s="142" t="s">
        <v>415</v>
      </c>
      <c r="B30" s="143" t="s">
        <v>387</v>
      </c>
      <c r="C30" s="143" t="s">
        <v>383</v>
      </c>
      <c r="D30" s="344">
        <f>'прил11 (2013-2014)'!L646</f>
        <v>500</v>
      </c>
      <c r="E30" s="344">
        <f>'прил11 (2013-2014)'!M646</f>
        <v>1850</v>
      </c>
      <c r="F30" s="344">
        <f>'прил11 (2013-2014)'!N646</f>
        <v>2350</v>
      </c>
      <c r="G30" s="344">
        <f>'прил11 (2013-2014)'!O646</f>
        <v>0</v>
      </c>
    </row>
    <row r="31" spans="1:7" ht="12.75" hidden="1">
      <c r="A31" s="142" t="s">
        <v>416</v>
      </c>
      <c r="B31" s="143" t="s">
        <v>387</v>
      </c>
      <c r="C31" s="143" t="s">
        <v>384</v>
      </c>
      <c r="D31" s="344">
        <f>'прил11 (2013-2014)'!L647</f>
        <v>0</v>
      </c>
      <c r="E31" s="344">
        <f>'прил11 (2013-2014)'!M647</f>
        <v>0</v>
      </c>
      <c r="F31" s="344">
        <f>'прил11 (2013-2014)'!N647</f>
        <v>0</v>
      </c>
      <c r="G31" s="344">
        <f>'прил11 (2013-2014)'!O647</f>
        <v>0</v>
      </c>
    </row>
    <row r="32" spans="1:7" ht="12.75">
      <c r="A32" s="139" t="s">
        <v>417</v>
      </c>
      <c r="B32" s="562" t="s">
        <v>418</v>
      </c>
      <c r="C32" s="562"/>
      <c r="D32" s="346">
        <f>SUM(D33:D37)</f>
        <v>172945.17999999996</v>
      </c>
      <c r="E32" s="346">
        <f>SUM(E33:E37)</f>
        <v>23187.25999999999</v>
      </c>
      <c r="F32" s="346">
        <f>SUM(F33:F37)</f>
        <v>196132.44</v>
      </c>
      <c r="G32" s="147">
        <f>SUM(G33:G37)</f>
        <v>196419.08</v>
      </c>
    </row>
    <row r="33" spans="1:7" ht="12.75">
      <c r="A33" s="142" t="s">
        <v>419</v>
      </c>
      <c r="B33" s="143" t="s">
        <v>390</v>
      </c>
      <c r="C33" s="143" t="s">
        <v>382</v>
      </c>
      <c r="D33" s="344">
        <f>'прил11 (2013-2014)'!L650</f>
        <v>0</v>
      </c>
      <c r="E33" s="344">
        <f>'прил11 (2013-2014)'!M650</f>
        <v>2564.73</v>
      </c>
      <c r="F33" s="344">
        <f>'прил11 (2013-2014)'!N650</f>
        <v>2564.73</v>
      </c>
      <c r="G33" s="344">
        <f>'прил11 (2013-2014)'!O650</f>
        <v>2557.0299999999997</v>
      </c>
    </row>
    <row r="34" spans="1:7" ht="12.75">
      <c r="A34" s="142" t="s">
        <v>420</v>
      </c>
      <c r="B34" s="143" t="s">
        <v>390</v>
      </c>
      <c r="C34" s="143" t="s">
        <v>383</v>
      </c>
      <c r="D34" s="344">
        <f>'прил11 (2013-2014)'!L651</f>
        <v>163990.99999999997</v>
      </c>
      <c r="E34" s="344">
        <f>'прил11 (2013-2014)'!M651</f>
        <v>23331.99999999999</v>
      </c>
      <c r="F34" s="344">
        <f>'прил11 (2013-2014)'!N651</f>
        <v>187323</v>
      </c>
      <c r="G34" s="344">
        <f>'прил11 (2013-2014)'!O651</f>
        <v>187959.02</v>
      </c>
    </row>
    <row r="35" spans="1:7" ht="25.5">
      <c r="A35" s="142" t="s">
        <v>421</v>
      </c>
      <c r="B35" s="143" t="s">
        <v>390</v>
      </c>
      <c r="C35" s="143" t="s">
        <v>387</v>
      </c>
      <c r="D35" s="344">
        <f>'прил11 (2013-2014)'!L652</f>
        <v>850.51</v>
      </c>
      <c r="E35" s="344">
        <f>'прил11 (2013-2014)'!M652</f>
        <v>-719.01</v>
      </c>
      <c r="F35" s="344">
        <f>'прил11 (2013-2014)'!N652</f>
        <v>131.5</v>
      </c>
      <c r="G35" s="344">
        <f>'прил11 (2013-2014)'!O652</f>
        <v>0</v>
      </c>
    </row>
    <row r="36" spans="1:7" ht="12.75">
      <c r="A36" s="142" t="s">
        <v>422</v>
      </c>
      <c r="B36" s="143" t="s">
        <v>390</v>
      </c>
      <c r="C36" s="143" t="s">
        <v>390</v>
      </c>
      <c r="D36" s="344">
        <f>'прил11 (2013-2014)'!L653</f>
        <v>2380.06</v>
      </c>
      <c r="E36" s="344">
        <f>'прил11 (2013-2014)'!M653</f>
        <v>-1971.26</v>
      </c>
      <c r="F36" s="344">
        <f>'прил11 (2013-2014)'!N653</f>
        <v>408.79999999999995</v>
      </c>
      <c r="G36" s="344">
        <f>'прил11 (2013-2014)'!O653</f>
        <v>205.2</v>
      </c>
    </row>
    <row r="37" spans="1:7" ht="12.75">
      <c r="A37" s="142" t="s">
        <v>423</v>
      </c>
      <c r="B37" s="143" t="s">
        <v>390</v>
      </c>
      <c r="C37" s="143" t="s">
        <v>404</v>
      </c>
      <c r="D37" s="344">
        <f>'прил11 (2013-2014)'!L654</f>
        <v>5723.61</v>
      </c>
      <c r="E37" s="344">
        <f>'прил11 (2013-2014)'!M654</f>
        <v>-19.199999999999704</v>
      </c>
      <c r="F37" s="344">
        <f>'прил11 (2013-2014)'!N654</f>
        <v>5704.41</v>
      </c>
      <c r="G37" s="344">
        <f>'прил11 (2013-2014)'!O654</f>
        <v>5697.83</v>
      </c>
    </row>
    <row r="38" spans="1:7" ht="12.75">
      <c r="A38" s="139" t="s">
        <v>424</v>
      </c>
      <c r="B38" s="562" t="s">
        <v>425</v>
      </c>
      <c r="C38" s="562"/>
      <c r="D38" s="346">
        <f>SUM(D39:D40)</f>
        <v>5266.02</v>
      </c>
      <c r="E38" s="346">
        <f>SUM(E39:E40)</f>
        <v>3251.0799999999995</v>
      </c>
      <c r="F38" s="346">
        <f>SUM(F39:F40)</f>
        <v>8517.099999999999</v>
      </c>
      <c r="G38" s="147">
        <f>SUM(G39:G40)</f>
        <v>8106.69</v>
      </c>
    </row>
    <row r="39" spans="1:7" ht="12.75">
      <c r="A39" s="142" t="s">
        <v>426</v>
      </c>
      <c r="B39" s="143" t="s">
        <v>410</v>
      </c>
      <c r="C39" s="143" t="s">
        <v>382</v>
      </c>
      <c r="D39" s="344">
        <f>'прил11 (2013-2014)'!L656</f>
        <v>2294.25</v>
      </c>
      <c r="E39" s="344">
        <f>'прил11 (2013-2014)'!M656</f>
        <v>3773.3599999999997</v>
      </c>
      <c r="F39" s="344">
        <f>'прил11 (2013-2014)'!N656</f>
        <v>6067.61</v>
      </c>
      <c r="G39" s="344">
        <f>'прил11 (2013-2014)'!O656</f>
        <v>5657.2</v>
      </c>
    </row>
    <row r="40" spans="1:7" ht="12.75">
      <c r="A40" s="142" t="s">
        <v>428</v>
      </c>
      <c r="B40" s="143" t="s">
        <v>410</v>
      </c>
      <c r="C40" s="143" t="s">
        <v>385</v>
      </c>
      <c r="D40" s="344">
        <f>'прил11 (2013-2014)'!L657</f>
        <v>2971.77</v>
      </c>
      <c r="E40" s="344">
        <f>'прил11 (2013-2014)'!M657</f>
        <v>-522.2800000000002</v>
      </c>
      <c r="F40" s="344">
        <f>'прил11 (2013-2014)'!N657</f>
        <v>2449.49</v>
      </c>
      <c r="G40" s="344">
        <f>'прил11 (2013-2014)'!O657</f>
        <v>2449.49</v>
      </c>
    </row>
    <row r="41" spans="1:7" ht="12.75">
      <c r="A41" s="139" t="s">
        <v>429</v>
      </c>
      <c r="B41" s="562" t="s">
        <v>430</v>
      </c>
      <c r="C41" s="562"/>
      <c r="D41" s="346">
        <f>SUM(D42:D45)</f>
        <v>39141.270000000004</v>
      </c>
      <c r="E41" s="346">
        <f>SUM(E42:E45)</f>
        <v>-39141.270000000004</v>
      </c>
      <c r="F41" s="346">
        <f>SUM(F42:F45)</f>
        <v>0</v>
      </c>
      <c r="G41" s="147">
        <f>SUM(G42:G45)</f>
        <v>0</v>
      </c>
    </row>
    <row r="42" spans="1:7" ht="12.75">
      <c r="A42" s="142" t="s">
        <v>431</v>
      </c>
      <c r="B42" s="143" t="s">
        <v>404</v>
      </c>
      <c r="C42" s="143" t="s">
        <v>382</v>
      </c>
      <c r="D42" s="344">
        <f>'прил11 (2013-2014)'!L659</f>
        <v>37553.47</v>
      </c>
      <c r="E42" s="344">
        <f>'прил11 (2013-2014)'!M659</f>
        <v>-37553.47</v>
      </c>
      <c r="F42" s="344">
        <f>'прил11 (2013-2014)'!N659</f>
        <v>0</v>
      </c>
      <c r="G42" s="344">
        <f>'прил11 (2013-2014)'!O659</f>
        <v>0</v>
      </c>
    </row>
    <row r="43" spans="1:7" ht="12.75">
      <c r="A43" s="142" t="s">
        <v>432</v>
      </c>
      <c r="B43" s="143" t="s">
        <v>404</v>
      </c>
      <c r="C43" s="143" t="s">
        <v>383</v>
      </c>
      <c r="D43" s="344">
        <f>'прил11 (2013-2014)'!L660</f>
        <v>1045</v>
      </c>
      <c r="E43" s="344">
        <f>'прил11 (2013-2014)'!M660</f>
        <v>-1045</v>
      </c>
      <c r="F43" s="344">
        <f>'прил11 (2013-2014)'!N660</f>
        <v>0</v>
      </c>
      <c r="G43" s="344">
        <f>'прил11 (2013-2014)'!O660</f>
        <v>0</v>
      </c>
    </row>
    <row r="44" spans="1:7" ht="12.75">
      <c r="A44" s="142" t="s">
        <v>433</v>
      </c>
      <c r="B44" s="143" t="s">
        <v>404</v>
      </c>
      <c r="C44" s="143" t="s">
        <v>385</v>
      </c>
      <c r="D44" s="344">
        <f>'прил11 (2013-2014)'!L661</f>
        <v>70</v>
      </c>
      <c r="E44" s="344">
        <f>'прил11 (2013-2014)'!M661</f>
        <v>-70</v>
      </c>
      <c r="F44" s="344">
        <f>'прил11 (2013-2014)'!N661</f>
        <v>0</v>
      </c>
      <c r="G44" s="344">
        <f>'прил11 (2013-2014)'!O661</f>
        <v>0</v>
      </c>
    </row>
    <row r="45" spans="1:7" ht="12.75">
      <c r="A45" s="142" t="s">
        <v>435</v>
      </c>
      <c r="B45" s="143" t="s">
        <v>404</v>
      </c>
      <c r="C45" s="143" t="s">
        <v>404</v>
      </c>
      <c r="D45" s="344">
        <f>'прил11 (2013-2014)'!L663</f>
        <v>472.8</v>
      </c>
      <c r="E45" s="344">
        <f>'прил11 (2013-2014)'!M663</f>
        <v>-472.8</v>
      </c>
      <c r="F45" s="344">
        <f>'прил11 (2013-2014)'!N663</f>
        <v>0</v>
      </c>
      <c r="G45" s="344">
        <f>'прил11 (2013-2014)'!O663</f>
        <v>0</v>
      </c>
    </row>
    <row r="46" spans="1:7" ht="12.75">
      <c r="A46" s="139" t="s">
        <v>438</v>
      </c>
      <c r="B46" s="562" t="s">
        <v>439</v>
      </c>
      <c r="C46" s="562"/>
      <c r="D46" s="346">
        <f>SUM(D47:D51)</f>
        <v>77955.787</v>
      </c>
      <c r="E46" s="346">
        <f>SUM(E47:E51)</f>
        <v>-58689.517</v>
      </c>
      <c r="F46" s="346">
        <f>SUM(F47:F51)</f>
        <v>19266.269999999997</v>
      </c>
      <c r="G46" s="147">
        <f>SUM(G47:G51)</f>
        <v>18201.1</v>
      </c>
    </row>
    <row r="47" spans="1:7" ht="12.75">
      <c r="A47" s="142" t="s">
        <v>440</v>
      </c>
      <c r="B47" s="143" t="s">
        <v>437</v>
      </c>
      <c r="C47" s="143" t="s">
        <v>382</v>
      </c>
      <c r="D47" s="344">
        <f>'прил11 (2013-2014)'!L665</f>
        <v>1685.287</v>
      </c>
      <c r="E47" s="344">
        <f>'прил11 (2013-2014)'!M665</f>
        <v>-1640.287</v>
      </c>
      <c r="F47" s="344">
        <f>'прил11 (2013-2014)'!N665</f>
        <v>45</v>
      </c>
      <c r="G47" s="344">
        <f>'прил11 (2013-2014)'!O665</f>
        <v>45</v>
      </c>
    </row>
    <row r="48" spans="1:7" ht="12.75">
      <c r="A48" s="142" t="s">
        <v>441</v>
      </c>
      <c r="B48" s="143" t="s">
        <v>437</v>
      </c>
      <c r="C48" s="143" t="s">
        <v>383</v>
      </c>
      <c r="D48" s="344">
        <f>'прил11 (2013-2014)'!L666</f>
        <v>7127.990000000001</v>
      </c>
      <c r="E48" s="344">
        <f>'прил11 (2013-2014)'!M666</f>
        <v>-6764.420000000001</v>
      </c>
      <c r="F48" s="344">
        <f>'прил11 (2013-2014)'!N666</f>
        <v>363.57</v>
      </c>
      <c r="G48" s="344">
        <f>'прил11 (2013-2014)'!O666</f>
        <v>0</v>
      </c>
    </row>
    <row r="49" spans="1:7" ht="12.75">
      <c r="A49" s="142" t="s">
        <v>442</v>
      </c>
      <c r="B49" s="143" t="s">
        <v>437</v>
      </c>
      <c r="C49" s="143" t="s">
        <v>384</v>
      </c>
      <c r="D49" s="344">
        <f>'прил11 (2013-2014)'!L667</f>
        <v>54790.7</v>
      </c>
      <c r="E49" s="344">
        <f>'прил11 (2013-2014)'!M667</f>
        <v>-53724.7</v>
      </c>
      <c r="F49" s="344">
        <f>'прил11 (2013-2014)'!N667</f>
        <v>1066</v>
      </c>
      <c r="G49" s="344">
        <f>'прил11 (2013-2014)'!O667</f>
        <v>558</v>
      </c>
    </row>
    <row r="50" spans="1:7" ht="12.75">
      <c r="A50" s="142" t="s">
        <v>443</v>
      </c>
      <c r="B50" s="143" t="s">
        <v>437</v>
      </c>
      <c r="C50" s="143" t="s">
        <v>385</v>
      </c>
      <c r="D50" s="344">
        <f>'прил11 (2013-2014)'!L668</f>
        <v>12424.7</v>
      </c>
      <c r="E50" s="344">
        <f>'прил11 (2013-2014)'!M668</f>
        <v>5173.4</v>
      </c>
      <c r="F50" s="344">
        <f>'прил11 (2013-2014)'!N668</f>
        <v>17598.1</v>
      </c>
      <c r="G50" s="344">
        <f>'прил11 (2013-2014)'!O668</f>
        <v>17598.1</v>
      </c>
    </row>
    <row r="51" spans="1:7" ht="12.75">
      <c r="A51" s="142" t="s">
        <v>444</v>
      </c>
      <c r="B51" s="143" t="s">
        <v>437</v>
      </c>
      <c r="C51" s="143" t="s">
        <v>388</v>
      </c>
      <c r="D51" s="344">
        <f>'прил11 (2013-2014)'!L669</f>
        <v>1927.1100000000001</v>
      </c>
      <c r="E51" s="344">
        <f>'прил11 (2013-2014)'!M669</f>
        <v>-1733.5100000000002</v>
      </c>
      <c r="F51" s="344">
        <f>'прил11 (2013-2014)'!N669</f>
        <v>193.6</v>
      </c>
      <c r="G51" s="344">
        <f>'прил11 (2013-2014)'!O669</f>
        <v>0</v>
      </c>
    </row>
    <row r="52" spans="1:7" ht="12.75">
      <c r="A52" s="139" t="s">
        <v>434</v>
      </c>
      <c r="B52" s="562" t="s">
        <v>445</v>
      </c>
      <c r="C52" s="562"/>
      <c r="D52" s="345">
        <f>D53</f>
        <v>1100</v>
      </c>
      <c r="E52" s="345">
        <f>E53</f>
        <v>187.57999999999993</v>
      </c>
      <c r="F52" s="345">
        <f>F53</f>
        <v>1287.58</v>
      </c>
      <c r="G52" s="146">
        <f>G53</f>
        <v>1281.86</v>
      </c>
    </row>
    <row r="53" spans="1:7" ht="12.75">
      <c r="A53" s="142" t="s">
        <v>446</v>
      </c>
      <c r="B53" s="143" t="s">
        <v>392</v>
      </c>
      <c r="C53" s="143" t="s">
        <v>382</v>
      </c>
      <c r="D53" s="344">
        <f>'прил11 (2013-2014)'!L671</f>
        <v>1100</v>
      </c>
      <c r="E53" s="344">
        <f>'прил11 (2013-2014)'!M671</f>
        <v>187.57999999999993</v>
      </c>
      <c r="F53" s="344">
        <f>'прил11 (2013-2014)'!N671</f>
        <v>1287.58</v>
      </c>
      <c r="G53" s="344">
        <f>'прил11 (2013-2014)'!O671</f>
        <v>1281.86</v>
      </c>
    </row>
    <row r="54" spans="1:7" ht="12.75">
      <c r="A54" s="139" t="s">
        <v>447</v>
      </c>
      <c r="B54" s="562" t="s">
        <v>448</v>
      </c>
      <c r="C54" s="562"/>
      <c r="D54" s="345">
        <f>D55</f>
        <v>900</v>
      </c>
      <c r="E54" s="345">
        <f>E55</f>
        <v>3.6000000000000227</v>
      </c>
      <c r="F54" s="345">
        <f>F55</f>
        <v>903.6</v>
      </c>
      <c r="G54" s="146">
        <f>G55</f>
        <v>903.6</v>
      </c>
    </row>
    <row r="55" spans="1:7" ht="12.75">
      <c r="A55" s="142" t="s">
        <v>427</v>
      </c>
      <c r="B55" s="143" t="s">
        <v>393</v>
      </c>
      <c r="C55" s="143" t="s">
        <v>383</v>
      </c>
      <c r="D55" s="344">
        <f>'прил11 (2013-2014)'!L674</f>
        <v>900</v>
      </c>
      <c r="E55" s="344">
        <f>'прил11 (2013-2014)'!M674</f>
        <v>3.6000000000000227</v>
      </c>
      <c r="F55" s="344">
        <f>'прил11 (2013-2014)'!N674</f>
        <v>903.6</v>
      </c>
      <c r="G55" s="344">
        <f>'прил11 (2013-2014)'!O674</f>
        <v>903.6</v>
      </c>
    </row>
    <row r="56" spans="1:7" ht="25.5">
      <c r="A56" s="139" t="s">
        <v>449</v>
      </c>
      <c r="B56" s="562" t="s">
        <v>450</v>
      </c>
      <c r="C56" s="562"/>
      <c r="D56" s="345">
        <f>D57</f>
        <v>100</v>
      </c>
      <c r="E56" s="345">
        <f>E57</f>
        <v>-54.96</v>
      </c>
      <c r="F56" s="345">
        <f>F57</f>
        <v>45.04</v>
      </c>
      <c r="G56" s="146">
        <f>G57</f>
        <v>7.22</v>
      </c>
    </row>
    <row r="57" spans="1:7" ht="25.5">
      <c r="A57" s="142" t="s">
        <v>451</v>
      </c>
      <c r="B57" s="143" t="s">
        <v>394</v>
      </c>
      <c r="C57" s="143" t="s">
        <v>382</v>
      </c>
      <c r="D57" s="344">
        <f>'прил11 (2013-2014)'!L678</f>
        <v>100</v>
      </c>
      <c r="E57" s="344">
        <f>'прил11 (2013-2014)'!M678</f>
        <v>-54.96</v>
      </c>
      <c r="F57" s="344">
        <f>'прил11 (2013-2014)'!N678</f>
        <v>45.04</v>
      </c>
      <c r="G57" s="344">
        <f>'прил11 (2013-2014)'!O678</f>
        <v>7.22</v>
      </c>
    </row>
    <row r="58" spans="1:7" ht="25.5">
      <c r="A58" s="139" t="s">
        <v>452</v>
      </c>
      <c r="B58" s="562" t="s">
        <v>453</v>
      </c>
      <c r="C58" s="562"/>
      <c r="D58" s="345">
        <f>D59+D60+D61</f>
        <v>29126.1</v>
      </c>
      <c r="E58" s="345">
        <f>E59+E60+E61</f>
        <v>-0.1999999999998181</v>
      </c>
      <c r="F58" s="345">
        <f>F59+F60+F61</f>
        <v>29125.9</v>
      </c>
      <c r="G58" s="146">
        <f>G59+G60+G61</f>
        <v>29125.9</v>
      </c>
    </row>
    <row r="59" spans="1:7" ht="25.5">
      <c r="A59" s="142" t="s">
        <v>454</v>
      </c>
      <c r="B59" s="143" t="s">
        <v>396</v>
      </c>
      <c r="C59" s="143" t="s">
        <v>382</v>
      </c>
      <c r="D59" s="344">
        <f>'прил11 (2013-2014)'!L681</f>
        <v>23512.3</v>
      </c>
      <c r="E59" s="344">
        <f>'прил11 (2013-2014)'!M681</f>
        <v>5613.6</v>
      </c>
      <c r="F59" s="344">
        <f>'прил11 (2013-2014)'!N681</f>
        <v>29125.9</v>
      </c>
      <c r="G59" s="344">
        <f>'прил11 (2013-2014)'!O681</f>
        <v>29125.9</v>
      </c>
    </row>
    <row r="60" spans="1:7" ht="12.75" hidden="1">
      <c r="A60" s="142" t="s">
        <v>455</v>
      </c>
      <c r="B60" s="143" t="s">
        <v>396</v>
      </c>
      <c r="C60" s="143" t="s">
        <v>383</v>
      </c>
      <c r="D60" s="344"/>
      <c r="E60" s="344"/>
      <c r="F60" s="344"/>
      <c r="G60" s="344"/>
    </row>
    <row r="61" spans="1:7" ht="38.25">
      <c r="A61" s="142" t="s">
        <v>456</v>
      </c>
      <c r="B61" s="143" t="s">
        <v>396</v>
      </c>
      <c r="C61" s="143" t="s">
        <v>384</v>
      </c>
      <c r="D61" s="344">
        <f>'прил11 (2013-2014)'!L683</f>
        <v>5613.8</v>
      </c>
      <c r="E61" s="344">
        <f>'прил11 (2013-2014)'!M683</f>
        <v>-5613.8</v>
      </c>
      <c r="F61" s="344">
        <f>'прил11 (2013-2014)'!N683</f>
        <v>0</v>
      </c>
      <c r="G61" s="344">
        <f>'прил11 (2013-2014)'!O683</f>
        <v>0</v>
      </c>
    </row>
    <row r="62" spans="1:7" ht="12.75">
      <c r="A62" s="142" t="s">
        <v>457</v>
      </c>
      <c r="B62" s="143"/>
      <c r="C62" s="143"/>
      <c r="D62" s="344">
        <f>'прил11 (2013-2014)'!L684</f>
        <v>18865.49</v>
      </c>
      <c r="E62" s="344">
        <v>-11570.67</v>
      </c>
      <c r="F62" s="344">
        <f>'прил11 (2013-2014)'!N684</f>
        <v>7294.840000000002</v>
      </c>
      <c r="G62" s="344">
        <f>'прил11 (2013-2014)'!O684</f>
        <v>14788.9</v>
      </c>
    </row>
    <row r="63" spans="1:7" ht="12.75">
      <c r="A63" s="139" t="s">
        <v>458</v>
      </c>
      <c r="B63" s="140"/>
      <c r="C63" s="140"/>
      <c r="D63" s="346">
        <f>D9+D19+D21+D25+D28+D32+D38+D41+D46+D52+D54+D56+D58+D62</f>
        <v>369952.0069999999</v>
      </c>
      <c r="E63" s="346">
        <f>E9+E19+E21+E25+E28+E32+E38+E41+E46+E52+E54+E56+E58+E62</f>
        <v>-78158.42700000001</v>
      </c>
      <c r="F63" s="346">
        <f>F9+F19+F21+F25+F28+F32+F38+F41+F46+F52+F54+F56+F58+F62</f>
        <v>291793.60000000003</v>
      </c>
      <c r="G63" s="346">
        <f>G9+G19+G21+G25+G28+G32+G38+G41+G46+G52+G54+G56+G58+G62</f>
        <v>295777.83</v>
      </c>
    </row>
    <row r="65" ht="12.75">
      <c r="D65" s="149"/>
    </row>
  </sheetData>
  <sheetProtection/>
  <mergeCells count="18">
    <mergeCell ref="B41:C41"/>
    <mergeCell ref="B46:C46"/>
    <mergeCell ref="B52:C52"/>
    <mergeCell ref="B54:C54"/>
    <mergeCell ref="B56:C56"/>
    <mergeCell ref="B58:C58"/>
    <mergeCell ref="B19:C19"/>
    <mergeCell ref="B21:C21"/>
    <mergeCell ref="B25:C25"/>
    <mergeCell ref="B28:C28"/>
    <mergeCell ref="B32:C32"/>
    <mergeCell ref="B38:C38"/>
    <mergeCell ref="D2:F2"/>
    <mergeCell ref="D3:G3"/>
    <mergeCell ref="A5:F5"/>
    <mergeCell ref="A7:C7"/>
    <mergeCell ref="B9:C9"/>
    <mergeCell ref="A6:G6"/>
  </mergeCells>
  <printOptions/>
  <pageMargins left="1.1023622047244095" right="0" top="0.35433070866141736" bottom="0" header="0.31496062992125984" footer="0.31496062992125984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921"/>
  <sheetViews>
    <sheetView view="pageBreakPreview" zoomScaleSheetLayoutView="100" zoomScalePageLayoutView="0" workbookViewId="0" topLeftCell="A625">
      <selection activeCell="J3" sqref="J3:L3"/>
    </sheetView>
  </sheetViews>
  <sheetFormatPr defaultColWidth="9.140625" defaultRowHeight="12.75"/>
  <cols>
    <col min="1" max="1" width="35.8515625" style="152" customWidth="1"/>
    <col min="2" max="2" width="7.00390625" style="152" customWidth="1"/>
    <col min="3" max="3" width="6.7109375" style="152" customWidth="1"/>
    <col min="4" max="4" width="5.140625" style="152" customWidth="1"/>
    <col min="5" max="5" width="9.7109375" style="152" customWidth="1"/>
    <col min="6" max="6" width="7.28125" style="152" customWidth="1"/>
    <col min="7" max="7" width="0.13671875" style="152" customWidth="1"/>
    <col min="8" max="8" width="13.8515625" style="152" hidden="1" customWidth="1"/>
    <col min="9" max="9" width="12.57421875" style="152" hidden="1" customWidth="1"/>
    <col min="10" max="10" width="15.57421875" style="424" customWidth="1"/>
    <col min="11" max="11" width="15.00390625" style="424" customWidth="1"/>
    <col min="12" max="12" width="16.28125" style="424" customWidth="1"/>
    <col min="13" max="13" width="13.28125" style="152" hidden="1" customWidth="1"/>
    <col min="14" max="14" width="13.8515625" style="152" hidden="1" customWidth="1"/>
    <col min="15" max="15" width="12.7109375" style="152" bestFit="1" customWidth="1"/>
    <col min="16" max="16" width="14.140625" style="152" hidden="1" customWidth="1"/>
    <col min="17" max="18" width="15.421875" style="152" bestFit="1" customWidth="1"/>
    <col min="19" max="16384" width="9.140625" style="152" customWidth="1"/>
  </cols>
  <sheetData>
    <row r="1" spans="2:13" ht="15">
      <c r="B1" s="151"/>
      <c r="C1" s="151"/>
      <c r="D1" s="151"/>
      <c r="E1" s="576"/>
      <c r="F1" s="576"/>
      <c r="G1" s="576"/>
      <c r="H1" s="576"/>
      <c r="I1" s="576"/>
      <c r="J1" s="422"/>
      <c r="K1" s="422"/>
      <c r="L1" s="422"/>
      <c r="M1" s="152" t="s">
        <v>91</v>
      </c>
    </row>
    <row r="2" spans="2:17" ht="15">
      <c r="B2" s="151"/>
      <c r="C2" s="151"/>
      <c r="D2" s="151"/>
      <c r="E2" s="577"/>
      <c r="F2" s="578"/>
      <c r="G2" s="578"/>
      <c r="H2" s="578"/>
      <c r="I2" s="578"/>
      <c r="J2" s="422" t="s">
        <v>459</v>
      </c>
      <c r="K2" s="422"/>
      <c r="L2" s="422"/>
      <c r="M2" s="577"/>
      <c r="N2" s="578"/>
      <c r="O2" s="578"/>
      <c r="P2" s="578"/>
      <c r="Q2" s="578"/>
    </row>
    <row r="3" spans="2:19" ht="39.75" customHeight="1">
      <c r="B3" s="151"/>
      <c r="C3" s="151"/>
      <c r="D3" s="151"/>
      <c r="E3" s="453"/>
      <c r="F3" s="453"/>
      <c r="G3" s="453"/>
      <c r="H3" s="453"/>
      <c r="I3" s="453"/>
      <c r="J3" s="579" t="s">
        <v>460</v>
      </c>
      <c r="K3" s="579"/>
      <c r="L3" s="579"/>
      <c r="P3" s="453"/>
      <c r="Q3" s="453"/>
      <c r="R3" s="454"/>
      <c r="S3" s="454"/>
    </row>
    <row r="4" spans="5:14" ht="6.75" customHeight="1">
      <c r="E4" s="453"/>
      <c r="F4" s="453"/>
      <c r="G4" s="453"/>
      <c r="H4" s="453"/>
      <c r="I4" s="453"/>
      <c r="J4" s="423"/>
      <c r="K4" s="423"/>
      <c r="L4" s="423"/>
      <c r="M4" s="454"/>
      <c r="N4" s="454"/>
    </row>
    <row r="5" spans="1:14" ht="32.25" customHeight="1">
      <c r="A5" s="580" t="s">
        <v>461</v>
      </c>
      <c r="B5" s="581"/>
      <c r="C5" s="581"/>
      <c r="D5" s="581"/>
      <c r="E5" s="581"/>
      <c r="F5" s="581"/>
      <c r="G5" s="581"/>
      <c r="H5" s="581"/>
      <c r="I5" s="581"/>
      <c r="J5" s="581"/>
      <c r="K5" s="581"/>
      <c r="L5" s="581"/>
      <c r="M5" s="454"/>
      <c r="N5" s="454"/>
    </row>
    <row r="6" ht="8.25" customHeight="1" thickBot="1"/>
    <row r="7" spans="1:14" ht="12.75" customHeight="1">
      <c r="A7" s="582" t="s">
        <v>462</v>
      </c>
      <c r="B7" s="582" t="s">
        <v>463</v>
      </c>
      <c r="C7" s="582"/>
      <c r="D7" s="582"/>
      <c r="E7" s="582"/>
      <c r="F7" s="582"/>
      <c r="G7" s="583" t="s">
        <v>464</v>
      </c>
      <c r="H7" s="584" t="s">
        <v>465</v>
      </c>
      <c r="I7" s="582" t="s">
        <v>464</v>
      </c>
      <c r="J7" s="587" t="s">
        <v>466</v>
      </c>
      <c r="K7" s="587" t="s">
        <v>464</v>
      </c>
      <c r="L7" s="587" t="s">
        <v>467</v>
      </c>
      <c r="M7" s="590" t="s">
        <v>464</v>
      </c>
      <c r="N7" s="593" t="s">
        <v>468</v>
      </c>
    </row>
    <row r="8" spans="1:14" ht="15">
      <c r="A8" s="582"/>
      <c r="B8" s="582" t="s">
        <v>469</v>
      </c>
      <c r="C8" s="582"/>
      <c r="D8" s="582"/>
      <c r="E8" s="582"/>
      <c r="F8" s="582"/>
      <c r="G8" s="583"/>
      <c r="H8" s="585"/>
      <c r="I8" s="586"/>
      <c r="J8" s="588"/>
      <c r="K8" s="589"/>
      <c r="L8" s="587"/>
      <c r="M8" s="591"/>
      <c r="N8" s="594"/>
    </row>
    <row r="9" spans="1:14" ht="36" customHeight="1" thickBot="1">
      <c r="A9" s="582"/>
      <c r="B9" s="157" t="s">
        <v>470</v>
      </c>
      <c r="C9" s="153" t="s">
        <v>471</v>
      </c>
      <c r="D9" s="153" t="s">
        <v>472</v>
      </c>
      <c r="E9" s="153" t="s">
        <v>473</v>
      </c>
      <c r="F9" s="153" t="s">
        <v>474</v>
      </c>
      <c r="G9" s="583"/>
      <c r="H9" s="585"/>
      <c r="I9" s="586"/>
      <c r="J9" s="588"/>
      <c r="K9" s="589"/>
      <c r="L9" s="587"/>
      <c r="M9" s="592"/>
      <c r="N9" s="595"/>
    </row>
    <row r="10" spans="1:14" s="446" customFormat="1" ht="12" thickBot="1">
      <c r="A10" s="517" t="s">
        <v>475</v>
      </c>
      <c r="B10" s="517">
        <v>1</v>
      </c>
      <c r="C10" s="517">
        <v>2</v>
      </c>
      <c r="D10" s="517">
        <v>3</v>
      </c>
      <c r="E10" s="517">
        <v>4</v>
      </c>
      <c r="F10" s="517">
        <v>5</v>
      </c>
      <c r="G10" s="517"/>
      <c r="H10" s="518"/>
      <c r="I10" s="519"/>
      <c r="J10" s="520">
        <v>6</v>
      </c>
      <c r="K10" s="521">
        <v>7</v>
      </c>
      <c r="L10" s="520">
        <v>8</v>
      </c>
      <c r="M10" s="522">
        <v>7</v>
      </c>
      <c r="N10" s="523">
        <v>8</v>
      </c>
    </row>
    <row r="11" spans="1:14" ht="15.75" customHeight="1" thickBot="1">
      <c r="A11" s="156" t="s">
        <v>476</v>
      </c>
      <c r="B11" s="158" t="s">
        <v>477</v>
      </c>
      <c r="C11" s="159"/>
      <c r="D11" s="159"/>
      <c r="E11" s="159"/>
      <c r="F11" s="159"/>
      <c r="G11" s="160">
        <f aca="true" t="shared" si="0" ref="G11:M11">G12+G19</f>
        <v>749.74424</v>
      </c>
      <c r="H11" s="160">
        <f t="shared" si="0"/>
        <v>38033.2</v>
      </c>
      <c r="I11" s="160">
        <f t="shared" si="0"/>
        <v>0</v>
      </c>
      <c r="J11" s="161">
        <v>16098.349999999999</v>
      </c>
      <c r="K11" s="161">
        <f t="shared" si="0"/>
        <v>-16098.349999999999</v>
      </c>
      <c r="L11" s="161">
        <f t="shared" si="0"/>
        <v>0</v>
      </c>
      <c r="M11" s="162">
        <f t="shared" si="0"/>
        <v>-317.84000000000003</v>
      </c>
      <c r="N11" s="163">
        <f>N12+N19</f>
        <v>-317.84000000000003</v>
      </c>
    </row>
    <row r="12" spans="1:14" ht="15" customHeight="1" hidden="1">
      <c r="A12" s="155" t="s">
        <v>478</v>
      </c>
      <c r="B12" s="158" t="s">
        <v>477</v>
      </c>
      <c r="C12" s="158" t="s">
        <v>390</v>
      </c>
      <c r="D12" s="159"/>
      <c r="E12" s="159"/>
      <c r="F12" s="159"/>
      <c r="G12" s="164">
        <f aca="true" t="shared" si="1" ref="G12:N15">G13</f>
        <v>0</v>
      </c>
      <c r="H12" s="164">
        <f t="shared" si="1"/>
        <v>131</v>
      </c>
      <c r="I12" s="164">
        <f t="shared" si="1"/>
        <v>0</v>
      </c>
      <c r="J12" s="161">
        <v>0</v>
      </c>
      <c r="K12" s="161">
        <f t="shared" si="1"/>
        <v>0</v>
      </c>
      <c r="L12" s="161">
        <f>L13</f>
        <v>0</v>
      </c>
      <c r="M12" s="165">
        <f>M13</f>
        <v>0</v>
      </c>
      <c r="N12" s="166">
        <f>N13</f>
        <v>0</v>
      </c>
    </row>
    <row r="13" spans="1:14" ht="43.5" customHeight="1" hidden="1">
      <c r="A13" s="167" t="s">
        <v>479</v>
      </c>
      <c r="B13" s="168" t="s">
        <v>477</v>
      </c>
      <c r="C13" s="168" t="s">
        <v>390</v>
      </c>
      <c r="D13" s="168" t="s">
        <v>387</v>
      </c>
      <c r="E13" s="159"/>
      <c r="F13" s="159"/>
      <c r="G13" s="169">
        <f aca="true" t="shared" si="2" ref="G13:M13">G14+G17</f>
        <v>0</v>
      </c>
      <c r="H13" s="169">
        <f t="shared" si="2"/>
        <v>131</v>
      </c>
      <c r="I13" s="169">
        <f t="shared" si="2"/>
        <v>0</v>
      </c>
      <c r="J13" s="170">
        <v>0</v>
      </c>
      <c r="K13" s="170">
        <f t="shared" si="2"/>
        <v>0</v>
      </c>
      <c r="L13" s="170">
        <f t="shared" si="2"/>
        <v>0</v>
      </c>
      <c r="M13" s="171">
        <f t="shared" si="2"/>
        <v>0</v>
      </c>
      <c r="N13" s="172">
        <f>N14+N17</f>
        <v>0</v>
      </c>
    </row>
    <row r="14" spans="1:14" ht="30" customHeight="1" hidden="1">
      <c r="A14" s="173" t="s">
        <v>480</v>
      </c>
      <c r="B14" s="159" t="s">
        <v>477</v>
      </c>
      <c r="C14" s="159" t="s">
        <v>390</v>
      </c>
      <c r="D14" s="159" t="s">
        <v>387</v>
      </c>
      <c r="E14" s="159" t="s">
        <v>481</v>
      </c>
      <c r="F14" s="159"/>
      <c r="G14" s="169">
        <f t="shared" si="1"/>
        <v>-125</v>
      </c>
      <c r="H14" s="169">
        <f t="shared" si="1"/>
        <v>131</v>
      </c>
      <c r="I14" s="169">
        <f t="shared" si="1"/>
        <v>0</v>
      </c>
      <c r="J14" s="170">
        <v>0</v>
      </c>
      <c r="K14" s="170">
        <f t="shared" si="1"/>
        <v>0</v>
      </c>
      <c r="L14" s="170">
        <f t="shared" si="1"/>
        <v>0</v>
      </c>
      <c r="M14" s="171">
        <f t="shared" si="1"/>
        <v>0</v>
      </c>
      <c r="N14" s="172">
        <f t="shared" si="1"/>
        <v>0</v>
      </c>
    </row>
    <row r="15" spans="1:14" ht="30" customHeight="1" hidden="1">
      <c r="A15" s="173" t="s">
        <v>482</v>
      </c>
      <c r="B15" s="159" t="s">
        <v>477</v>
      </c>
      <c r="C15" s="159" t="s">
        <v>390</v>
      </c>
      <c r="D15" s="159" t="s">
        <v>387</v>
      </c>
      <c r="E15" s="159" t="s">
        <v>483</v>
      </c>
      <c r="F15" s="159"/>
      <c r="G15" s="169">
        <f t="shared" si="1"/>
        <v>-125</v>
      </c>
      <c r="H15" s="169">
        <f>H16</f>
        <v>131</v>
      </c>
      <c r="I15" s="169">
        <f t="shared" si="1"/>
        <v>0</v>
      </c>
      <c r="J15" s="170">
        <v>0</v>
      </c>
      <c r="K15" s="170">
        <f t="shared" si="1"/>
        <v>0</v>
      </c>
      <c r="L15" s="170">
        <f t="shared" si="1"/>
        <v>0</v>
      </c>
      <c r="M15" s="171">
        <f t="shared" si="1"/>
        <v>0</v>
      </c>
      <c r="N15" s="172">
        <f t="shared" si="1"/>
        <v>0</v>
      </c>
    </row>
    <row r="16" spans="1:14" ht="30" customHeight="1" hidden="1">
      <c r="A16" s="173" t="s">
        <v>484</v>
      </c>
      <c r="B16" s="159" t="s">
        <v>477</v>
      </c>
      <c r="C16" s="159" t="s">
        <v>390</v>
      </c>
      <c r="D16" s="159" t="s">
        <v>387</v>
      </c>
      <c r="E16" s="159" t="s">
        <v>483</v>
      </c>
      <c r="F16" s="159" t="s">
        <v>485</v>
      </c>
      <c r="G16" s="169">
        <v>-125</v>
      </c>
      <c r="H16" s="169">
        <v>131</v>
      </c>
      <c r="I16" s="169"/>
      <c r="J16" s="170">
        <v>0</v>
      </c>
      <c r="K16" s="170"/>
      <c r="L16" s="170">
        <f>J16+K16</f>
        <v>0</v>
      </c>
      <c r="M16" s="171"/>
      <c r="N16" s="172">
        <f>L16+M16</f>
        <v>0</v>
      </c>
    </row>
    <row r="17" spans="1:14" ht="30" customHeight="1" hidden="1">
      <c r="A17" s="173" t="s">
        <v>482</v>
      </c>
      <c r="B17" s="159" t="s">
        <v>477</v>
      </c>
      <c r="C17" s="159" t="s">
        <v>390</v>
      </c>
      <c r="D17" s="159" t="s">
        <v>387</v>
      </c>
      <c r="E17" s="159" t="s">
        <v>486</v>
      </c>
      <c r="F17" s="159"/>
      <c r="G17" s="169">
        <f aca="true" t="shared" si="3" ref="G17:N17">G18</f>
        <v>125</v>
      </c>
      <c r="H17" s="169">
        <f t="shared" si="3"/>
        <v>0</v>
      </c>
      <c r="I17" s="169">
        <f t="shared" si="3"/>
        <v>0</v>
      </c>
      <c r="J17" s="170">
        <v>0</v>
      </c>
      <c r="K17" s="170">
        <f t="shared" si="3"/>
        <v>0</v>
      </c>
      <c r="L17" s="170">
        <f t="shared" si="3"/>
        <v>0</v>
      </c>
      <c r="M17" s="171">
        <f t="shared" si="3"/>
        <v>0</v>
      </c>
      <c r="N17" s="172">
        <f t="shared" si="3"/>
        <v>0</v>
      </c>
    </row>
    <row r="18" spans="1:14" ht="30" customHeight="1" hidden="1">
      <c r="A18" s="173" t="s">
        <v>487</v>
      </c>
      <c r="B18" s="159" t="s">
        <v>477</v>
      </c>
      <c r="C18" s="159" t="s">
        <v>390</v>
      </c>
      <c r="D18" s="159" t="s">
        <v>387</v>
      </c>
      <c r="E18" s="159" t="s">
        <v>486</v>
      </c>
      <c r="F18" s="159" t="s">
        <v>485</v>
      </c>
      <c r="G18" s="169">
        <v>125</v>
      </c>
      <c r="H18" s="169"/>
      <c r="I18" s="169"/>
      <c r="J18" s="170">
        <v>0</v>
      </c>
      <c r="K18" s="170"/>
      <c r="L18" s="170">
        <f>J18+K18</f>
        <v>0</v>
      </c>
      <c r="M18" s="171"/>
      <c r="N18" s="172">
        <f>L18+M18</f>
        <v>0</v>
      </c>
    </row>
    <row r="19" spans="1:14" ht="15">
      <c r="A19" s="167" t="s">
        <v>488</v>
      </c>
      <c r="B19" s="168" t="s">
        <v>477</v>
      </c>
      <c r="C19" s="168" t="s">
        <v>404</v>
      </c>
      <c r="D19" s="159"/>
      <c r="E19" s="159"/>
      <c r="F19" s="159"/>
      <c r="G19" s="169">
        <f aca="true" t="shared" si="4" ref="G19:M19">G20+G37+G76+G57</f>
        <v>749.74424</v>
      </c>
      <c r="H19" s="169">
        <f t="shared" si="4"/>
        <v>37902.2</v>
      </c>
      <c r="I19" s="169">
        <f t="shared" si="4"/>
        <v>0</v>
      </c>
      <c r="J19" s="170">
        <v>16098.349999999999</v>
      </c>
      <c r="K19" s="170">
        <f>K20+K37+K76+K57+K62</f>
        <v>-16098.349999999999</v>
      </c>
      <c r="L19" s="170">
        <f>L20+L37+L76+L57+L62</f>
        <v>0</v>
      </c>
      <c r="M19" s="171">
        <f t="shared" si="4"/>
        <v>-317.84000000000003</v>
      </c>
      <c r="N19" s="172">
        <f>N20+N37+N76+N57</f>
        <v>-317.84000000000003</v>
      </c>
    </row>
    <row r="20" spans="1:14" ht="15">
      <c r="A20" s="167" t="s">
        <v>431</v>
      </c>
      <c r="B20" s="168" t="s">
        <v>477</v>
      </c>
      <c r="C20" s="168" t="s">
        <v>404</v>
      </c>
      <c r="D20" s="168" t="s">
        <v>382</v>
      </c>
      <c r="E20" s="159"/>
      <c r="F20" s="159"/>
      <c r="G20" s="164">
        <f>G24+G28+G21</f>
        <v>-5232</v>
      </c>
      <c r="H20" s="164">
        <f>H24+H28+H21</f>
        <v>30796.129999999997</v>
      </c>
      <c r="I20" s="164">
        <f>I24+I28+I21</f>
        <v>0</v>
      </c>
      <c r="J20" s="161">
        <v>11582.25</v>
      </c>
      <c r="K20" s="161">
        <f>K24+K28+K21+K35</f>
        <v>-11582.25</v>
      </c>
      <c r="L20" s="161">
        <f>L24+L28+L21+L35</f>
        <v>0</v>
      </c>
      <c r="M20" s="174">
        <f>M24+M28+M21+M35</f>
        <v>-1006.6600000000001</v>
      </c>
      <c r="N20" s="175">
        <f>N24+N28+N21+N35</f>
        <v>-1006.6600000000001</v>
      </c>
    </row>
    <row r="21" spans="1:14" ht="32.25" customHeight="1" hidden="1">
      <c r="A21" s="176" t="s">
        <v>489</v>
      </c>
      <c r="B21" s="159" t="s">
        <v>477</v>
      </c>
      <c r="C21" s="159" t="s">
        <v>404</v>
      </c>
      <c r="D21" s="159" t="s">
        <v>382</v>
      </c>
      <c r="E21" s="159" t="s">
        <v>490</v>
      </c>
      <c r="F21" s="159"/>
      <c r="G21" s="155">
        <f aca="true" t="shared" si="5" ref="G21:N22">G22</f>
        <v>320</v>
      </c>
      <c r="H21" s="155">
        <f t="shared" si="5"/>
        <v>0</v>
      </c>
      <c r="I21" s="155">
        <f t="shared" si="5"/>
        <v>0</v>
      </c>
      <c r="J21" s="161">
        <v>0</v>
      </c>
      <c r="K21" s="161">
        <f t="shared" si="5"/>
        <v>0</v>
      </c>
      <c r="L21" s="161">
        <f t="shared" si="5"/>
        <v>0</v>
      </c>
      <c r="M21" s="174">
        <f t="shared" si="5"/>
        <v>0</v>
      </c>
      <c r="N21" s="175">
        <f t="shared" si="5"/>
        <v>0</v>
      </c>
    </row>
    <row r="22" spans="1:14" ht="32.25" customHeight="1" hidden="1">
      <c r="A22" s="176" t="s">
        <v>491</v>
      </c>
      <c r="B22" s="159" t="s">
        <v>477</v>
      </c>
      <c r="C22" s="159" t="s">
        <v>404</v>
      </c>
      <c r="D22" s="159" t="s">
        <v>382</v>
      </c>
      <c r="E22" s="159" t="s">
        <v>492</v>
      </c>
      <c r="F22" s="159"/>
      <c r="G22" s="155">
        <f t="shared" si="5"/>
        <v>320</v>
      </c>
      <c r="H22" s="155">
        <f t="shared" si="5"/>
        <v>0</v>
      </c>
      <c r="I22" s="155">
        <f t="shared" si="5"/>
        <v>0</v>
      </c>
      <c r="J22" s="161">
        <v>0</v>
      </c>
      <c r="K22" s="161">
        <f t="shared" si="5"/>
        <v>0</v>
      </c>
      <c r="L22" s="161">
        <f t="shared" si="5"/>
        <v>0</v>
      </c>
      <c r="M22" s="174">
        <f t="shared" si="5"/>
        <v>0</v>
      </c>
      <c r="N22" s="175">
        <f t="shared" si="5"/>
        <v>0</v>
      </c>
    </row>
    <row r="23" spans="1:14" ht="32.25" customHeight="1" hidden="1">
      <c r="A23" s="173" t="s">
        <v>493</v>
      </c>
      <c r="B23" s="159" t="s">
        <v>477</v>
      </c>
      <c r="C23" s="159" t="s">
        <v>404</v>
      </c>
      <c r="D23" s="159" t="s">
        <v>382</v>
      </c>
      <c r="E23" s="159" t="s">
        <v>492</v>
      </c>
      <c r="F23" s="159" t="s">
        <v>494</v>
      </c>
      <c r="G23" s="155">
        <v>320</v>
      </c>
      <c r="H23" s="169"/>
      <c r="I23" s="155"/>
      <c r="J23" s="170">
        <v>0</v>
      </c>
      <c r="K23" s="161"/>
      <c r="L23" s="170">
        <f>J23+K23</f>
        <v>0</v>
      </c>
      <c r="M23" s="174"/>
      <c r="N23" s="172">
        <f>L23+M23</f>
        <v>0</v>
      </c>
    </row>
    <row r="24" spans="1:14" ht="26.25">
      <c r="A24" s="173" t="s">
        <v>495</v>
      </c>
      <c r="B24" s="159" t="s">
        <v>477</v>
      </c>
      <c r="C24" s="159" t="s">
        <v>404</v>
      </c>
      <c r="D24" s="159" t="s">
        <v>382</v>
      </c>
      <c r="E24" s="159" t="s">
        <v>496</v>
      </c>
      <c r="F24" s="159"/>
      <c r="G24" s="177">
        <f aca="true" t="shared" si="6" ref="G24:N24">G25</f>
        <v>-1834</v>
      </c>
      <c r="H24" s="177">
        <f t="shared" si="6"/>
        <v>26303.19</v>
      </c>
      <c r="I24" s="177">
        <f t="shared" si="6"/>
        <v>0</v>
      </c>
      <c r="J24" s="170">
        <v>11582.25</v>
      </c>
      <c r="K24" s="170">
        <f t="shared" si="6"/>
        <v>-11582.25</v>
      </c>
      <c r="L24" s="170">
        <f t="shared" si="6"/>
        <v>0</v>
      </c>
      <c r="M24" s="171">
        <f t="shared" si="6"/>
        <v>-1747.96</v>
      </c>
      <c r="N24" s="172">
        <f t="shared" si="6"/>
        <v>-1747.96</v>
      </c>
    </row>
    <row r="25" spans="1:14" ht="26.25">
      <c r="A25" s="173" t="s">
        <v>497</v>
      </c>
      <c r="B25" s="159" t="s">
        <v>477</v>
      </c>
      <c r="C25" s="159" t="s">
        <v>404</v>
      </c>
      <c r="D25" s="159" t="s">
        <v>382</v>
      </c>
      <c r="E25" s="159" t="s">
        <v>498</v>
      </c>
      <c r="F25" s="159"/>
      <c r="G25" s="177">
        <f aca="true" t="shared" si="7" ref="G25:M25">G26+G27</f>
        <v>-1834</v>
      </c>
      <c r="H25" s="177">
        <f t="shared" si="7"/>
        <v>26303.19</v>
      </c>
      <c r="I25" s="177">
        <f t="shared" si="7"/>
        <v>0</v>
      </c>
      <c r="J25" s="170">
        <v>11582.25</v>
      </c>
      <c r="K25" s="170">
        <f>K26+K27+K31+K33</f>
        <v>-11582.25</v>
      </c>
      <c r="L25" s="170">
        <f>L26+L27+L31+L33</f>
        <v>0</v>
      </c>
      <c r="M25" s="171">
        <f t="shared" si="7"/>
        <v>-1747.96</v>
      </c>
      <c r="N25" s="178">
        <f>N26+N27</f>
        <v>-1747.96</v>
      </c>
    </row>
    <row r="26" spans="1:14" ht="32.25" customHeight="1">
      <c r="A26" s="173" t="s">
        <v>493</v>
      </c>
      <c r="B26" s="159" t="s">
        <v>477</v>
      </c>
      <c r="C26" s="159" t="s">
        <v>404</v>
      </c>
      <c r="D26" s="159" t="s">
        <v>382</v>
      </c>
      <c r="E26" s="159" t="s">
        <v>498</v>
      </c>
      <c r="F26" s="159" t="s">
        <v>494</v>
      </c>
      <c r="G26" s="177">
        <f>-2164-3718+200-200+220+3718</f>
        <v>-1944</v>
      </c>
      <c r="H26" s="169">
        <v>25958.19</v>
      </c>
      <c r="I26" s="177"/>
      <c r="J26" s="170">
        <v>6920.25</v>
      </c>
      <c r="K26" s="170">
        <v>-6920.25</v>
      </c>
      <c r="L26" s="170">
        <f>J26+K26</f>
        <v>0</v>
      </c>
      <c r="M26" s="171">
        <f>-155.84+35.88-1595-33</f>
        <v>-1747.96</v>
      </c>
      <c r="N26" s="172">
        <f>L26+M26</f>
        <v>-1747.96</v>
      </c>
    </row>
    <row r="27" spans="1:14" ht="32.25" customHeight="1">
      <c r="A27" s="173" t="s">
        <v>499</v>
      </c>
      <c r="B27" s="159" t="s">
        <v>477</v>
      </c>
      <c r="C27" s="159" t="s">
        <v>404</v>
      </c>
      <c r="D27" s="159" t="s">
        <v>382</v>
      </c>
      <c r="E27" s="159" t="s">
        <v>500</v>
      </c>
      <c r="F27" s="159" t="s">
        <v>494</v>
      </c>
      <c r="G27" s="169">
        <v>110</v>
      </c>
      <c r="H27" s="169">
        <v>345</v>
      </c>
      <c r="I27" s="169"/>
      <c r="J27" s="170">
        <v>4662</v>
      </c>
      <c r="K27" s="170">
        <v>-4662</v>
      </c>
      <c r="L27" s="170">
        <f>J27+K27</f>
        <v>0</v>
      </c>
      <c r="M27" s="171"/>
      <c r="N27" s="172">
        <f>L27+M27</f>
        <v>0</v>
      </c>
    </row>
    <row r="28" spans="1:14" ht="32.25" customHeight="1" hidden="1">
      <c r="A28" s="173" t="s">
        <v>501</v>
      </c>
      <c r="B28" s="159" t="s">
        <v>477</v>
      </c>
      <c r="C28" s="159" t="s">
        <v>404</v>
      </c>
      <c r="D28" s="159" t="s">
        <v>382</v>
      </c>
      <c r="E28" s="159" t="s">
        <v>502</v>
      </c>
      <c r="F28" s="159"/>
      <c r="G28" s="169">
        <f aca="true" t="shared" si="8" ref="G28:N29">G29</f>
        <v>-3718</v>
      </c>
      <c r="H28" s="169">
        <f t="shared" si="8"/>
        <v>4492.94</v>
      </c>
      <c r="I28" s="169">
        <f t="shared" si="8"/>
        <v>0</v>
      </c>
      <c r="J28" s="170">
        <v>0</v>
      </c>
      <c r="K28" s="170">
        <f t="shared" si="8"/>
        <v>0</v>
      </c>
      <c r="L28" s="170">
        <f t="shared" si="8"/>
        <v>0</v>
      </c>
      <c r="M28" s="171">
        <f t="shared" si="8"/>
        <v>0</v>
      </c>
      <c r="N28" s="172">
        <f t="shared" si="8"/>
        <v>0</v>
      </c>
    </row>
    <row r="29" spans="1:14" ht="32.25" customHeight="1" hidden="1">
      <c r="A29" s="173" t="s">
        <v>497</v>
      </c>
      <c r="B29" s="159" t="s">
        <v>477</v>
      </c>
      <c r="C29" s="159" t="s">
        <v>404</v>
      </c>
      <c r="D29" s="159" t="s">
        <v>382</v>
      </c>
      <c r="E29" s="159" t="s">
        <v>503</v>
      </c>
      <c r="F29" s="159"/>
      <c r="G29" s="169">
        <f t="shared" si="8"/>
        <v>-3718</v>
      </c>
      <c r="H29" s="169">
        <f t="shared" si="8"/>
        <v>4492.94</v>
      </c>
      <c r="I29" s="169">
        <f t="shared" si="8"/>
        <v>0</v>
      </c>
      <c r="J29" s="170">
        <v>0</v>
      </c>
      <c r="K29" s="170">
        <f t="shared" si="8"/>
        <v>0</v>
      </c>
      <c r="L29" s="170">
        <f t="shared" si="8"/>
        <v>0</v>
      </c>
      <c r="M29" s="171">
        <f t="shared" si="8"/>
        <v>0</v>
      </c>
      <c r="N29" s="172">
        <f t="shared" si="8"/>
        <v>0</v>
      </c>
    </row>
    <row r="30" spans="1:14" ht="32.25" customHeight="1" hidden="1">
      <c r="A30" s="173" t="s">
        <v>504</v>
      </c>
      <c r="B30" s="159" t="s">
        <v>477</v>
      </c>
      <c r="C30" s="159" t="s">
        <v>404</v>
      </c>
      <c r="D30" s="159" t="s">
        <v>382</v>
      </c>
      <c r="E30" s="159" t="s">
        <v>503</v>
      </c>
      <c r="F30" s="159" t="s">
        <v>494</v>
      </c>
      <c r="G30" s="169">
        <v>-3718</v>
      </c>
      <c r="H30" s="169">
        <v>4492.94</v>
      </c>
      <c r="I30" s="169"/>
      <c r="J30" s="170">
        <v>0</v>
      </c>
      <c r="K30" s="170"/>
      <c r="L30" s="170">
        <f>J30+K30</f>
        <v>0</v>
      </c>
      <c r="M30" s="171"/>
      <c r="N30" s="172">
        <f>L30+M30</f>
        <v>0</v>
      </c>
    </row>
    <row r="31" spans="1:14" ht="32.25" customHeight="1" hidden="1">
      <c r="A31" s="173" t="s">
        <v>505</v>
      </c>
      <c r="B31" s="159" t="s">
        <v>477</v>
      </c>
      <c r="C31" s="159" t="s">
        <v>404</v>
      </c>
      <c r="D31" s="159" t="s">
        <v>382</v>
      </c>
      <c r="E31" s="159" t="s">
        <v>506</v>
      </c>
      <c r="F31" s="159"/>
      <c r="G31" s="155"/>
      <c r="H31" s="169"/>
      <c r="I31" s="155"/>
      <c r="J31" s="170">
        <v>0</v>
      </c>
      <c r="K31" s="170">
        <f>K32</f>
        <v>0</v>
      </c>
      <c r="L31" s="170">
        <f>L32</f>
        <v>0</v>
      </c>
      <c r="M31" s="171"/>
      <c r="N31" s="172"/>
    </row>
    <row r="32" spans="1:14" ht="32.25" customHeight="1" hidden="1">
      <c r="A32" s="173" t="s">
        <v>504</v>
      </c>
      <c r="B32" s="159" t="s">
        <v>477</v>
      </c>
      <c r="C32" s="159" t="s">
        <v>404</v>
      </c>
      <c r="D32" s="159" t="s">
        <v>382</v>
      </c>
      <c r="E32" s="159" t="s">
        <v>506</v>
      </c>
      <c r="F32" s="159" t="s">
        <v>494</v>
      </c>
      <c r="G32" s="155"/>
      <c r="H32" s="169"/>
      <c r="I32" s="155"/>
      <c r="J32" s="170">
        <v>0</v>
      </c>
      <c r="K32" s="170"/>
      <c r="L32" s="170">
        <f>J32+K32</f>
        <v>0</v>
      </c>
      <c r="M32" s="171"/>
      <c r="N32" s="172"/>
    </row>
    <row r="33" spans="1:14" ht="38.25" customHeight="1" hidden="1">
      <c r="A33" s="173" t="s">
        <v>507</v>
      </c>
      <c r="B33" s="159" t="s">
        <v>477</v>
      </c>
      <c r="C33" s="159" t="s">
        <v>404</v>
      </c>
      <c r="D33" s="159" t="s">
        <v>382</v>
      </c>
      <c r="E33" s="159" t="s">
        <v>508</v>
      </c>
      <c r="F33" s="159"/>
      <c r="G33" s="155"/>
      <c r="H33" s="169"/>
      <c r="I33" s="155"/>
      <c r="J33" s="170">
        <v>0</v>
      </c>
      <c r="K33" s="170">
        <f>K34</f>
        <v>0</v>
      </c>
      <c r="L33" s="170">
        <f>L34</f>
        <v>0</v>
      </c>
      <c r="M33" s="171"/>
      <c r="N33" s="172"/>
    </row>
    <row r="34" spans="1:14" ht="32.25" customHeight="1" hidden="1">
      <c r="A34" s="173" t="s">
        <v>504</v>
      </c>
      <c r="B34" s="159" t="s">
        <v>477</v>
      </c>
      <c r="C34" s="159" t="s">
        <v>404</v>
      </c>
      <c r="D34" s="159" t="s">
        <v>382</v>
      </c>
      <c r="E34" s="159" t="s">
        <v>508</v>
      </c>
      <c r="F34" s="159" t="s">
        <v>494</v>
      </c>
      <c r="G34" s="155"/>
      <c r="H34" s="169"/>
      <c r="I34" s="155"/>
      <c r="J34" s="170">
        <v>0</v>
      </c>
      <c r="K34" s="170"/>
      <c r="L34" s="170">
        <f>J34+K34</f>
        <v>0</v>
      </c>
      <c r="M34" s="171"/>
      <c r="N34" s="172"/>
    </row>
    <row r="35" spans="1:14" ht="32.25" customHeight="1" hidden="1">
      <c r="A35" s="179" t="s">
        <v>509</v>
      </c>
      <c r="B35" s="159" t="s">
        <v>477</v>
      </c>
      <c r="C35" s="159" t="s">
        <v>404</v>
      </c>
      <c r="D35" s="159" t="s">
        <v>382</v>
      </c>
      <c r="E35" s="159" t="s">
        <v>510</v>
      </c>
      <c r="F35" s="159"/>
      <c r="G35" s="177"/>
      <c r="H35" s="169"/>
      <c r="I35" s="177"/>
      <c r="J35" s="170">
        <v>0</v>
      </c>
      <c r="K35" s="170">
        <f>K36</f>
        <v>0</v>
      </c>
      <c r="L35" s="170">
        <f>L36</f>
        <v>0</v>
      </c>
      <c r="M35" s="171">
        <f>M36</f>
        <v>741.3</v>
      </c>
      <c r="N35" s="172">
        <f>N36</f>
        <v>741.3</v>
      </c>
    </row>
    <row r="36" spans="1:14" ht="32.25" customHeight="1" hidden="1">
      <c r="A36" s="179" t="s">
        <v>511</v>
      </c>
      <c r="B36" s="159" t="s">
        <v>477</v>
      </c>
      <c r="C36" s="159" t="s">
        <v>404</v>
      </c>
      <c r="D36" s="159" t="s">
        <v>382</v>
      </c>
      <c r="E36" s="159" t="s">
        <v>510</v>
      </c>
      <c r="F36" s="159" t="s">
        <v>512</v>
      </c>
      <c r="G36" s="177"/>
      <c r="H36" s="169"/>
      <c r="I36" s="177"/>
      <c r="J36" s="170">
        <v>0</v>
      </c>
      <c r="K36" s="170"/>
      <c r="L36" s="170">
        <f>J36+K36</f>
        <v>0</v>
      </c>
      <c r="M36" s="180">
        <v>741.3</v>
      </c>
      <c r="N36" s="181">
        <f>L36+M36</f>
        <v>741.3</v>
      </c>
    </row>
    <row r="37" spans="1:14" ht="17.25" customHeight="1">
      <c r="A37" s="167" t="s">
        <v>432</v>
      </c>
      <c r="B37" s="168" t="s">
        <v>477</v>
      </c>
      <c r="C37" s="168" t="s">
        <v>404</v>
      </c>
      <c r="D37" s="168" t="s">
        <v>383</v>
      </c>
      <c r="E37" s="159"/>
      <c r="F37" s="159"/>
      <c r="G37" s="161">
        <f>G45+G54+G39</f>
        <v>3129.74424</v>
      </c>
      <c r="H37" s="161">
        <f>H45+H54+H39</f>
        <v>6056.41</v>
      </c>
      <c r="I37" s="161">
        <f>I45+I54+I39</f>
        <v>0</v>
      </c>
      <c r="J37" s="161">
        <v>3243.4</v>
      </c>
      <c r="K37" s="161">
        <f>K45+K54+K39+K52</f>
        <v>-3243.4</v>
      </c>
      <c r="L37" s="161">
        <f>L45+L54+L39+L52</f>
        <v>0</v>
      </c>
      <c r="M37" s="182">
        <f>M45+M54+M39+M52</f>
        <v>657.7</v>
      </c>
      <c r="N37" s="183">
        <f>N45+N54+N39+N52</f>
        <v>657.7</v>
      </c>
    </row>
    <row r="38" spans="1:14" ht="32.25" customHeight="1">
      <c r="A38" s="173" t="s">
        <v>501</v>
      </c>
      <c r="B38" s="159" t="s">
        <v>477</v>
      </c>
      <c r="C38" s="159" t="s">
        <v>404</v>
      </c>
      <c r="D38" s="159" t="s">
        <v>383</v>
      </c>
      <c r="E38" s="159" t="s">
        <v>502</v>
      </c>
      <c r="F38" s="159"/>
      <c r="G38" s="161">
        <f aca="true" t="shared" si="9" ref="G38:N39">G39</f>
        <v>3718</v>
      </c>
      <c r="H38" s="161">
        <f t="shared" si="9"/>
        <v>0</v>
      </c>
      <c r="I38" s="161">
        <f t="shared" si="9"/>
        <v>0</v>
      </c>
      <c r="J38" s="170">
        <v>390</v>
      </c>
      <c r="K38" s="170">
        <f t="shared" si="9"/>
        <v>-390</v>
      </c>
      <c r="L38" s="170">
        <f t="shared" si="9"/>
        <v>0</v>
      </c>
      <c r="M38" s="171">
        <f t="shared" si="9"/>
        <v>163</v>
      </c>
      <c r="N38" s="172">
        <f t="shared" si="9"/>
        <v>163</v>
      </c>
    </row>
    <row r="39" spans="1:14" ht="32.25" customHeight="1">
      <c r="A39" s="173" t="s">
        <v>497</v>
      </c>
      <c r="B39" s="159" t="s">
        <v>477</v>
      </c>
      <c r="C39" s="159" t="s">
        <v>404</v>
      </c>
      <c r="D39" s="159" t="s">
        <v>383</v>
      </c>
      <c r="E39" s="159" t="s">
        <v>503</v>
      </c>
      <c r="F39" s="159"/>
      <c r="G39" s="155">
        <f t="shared" si="9"/>
        <v>3718</v>
      </c>
      <c r="H39" s="164">
        <f t="shared" si="9"/>
        <v>0</v>
      </c>
      <c r="I39" s="155">
        <f t="shared" si="9"/>
        <v>0</v>
      </c>
      <c r="J39" s="170">
        <v>390</v>
      </c>
      <c r="K39" s="170">
        <f>K40+K41+K43</f>
        <v>-390</v>
      </c>
      <c r="L39" s="170">
        <f>L40+L41+L43</f>
        <v>0</v>
      </c>
      <c r="M39" s="171">
        <f t="shared" si="9"/>
        <v>163</v>
      </c>
      <c r="N39" s="178">
        <f t="shared" si="9"/>
        <v>163</v>
      </c>
    </row>
    <row r="40" spans="1:14" ht="32.25" customHeight="1">
      <c r="A40" s="173" t="s">
        <v>504</v>
      </c>
      <c r="B40" s="159" t="s">
        <v>477</v>
      </c>
      <c r="C40" s="159" t="s">
        <v>404</v>
      </c>
      <c r="D40" s="159" t="s">
        <v>383</v>
      </c>
      <c r="E40" s="159" t="s">
        <v>503</v>
      </c>
      <c r="F40" s="159" t="s">
        <v>494</v>
      </c>
      <c r="G40" s="155">
        <v>3718</v>
      </c>
      <c r="H40" s="169"/>
      <c r="I40" s="155"/>
      <c r="J40" s="170">
        <v>390</v>
      </c>
      <c r="K40" s="170">
        <v>-390</v>
      </c>
      <c r="L40" s="170">
        <f>J40+K40</f>
        <v>0</v>
      </c>
      <c r="M40" s="171">
        <f>16+147</f>
        <v>163</v>
      </c>
      <c r="N40" s="172">
        <f>L40+M40</f>
        <v>163</v>
      </c>
    </row>
    <row r="41" spans="1:14" ht="32.25" customHeight="1" hidden="1">
      <c r="A41" s="173" t="s">
        <v>505</v>
      </c>
      <c r="B41" s="159" t="s">
        <v>477</v>
      </c>
      <c r="C41" s="159" t="s">
        <v>404</v>
      </c>
      <c r="D41" s="159" t="s">
        <v>383</v>
      </c>
      <c r="E41" s="159" t="s">
        <v>513</v>
      </c>
      <c r="F41" s="159"/>
      <c r="G41" s="155"/>
      <c r="H41" s="169"/>
      <c r="I41" s="155"/>
      <c r="J41" s="170">
        <v>0</v>
      </c>
      <c r="K41" s="170">
        <f>K42</f>
        <v>0</v>
      </c>
      <c r="L41" s="170">
        <f>L42</f>
        <v>0</v>
      </c>
      <c r="M41" s="171"/>
      <c r="N41" s="172"/>
    </row>
    <row r="42" spans="1:14" ht="32.25" customHeight="1" hidden="1">
      <c r="A42" s="173" t="s">
        <v>504</v>
      </c>
      <c r="B42" s="159" t="s">
        <v>477</v>
      </c>
      <c r="C42" s="159" t="s">
        <v>404</v>
      </c>
      <c r="D42" s="159" t="s">
        <v>383</v>
      </c>
      <c r="E42" s="159" t="s">
        <v>513</v>
      </c>
      <c r="F42" s="159" t="s">
        <v>494</v>
      </c>
      <c r="G42" s="155"/>
      <c r="H42" s="169"/>
      <c r="I42" s="155"/>
      <c r="J42" s="170">
        <v>0</v>
      </c>
      <c r="K42" s="170"/>
      <c r="L42" s="170">
        <f>J42+K42</f>
        <v>0</v>
      </c>
      <c r="M42" s="171"/>
      <c r="N42" s="172"/>
    </row>
    <row r="43" spans="1:14" ht="32.25" customHeight="1" hidden="1">
      <c r="A43" s="173" t="s">
        <v>507</v>
      </c>
      <c r="B43" s="159" t="s">
        <v>477</v>
      </c>
      <c r="C43" s="159" t="s">
        <v>404</v>
      </c>
      <c r="D43" s="159" t="s">
        <v>383</v>
      </c>
      <c r="E43" s="159" t="s">
        <v>514</v>
      </c>
      <c r="F43" s="159"/>
      <c r="G43" s="155"/>
      <c r="H43" s="169"/>
      <c r="I43" s="155"/>
      <c r="J43" s="170">
        <v>0</v>
      </c>
      <c r="K43" s="170">
        <f>K44</f>
        <v>0</v>
      </c>
      <c r="L43" s="170">
        <f>L44</f>
        <v>0</v>
      </c>
      <c r="M43" s="171"/>
      <c r="N43" s="172"/>
    </row>
    <row r="44" spans="1:14" ht="32.25" customHeight="1" hidden="1">
      <c r="A44" s="173" t="s">
        <v>504</v>
      </c>
      <c r="B44" s="159" t="s">
        <v>477</v>
      </c>
      <c r="C44" s="159" t="s">
        <v>404</v>
      </c>
      <c r="D44" s="159" t="s">
        <v>383</v>
      </c>
      <c r="E44" s="159" t="s">
        <v>514</v>
      </c>
      <c r="F44" s="159" t="s">
        <v>494</v>
      </c>
      <c r="G44" s="155"/>
      <c r="H44" s="169"/>
      <c r="I44" s="155"/>
      <c r="J44" s="170">
        <v>0</v>
      </c>
      <c r="K44" s="170"/>
      <c r="L44" s="170">
        <f>J44+K44</f>
        <v>0</v>
      </c>
      <c r="M44" s="171"/>
      <c r="N44" s="172"/>
    </row>
    <row r="45" spans="1:14" ht="15">
      <c r="A45" s="173" t="s">
        <v>515</v>
      </c>
      <c r="B45" s="159" t="s">
        <v>477</v>
      </c>
      <c r="C45" s="159" t="s">
        <v>404</v>
      </c>
      <c r="D45" s="159" t="s">
        <v>383</v>
      </c>
      <c r="E45" s="159" t="s">
        <v>516</v>
      </c>
      <c r="F45" s="159"/>
      <c r="G45" s="170">
        <f aca="true" t="shared" si="10" ref="G45:N46">G46</f>
        <v>0</v>
      </c>
      <c r="H45" s="170">
        <f t="shared" si="10"/>
        <v>4784.91</v>
      </c>
      <c r="I45" s="170">
        <f t="shared" si="10"/>
        <v>0</v>
      </c>
      <c r="J45" s="170">
        <v>655</v>
      </c>
      <c r="K45" s="170">
        <f>K46+K48+K50</f>
        <v>-655</v>
      </c>
      <c r="L45" s="170">
        <f>L46+L48+L50</f>
        <v>0</v>
      </c>
      <c r="M45" s="171">
        <f t="shared" si="10"/>
        <v>1270</v>
      </c>
      <c r="N45" s="172">
        <f t="shared" si="10"/>
        <v>1270</v>
      </c>
    </row>
    <row r="46" spans="1:14" ht="26.25">
      <c r="A46" s="173" t="s">
        <v>497</v>
      </c>
      <c r="B46" s="159" t="s">
        <v>477</v>
      </c>
      <c r="C46" s="159" t="s">
        <v>404</v>
      </c>
      <c r="D46" s="159" t="s">
        <v>383</v>
      </c>
      <c r="E46" s="159" t="s">
        <v>517</v>
      </c>
      <c r="F46" s="159"/>
      <c r="G46" s="177">
        <f t="shared" si="10"/>
        <v>0</v>
      </c>
      <c r="H46" s="177">
        <f t="shared" si="10"/>
        <v>4784.91</v>
      </c>
      <c r="I46" s="177">
        <f t="shared" si="10"/>
        <v>0</v>
      </c>
      <c r="J46" s="170">
        <v>655</v>
      </c>
      <c r="K46" s="170">
        <f t="shared" si="10"/>
        <v>-655</v>
      </c>
      <c r="L46" s="170">
        <f t="shared" si="10"/>
        <v>0</v>
      </c>
      <c r="M46" s="171">
        <f t="shared" si="10"/>
        <v>1270</v>
      </c>
      <c r="N46" s="172">
        <f t="shared" si="10"/>
        <v>1270</v>
      </c>
    </row>
    <row r="47" spans="1:14" ht="26.25">
      <c r="A47" s="173" t="s">
        <v>504</v>
      </c>
      <c r="B47" s="159" t="s">
        <v>477</v>
      </c>
      <c r="C47" s="159" t="s">
        <v>404</v>
      </c>
      <c r="D47" s="159" t="s">
        <v>383</v>
      </c>
      <c r="E47" s="159" t="s">
        <v>517</v>
      </c>
      <c r="F47" s="159" t="s">
        <v>494</v>
      </c>
      <c r="G47" s="177"/>
      <c r="H47" s="169">
        <v>4784.91</v>
      </c>
      <c r="I47" s="177"/>
      <c r="J47" s="170">
        <v>655</v>
      </c>
      <c r="K47" s="170">
        <v>-655</v>
      </c>
      <c r="L47" s="170">
        <f>J47+K47</f>
        <v>0</v>
      </c>
      <c r="M47" s="171">
        <f>127+1143</f>
        <v>1270</v>
      </c>
      <c r="N47" s="172">
        <f>L47+M47</f>
        <v>1270</v>
      </c>
    </row>
    <row r="48" spans="1:14" ht="32.25" customHeight="1" hidden="1">
      <c r="A48" s="173" t="s">
        <v>505</v>
      </c>
      <c r="B48" s="159" t="s">
        <v>477</v>
      </c>
      <c r="C48" s="159" t="s">
        <v>404</v>
      </c>
      <c r="D48" s="159" t="s">
        <v>383</v>
      </c>
      <c r="E48" s="159" t="s">
        <v>518</v>
      </c>
      <c r="F48" s="159"/>
      <c r="G48" s="177"/>
      <c r="H48" s="169"/>
      <c r="I48" s="177"/>
      <c r="J48" s="170">
        <v>0</v>
      </c>
      <c r="K48" s="170">
        <f>K49</f>
        <v>0</v>
      </c>
      <c r="L48" s="170">
        <f>L49</f>
        <v>0</v>
      </c>
      <c r="M48" s="171"/>
      <c r="N48" s="172"/>
    </row>
    <row r="49" spans="1:14" ht="26.25" hidden="1">
      <c r="A49" s="173" t="s">
        <v>504</v>
      </c>
      <c r="B49" s="159" t="s">
        <v>477</v>
      </c>
      <c r="C49" s="159" t="s">
        <v>404</v>
      </c>
      <c r="D49" s="159" t="s">
        <v>383</v>
      </c>
      <c r="E49" s="159" t="s">
        <v>518</v>
      </c>
      <c r="F49" s="159" t="s">
        <v>494</v>
      </c>
      <c r="G49" s="177"/>
      <c r="H49" s="169"/>
      <c r="I49" s="177"/>
      <c r="J49" s="170">
        <v>0</v>
      </c>
      <c r="K49" s="170"/>
      <c r="L49" s="170">
        <f>J49+K49</f>
        <v>0</v>
      </c>
      <c r="M49" s="171"/>
      <c r="N49" s="172"/>
    </row>
    <row r="50" spans="1:14" ht="32.25" customHeight="1" hidden="1">
      <c r="A50" s="173" t="s">
        <v>507</v>
      </c>
      <c r="B50" s="159" t="s">
        <v>477</v>
      </c>
      <c r="C50" s="159" t="s">
        <v>404</v>
      </c>
      <c r="D50" s="159" t="s">
        <v>383</v>
      </c>
      <c r="E50" s="159" t="s">
        <v>519</v>
      </c>
      <c r="F50" s="159"/>
      <c r="G50" s="177"/>
      <c r="H50" s="169"/>
      <c r="I50" s="177"/>
      <c r="J50" s="170">
        <v>0</v>
      </c>
      <c r="K50" s="170">
        <f>K51</f>
        <v>0</v>
      </c>
      <c r="L50" s="170">
        <f>L51</f>
        <v>0</v>
      </c>
      <c r="M50" s="171"/>
      <c r="N50" s="172"/>
    </row>
    <row r="51" spans="1:14" ht="32.25" customHeight="1" hidden="1">
      <c r="A51" s="173" t="s">
        <v>504</v>
      </c>
      <c r="B51" s="159" t="s">
        <v>477</v>
      </c>
      <c r="C51" s="159" t="s">
        <v>404</v>
      </c>
      <c r="D51" s="159" t="s">
        <v>383</v>
      </c>
      <c r="E51" s="159" t="s">
        <v>519</v>
      </c>
      <c r="F51" s="159" t="s">
        <v>494</v>
      </c>
      <c r="G51" s="177"/>
      <c r="H51" s="169"/>
      <c r="I51" s="177"/>
      <c r="J51" s="170">
        <v>0</v>
      </c>
      <c r="K51" s="170"/>
      <c r="L51" s="170">
        <f>J51+K51</f>
        <v>0</v>
      </c>
      <c r="M51" s="171"/>
      <c r="N51" s="172"/>
    </row>
    <row r="52" spans="1:14" ht="32.25" customHeight="1" hidden="1">
      <c r="A52" s="173" t="s">
        <v>520</v>
      </c>
      <c r="B52" s="159" t="s">
        <v>477</v>
      </c>
      <c r="C52" s="159" t="s">
        <v>404</v>
      </c>
      <c r="D52" s="159" t="s">
        <v>383</v>
      </c>
      <c r="E52" s="159" t="s">
        <v>521</v>
      </c>
      <c r="F52" s="159"/>
      <c r="G52" s="177"/>
      <c r="H52" s="169"/>
      <c r="I52" s="177"/>
      <c r="J52" s="170">
        <v>0</v>
      </c>
      <c r="K52" s="170">
        <f>K53</f>
        <v>0</v>
      </c>
      <c r="L52" s="170">
        <f>L53</f>
        <v>0</v>
      </c>
      <c r="M52" s="171">
        <f>M53</f>
        <v>-741.3</v>
      </c>
      <c r="N52" s="172">
        <f>N53</f>
        <v>-741.3</v>
      </c>
    </row>
    <row r="53" spans="1:14" ht="26.25" hidden="1">
      <c r="A53" s="173" t="s">
        <v>504</v>
      </c>
      <c r="B53" s="159" t="s">
        <v>477</v>
      </c>
      <c r="C53" s="159" t="s">
        <v>404</v>
      </c>
      <c r="D53" s="159" t="s">
        <v>383</v>
      </c>
      <c r="E53" s="159" t="s">
        <v>521</v>
      </c>
      <c r="F53" s="159" t="s">
        <v>494</v>
      </c>
      <c r="G53" s="177"/>
      <c r="H53" s="169"/>
      <c r="I53" s="177"/>
      <c r="J53" s="170">
        <v>0</v>
      </c>
      <c r="K53" s="170"/>
      <c r="L53" s="170">
        <f>J53+K53</f>
        <v>0</v>
      </c>
      <c r="M53" s="171">
        <v>-741.3</v>
      </c>
      <c r="N53" s="172">
        <f>L53+M53</f>
        <v>-741.3</v>
      </c>
    </row>
    <row r="54" spans="1:14" ht="32.25" customHeight="1">
      <c r="A54" s="173" t="s">
        <v>522</v>
      </c>
      <c r="B54" s="159" t="s">
        <v>477</v>
      </c>
      <c r="C54" s="159" t="s">
        <v>404</v>
      </c>
      <c r="D54" s="159" t="s">
        <v>383</v>
      </c>
      <c r="E54" s="159" t="s">
        <v>523</v>
      </c>
      <c r="F54" s="159"/>
      <c r="G54" s="170">
        <f aca="true" t="shared" si="11" ref="G54:N55">G55</f>
        <v>-588.25576</v>
      </c>
      <c r="H54" s="170">
        <f t="shared" si="11"/>
        <v>1271.5</v>
      </c>
      <c r="I54" s="170">
        <f t="shared" si="11"/>
        <v>0</v>
      </c>
      <c r="J54" s="170">
        <v>2198.4</v>
      </c>
      <c r="K54" s="170">
        <f t="shared" si="11"/>
        <v>-2198.4</v>
      </c>
      <c r="L54" s="170">
        <f t="shared" si="11"/>
        <v>0</v>
      </c>
      <c r="M54" s="171">
        <f t="shared" si="11"/>
        <v>-34</v>
      </c>
      <c r="N54" s="172">
        <f t="shared" si="11"/>
        <v>-34</v>
      </c>
    </row>
    <row r="55" spans="1:14" ht="32.25" customHeight="1">
      <c r="A55" s="173" t="s">
        <v>524</v>
      </c>
      <c r="B55" s="159" t="s">
        <v>477</v>
      </c>
      <c r="C55" s="159" t="s">
        <v>404</v>
      </c>
      <c r="D55" s="159" t="s">
        <v>383</v>
      </c>
      <c r="E55" s="159" t="s">
        <v>525</v>
      </c>
      <c r="F55" s="159"/>
      <c r="G55" s="170">
        <f t="shared" si="11"/>
        <v>-588.25576</v>
      </c>
      <c r="H55" s="170">
        <f t="shared" si="11"/>
        <v>1271.5</v>
      </c>
      <c r="I55" s="170">
        <f t="shared" si="11"/>
        <v>0</v>
      </c>
      <c r="J55" s="170">
        <v>2198.4</v>
      </c>
      <c r="K55" s="170">
        <f t="shared" si="11"/>
        <v>-2198.4</v>
      </c>
      <c r="L55" s="170">
        <f t="shared" si="11"/>
        <v>0</v>
      </c>
      <c r="M55" s="171">
        <f t="shared" si="11"/>
        <v>-34</v>
      </c>
      <c r="N55" s="172">
        <f t="shared" si="11"/>
        <v>-34</v>
      </c>
    </row>
    <row r="56" spans="1:15" ht="32.25" customHeight="1">
      <c r="A56" s="173" t="s">
        <v>504</v>
      </c>
      <c r="B56" s="159" t="s">
        <v>477</v>
      </c>
      <c r="C56" s="159" t="s">
        <v>404</v>
      </c>
      <c r="D56" s="159" t="s">
        <v>383</v>
      </c>
      <c r="E56" s="159" t="s">
        <v>525</v>
      </c>
      <c r="F56" s="159" t="s">
        <v>494</v>
      </c>
      <c r="G56" s="170">
        <f>99.74424-688</f>
        <v>-588.25576</v>
      </c>
      <c r="H56" s="169">
        <v>1271.5</v>
      </c>
      <c r="I56" s="170"/>
      <c r="J56" s="170">
        <v>2198.4</v>
      </c>
      <c r="K56" s="170">
        <v>-2198.4</v>
      </c>
      <c r="L56" s="170">
        <f>J56+K56</f>
        <v>0</v>
      </c>
      <c r="M56" s="171">
        <v>-34</v>
      </c>
      <c r="N56" s="172">
        <f>L56+M56</f>
        <v>-34</v>
      </c>
      <c r="O56" s="247">
        <f>L56+L60</f>
        <v>0</v>
      </c>
    </row>
    <row r="57" spans="1:14" ht="15">
      <c r="A57" s="167" t="s">
        <v>433</v>
      </c>
      <c r="B57" s="168" t="s">
        <v>477</v>
      </c>
      <c r="C57" s="168" t="s">
        <v>404</v>
      </c>
      <c r="D57" s="168" t="s">
        <v>385</v>
      </c>
      <c r="E57" s="168"/>
      <c r="F57" s="168"/>
      <c r="G57" s="155">
        <f aca="true" t="shared" si="12" ref="G57:M57">G58+G60</f>
        <v>2852</v>
      </c>
      <c r="H57" s="155">
        <f t="shared" si="12"/>
        <v>0</v>
      </c>
      <c r="I57" s="155">
        <f t="shared" si="12"/>
        <v>0</v>
      </c>
      <c r="J57" s="161">
        <v>749.9</v>
      </c>
      <c r="K57" s="161">
        <f t="shared" si="12"/>
        <v>-749.9</v>
      </c>
      <c r="L57" s="161">
        <f>L58+L60</f>
        <v>0</v>
      </c>
      <c r="M57" s="171">
        <f t="shared" si="12"/>
        <v>-1.8800000000000026</v>
      </c>
      <c r="N57" s="172">
        <f>N58+N60</f>
        <v>-1.8800000000000026</v>
      </c>
    </row>
    <row r="58" spans="1:14" ht="26.25">
      <c r="A58" s="173" t="s">
        <v>497</v>
      </c>
      <c r="B58" s="159" t="s">
        <v>477</v>
      </c>
      <c r="C58" s="159" t="s">
        <v>404</v>
      </c>
      <c r="D58" s="159" t="s">
        <v>385</v>
      </c>
      <c r="E58" s="159" t="s">
        <v>498</v>
      </c>
      <c r="F58" s="159"/>
      <c r="G58" s="177">
        <f aca="true" t="shared" si="13" ref="G58:N58">G59</f>
        <v>2164</v>
      </c>
      <c r="H58" s="177">
        <f t="shared" si="13"/>
        <v>0</v>
      </c>
      <c r="I58" s="177">
        <f t="shared" si="13"/>
        <v>0</v>
      </c>
      <c r="J58" s="170">
        <v>70</v>
      </c>
      <c r="K58" s="170">
        <f t="shared" si="13"/>
        <v>-70</v>
      </c>
      <c r="L58" s="170">
        <f t="shared" si="13"/>
        <v>0</v>
      </c>
      <c r="M58" s="171">
        <f t="shared" si="13"/>
        <v>-35.88</v>
      </c>
      <c r="N58" s="172">
        <f t="shared" si="13"/>
        <v>-35.88</v>
      </c>
    </row>
    <row r="59" spans="1:14" ht="32.25" customHeight="1">
      <c r="A59" s="173" t="s">
        <v>493</v>
      </c>
      <c r="B59" s="159" t="s">
        <v>477</v>
      </c>
      <c r="C59" s="159" t="s">
        <v>404</v>
      </c>
      <c r="D59" s="159" t="s">
        <v>385</v>
      </c>
      <c r="E59" s="159" t="s">
        <v>498</v>
      </c>
      <c r="F59" s="159" t="s">
        <v>494</v>
      </c>
      <c r="G59" s="177">
        <v>2164</v>
      </c>
      <c r="H59" s="169"/>
      <c r="I59" s="177"/>
      <c r="J59" s="170">
        <v>70</v>
      </c>
      <c r="K59" s="170">
        <v>-70</v>
      </c>
      <c r="L59" s="170">
        <f>J59+K59</f>
        <v>0</v>
      </c>
      <c r="M59" s="171">
        <v>-35.88</v>
      </c>
      <c r="N59" s="172">
        <f>L59+M59</f>
        <v>-35.88</v>
      </c>
    </row>
    <row r="60" spans="1:14" ht="32.25" customHeight="1">
      <c r="A60" s="173" t="s">
        <v>524</v>
      </c>
      <c r="B60" s="159" t="s">
        <v>477</v>
      </c>
      <c r="C60" s="159" t="s">
        <v>404</v>
      </c>
      <c r="D60" s="159" t="s">
        <v>385</v>
      </c>
      <c r="E60" s="159" t="s">
        <v>525</v>
      </c>
      <c r="F60" s="159"/>
      <c r="G60" s="177">
        <f aca="true" t="shared" si="14" ref="G60:N60">G61</f>
        <v>688</v>
      </c>
      <c r="H60" s="169">
        <f t="shared" si="14"/>
        <v>0</v>
      </c>
      <c r="I60" s="177">
        <f t="shared" si="14"/>
        <v>0</v>
      </c>
      <c r="J60" s="170">
        <v>679.9</v>
      </c>
      <c r="K60" s="170">
        <f t="shared" si="14"/>
        <v>-679.9</v>
      </c>
      <c r="L60" s="170">
        <f t="shared" si="14"/>
        <v>0</v>
      </c>
      <c r="M60" s="171">
        <f t="shared" si="14"/>
        <v>34</v>
      </c>
      <c r="N60" s="172">
        <f t="shared" si="14"/>
        <v>34</v>
      </c>
    </row>
    <row r="61" spans="1:14" ht="32.25" customHeight="1">
      <c r="A61" s="173" t="s">
        <v>504</v>
      </c>
      <c r="B61" s="159" t="s">
        <v>477</v>
      </c>
      <c r="C61" s="159" t="s">
        <v>404</v>
      </c>
      <c r="D61" s="159" t="s">
        <v>385</v>
      </c>
      <c r="E61" s="159" t="s">
        <v>525</v>
      </c>
      <c r="F61" s="159" t="s">
        <v>494</v>
      </c>
      <c r="G61" s="177">
        <v>688</v>
      </c>
      <c r="H61" s="169"/>
      <c r="I61" s="177"/>
      <c r="J61" s="170">
        <v>679.9</v>
      </c>
      <c r="K61" s="170">
        <v>-679.9</v>
      </c>
      <c r="L61" s="170">
        <f>J61+K61</f>
        <v>0</v>
      </c>
      <c r="M61" s="171">
        <v>34</v>
      </c>
      <c r="N61" s="172">
        <f>L61+M61</f>
        <v>34</v>
      </c>
    </row>
    <row r="62" spans="1:14" ht="15.75" customHeight="1">
      <c r="A62" s="167" t="s">
        <v>435</v>
      </c>
      <c r="B62" s="168" t="s">
        <v>477</v>
      </c>
      <c r="C62" s="168" t="s">
        <v>404</v>
      </c>
      <c r="D62" s="168" t="s">
        <v>404</v>
      </c>
      <c r="E62" s="168"/>
      <c r="F62" s="168"/>
      <c r="G62" s="155">
        <f aca="true" t="shared" si="15" ref="G62:L64">G63</f>
        <v>0</v>
      </c>
      <c r="H62" s="155">
        <f t="shared" si="15"/>
        <v>1049.66</v>
      </c>
      <c r="I62" s="155">
        <f t="shared" si="15"/>
        <v>0</v>
      </c>
      <c r="J62" s="161">
        <v>522.8</v>
      </c>
      <c r="K62" s="161">
        <f>K63+K68+K72+K74+K70</f>
        <v>-522.8</v>
      </c>
      <c r="L62" s="161">
        <f>L63+L68+L72+L74+L70</f>
        <v>0</v>
      </c>
      <c r="M62" s="171"/>
      <c r="N62" s="178"/>
    </row>
    <row r="63" spans="1:14" ht="32.25" customHeight="1" hidden="1">
      <c r="A63" s="173" t="s">
        <v>526</v>
      </c>
      <c r="B63" s="159" t="s">
        <v>477</v>
      </c>
      <c r="C63" s="159" t="s">
        <v>404</v>
      </c>
      <c r="D63" s="159" t="s">
        <v>404</v>
      </c>
      <c r="E63" s="159" t="s">
        <v>527</v>
      </c>
      <c r="F63" s="159"/>
      <c r="G63" s="177">
        <f t="shared" si="15"/>
        <v>0</v>
      </c>
      <c r="H63" s="177">
        <f t="shared" si="15"/>
        <v>1049.66</v>
      </c>
      <c r="I63" s="177">
        <f t="shared" si="15"/>
        <v>0</v>
      </c>
      <c r="J63" s="170">
        <v>0</v>
      </c>
      <c r="K63" s="170">
        <f t="shared" si="15"/>
        <v>0</v>
      </c>
      <c r="L63" s="170">
        <f t="shared" si="15"/>
        <v>0</v>
      </c>
      <c r="M63" s="171"/>
      <c r="N63" s="178"/>
    </row>
    <row r="64" spans="1:14" ht="32.25" customHeight="1" hidden="1">
      <c r="A64" s="173" t="s">
        <v>497</v>
      </c>
      <c r="B64" s="159" t="s">
        <v>477</v>
      </c>
      <c r="C64" s="159" t="s">
        <v>404</v>
      </c>
      <c r="D64" s="159" t="s">
        <v>404</v>
      </c>
      <c r="E64" s="159" t="s">
        <v>528</v>
      </c>
      <c r="F64" s="159"/>
      <c r="G64" s="177">
        <f t="shared" si="15"/>
        <v>0</v>
      </c>
      <c r="H64" s="177">
        <f t="shared" si="15"/>
        <v>1049.66</v>
      </c>
      <c r="I64" s="177">
        <f t="shared" si="15"/>
        <v>0</v>
      </c>
      <c r="J64" s="170">
        <v>0</v>
      </c>
      <c r="K64" s="170">
        <f t="shared" si="15"/>
        <v>0</v>
      </c>
      <c r="L64" s="170">
        <f t="shared" si="15"/>
        <v>0</v>
      </c>
      <c r="M64" s="171"/>
      <c r="N64" s="178"/>
    </row>
    <row r="65" spans="1:14" ht="32.25" customHeight="1" hidden="1">
      <c r="A65" s="173" t="s">
        <v>504</v>
      </c>
      <c r="B65" s="159" t="s">
        <v>477</v>
      </c>
      <c r="C65" s="159" t="s">
        <v>404</v>
      </c>
      <c r="D65" s="159" t="s">
        <v>404</v>
      </c>
      <c r="E65" s="159" t="s">
        <v>528</v>
      </c>
      <c r="F65" s="159" t="s">
        <v>494</v>
      </c>
      <c r="G65" s="177"/>
      <c r="H65" s="169">
        <v>1049.66</v>
      </c>
      <c r="I65" s="177"/>
      <c r="J65" s="170">
        <v>0</v>
      </c>
      <c r="K65" s="170"/>
      <c r="L65" s="170">
        <f>J65+K65</f>
        <v>0</v>
      </c>
      <c r="M65" s="171"/>
      <c r="N65" s="178"/>
    </row>
    <row r="66" spans="1:14" ht="32.25" customHeight="1" hidden="1">
      <c r="A66" s="173" t="s">
        <v>529</v>
      </c>
      <c r="B66" s="185" t="s">
        <v>477</v>
      </c>
      <c r="C66" s="186" t="s">
        <v>404</v>
      </c>
      <c r="D66" s="186" t="s">
        <v>404</v>
      </c>
      <c r="E66" s="187">
        <v>7952014</v>
      </c>
      <c r="F66" s="186"/>
      <c r="G66" s="186"/>
      <c r="H66" s="169"/>
      <c r="I66" s="177"/>
      <c r="J66" s="170">
        <v>0</v>
      </c>
      <c r="K66" s="170">
        <f>K67</f>
        <v>0</v>
      </c>
      <c r="L66" s="170">
        <f>L67</f>
        <v>0</v>
      </c>
      <c r="M66" s="171"/>
      <c r="N66" s="178"/>
    </row>
    <row r="67" spans="1:14" ht="32.25" customHeight="1" hidden="1">
      <c r="A67" s="173" t="s">
        <v>487</v>
      </c>
      <c r="B67" s="186" t="s">
        <v>477</v>
      </c>
      <c r="C67" s="186" t="s">
        <v>404</v>
      </c>
      <c r="D67" s="186" t="s">
        <v>404</v>
      </c>
      <c r="E67" s="187">
        <v>7952014</v>
      </c>
      <c r="F67" s="186" t="s">
        <v>485</v>
      </c>
      <c r="G67" s="177"/>
      <c r="H67" s="169"/>
      <c r="I67" s="177"/>
      <c r="J67" s="170">
        <v>0</v>
      </c>
      <c r="K67" s="170"/>
      <c r="L67" s="170">
        <f>J67+K67</f>
        <v>0</v>
      </c>
      <c r="M67" s="171"/>
      <c r="N67" s="178"/>
    </row>
    <row r="68" spans="1:14" ht="32.25" customHeight="1">
      <c r="A68" s="173" t="s">
        <v>530</v>
      </c>
      <c r="B68" s="185" t="s">
        <v>477</v>
      </c>
      <c r="C68" s="186" t="s">
        <v>404</v>
      </c>
      <c r="D68" s="186" t="s">
        <v>404</v>
      </c>
      <c r="E68" s="187">
        <v>7952019</v>
      </c>
      <c r="F68" s="186"/>
      <c r="G68" s="177"/>
      <c r="H68" s="169"/>
      <c r="I68" s="177"/>
      <c r="J68" s="170">
        <v>88.8</v>
      </c>
      <c r="K68" s="170">
        <f>K69</f>
        <v>-88.8</v>
      </c>
      <c r="L68" s="170">
        <f>L69</f>
        <v>0</v>
      </c>
      <c r="M68" s="171"/>
      <c r="N68" s="178"/>
    </row>
    <row r="69" spans="1:14" ht="32.25" customHeight="1">
      <c r="A69" s="173" t="s">
        <v>487</v>
      </c>
      <c r="B69" s="186" t="s">
        <v>477</v>
      </c>
      <c r="C69" s="186" t="s">
        <v>404</v>
      </c>
      <c r="D69" s="186" t="s">
        <v>404</v>
      </c>
      <c r="E69" s="187">
        <v>7952019</v>
      </c>
      <c r="F69" s="186" t="s">
        <v>485</v>
      </c>
      <c r="G69" s="177"/>
      <c r="H69" s="169"/>
      <c r="I69" s="177"/>
      <c r="J69" s="170">
        <v>88.8</v>
      </c>
      <c r="K69" s="170">
        <v>-88.8</v>
      </c>
      <c r="L69" s="170">
        <f>J69+K69</f>
        <v>0</v>
      </c>
      <c r="M69" s="171"/>
      <c r="N69" s="178"/>
    </row>
    <row r="70" spans="1:14" ht="32.25" customHeight="1">
      <c r="A70" s="173" t="s">
        <v>531</v>
      </c>
      <c r="B70" s="185" t="s">
        <v>477</v>
      </c>
      <c r="C70" s="186" t="s">
        <v>404</v>
      </c>
      <c r="D70" s="186" t="s">
        <v>404</v>
      </c>
      <c r="E70" s="187">
        <v>7952014</v>
      </c>
      <c r="F70" s="186"/>
      <c r="G70" s="177"/>
      <c r="H70" s="169"/>
      <c r="I70" s="177"/>
      <c r="J70" s="170">
        <v>150</v>
      </c>
      <c r="K70" s="170">
        <f>K71</f>
        <v>-150</v>
      </c>
      <c r="L70" s="170">
        <f>L71</f>
        <v>0</v>
      </c>
      <c r="M70" s="171"/>
      <c r="N70" s="178"/>
    </row>
    <row r="71" spans="1:14" ht="32.25" customHeight="1">
      <c r="A71" s="173" t="s">
        <v>487</v>
      </c>
      <c r="B71" s="186" t="s">
        <v>477</v>
      </c>
      <c r="C71" s="186" t="s">
        <v>404</v>
      </c>
      <c r="D71" s="186" t="s">
        <v>404</v>
      </c>
      <c r="E71" s="187">
        <v>7952014</v>
      </c>
      <c r="F71" s="186" t="s">
        <v>485</v>
      </c>
      <c r="G71" s="177"/>
      <c r="H71" s="169"/>
      <c r="I71" s="177"/>
      <c r="J71" s="170">
        <v>150</v>
      </c>
      <c r="K71" s="170">
        <v>-150</v>
      </c>
      <c r="L71" s="170">
        <f>J71+K71</f>
        <v>0</v>
      </c>
      <c r="M71" s="171"/>
      <c r="N71" s="178"/>
    </row>
    <row r="72" spans="1:14" ht="32.25" customHeight="1">
      <c r="A72" s="173" t="s">
        <v>532</v>
      </c>
      <c r="B72" s="185" t="s">
        <v>477</v>
      </c>
      <c r="C72" s="186" t="s">
        <v>404</v>
      </c>
      <c r="D72" s="186" t="s">
        <v>404</v>
      </c>
      <c r="E72" s="187">
        <v>7952016</v>
      </c>
      <c r="F72" s="186"/>
      <c r="G72" s="177"/>
      <c r="H72" s="169"/>
      <c r="I72" s="177"/>
      <c r="J72" s="170">
        <v>50</v>
      </c>
      <c r="K72" s="170">
        <f>K73</f>
        <v>-50</v>
      </c>
      <c r="L72" s="170">
        <f>L73</f>
        <v>0</v>
      </c>
      <c r="M72" s="171"/>
      <c r="N72" s="178"/>
    </row>
    <row r="73" spans="1:14" ht="32.25" customHeight="1">
      <c r="A73" s="173" t="s">
        <v>487</v>
      </c>
      <c r="B73" s="186" t="s">
        <v>477</v>
      </c>
      <c r="C73" s="186" t="s">
        <v>404</v>
      </c>
      <c r="D73" s="186" t="s">
        <v>404</v>
      </c>
      <c r="E73" s="187">
        <v>7952016</v>
      </c>
      <c r="F73" s="186" t="s">
        <v>485</v>
      </c>
      <c r="G73" s="177"/>
      <c r="H73" s="169"/>
      <c r="I73" s="177"/>
      <c r="J73" s="170">
        <v>50</v>
      </c>
      <c r="K73" s="170">
        <v>-50</v>
      </c>
      <c r="L73" s="170">
        <f>J73+K73</f>
        <v>0</v>
      </c>
      <c r="M73" s="171"/>
      <c r="N73" s="178"/>
    </row>
    <row r="74" spans="1:14" ht="32.25" customHeight="1">
      <c r="A74" s="173" t="s">
        <v>533</v>
      </c>
      <c r="B74" s="185" t="s">
        <v>477</v>
      </c>
      <c r="C74" s="186" t="s">
        <v>404</v>
      </c>
      <c r="D74" s="186" t="s">
        <v>404</v>
      </c>
      <c r="E74" s="187">
        <v>7952017</v>
      </c>
      <c r="F74" s="186"/>
      <c r="G74" s="177"/>
      <c r="H74" s="169"/>
      <c r="I74" s="177"/>
      <c r="J74" s="170">
        <v>234</v>
      </c>
      <c r="K74" s="170">
        <f>K75</f>
        <v>-234</v>
      </c>
      <c r="L74" s="170">
        <f>L75</f>
        <v>0</v>
      </c>
      <c r="M74" s="171"/>
      <c r="N74" s="178"/>
    </row>
    <row r="75" spans="1:14" ht="32.25" customHeight="1" thickBot="1">
      <c r="A75" s="173" t="s">
        <v>487</v>
      </c>
      <c r="B75" s="186" t="s">
        <v>477</v>
      </c>
      <c r="C75" s="186" t="s">
        <v>404</v>
      </c>
      <c r="D75" s="186" t="s">
        <v>404</v>
      </c>
      <c r="E75" s="187">
        <v>7952017</v>
      </c>
      <c r="F75" s="186" t="s">
        <v>485</v>
      </c>
      <c r="G75" s="177"/>
      <c r="H75" s="169"/>
      <c r="I75" s="177"/>
      <c r="J75" s="170">
        <v>234</v>
      </c>
      <c r="K75" s="170">
        <v>-234</v>
      </c>
      <c r="L75" s="170">
        <f>J75+K75</f>
        <v>0</v>
      </c>
      <c r="M75" s="171"/>
      <c r="N75" s="178"/>
    </row>
    <row r="76" spans="1:18" ht="43.5" customHeight="1" hidden="1">
      <c r="A76" s="167" t="s">
        <v>436</v>
      </c>
      <c r="B76" s="168" t="s">
        <v>477</v>
      </c>
      <c r="C76" s="168" t="s">
        <v>404</v>
      </c>
      <c r="D76" s="168" t="s">
        <v>437</v>
      </c>
      <c r="E76" s="168"/>
      <c r="F76" s="168"/>
      <c r="G76" s="155">
        <f aca="true" t="shared" si="16" ref="G76:N78">G77</f>
        <v>0</v>
      </c>
      <c r="H76" s="155">
        <f t="shared" si="16"/>
        <v>1049.66</v>
      </c>
      <c r="I76" s="155">
        <f t="shared" si="16"/>
        <v>0</v>
      </c>
      <c r="J76" s="161">
        <v>0</v>
      </c>
      <c r="K76" s="161">
        <f>K77+K80+K82+K84+K86+K88</f>
        <v>0</v>
      </c>
      <c r="L76" s="161">
        <f>L77+L80+L82+L84+L86+L88</f>
        <v>0</v>
      </c>
      <c r="M76" s="188">
        <f>M77+M80</f>
        <v>33</v>
      </c>
      <c r="N76" s="189">
        <f>N77+N80</f>
        <v>33</v>
      </c>
      <c r="O76" s="190"/>
      <c r="P76" s="190"/>
      <c r="Q76" s="190"/>
      <c r="R76" s="193"/>
    </row>
    <row r="77" spans="1:18" ht="45" customHeight="1" hidden="1">
      <c r="A77" s="173" t="s">
        <v>526</v>
      </c>
      <c r="B77" s="159" t="s">
        <v>477</v>
      </c>
      <c r="C77" s="159" t="s">
        <v>404</v>
      </c>
      <c r="D77" s="159" t="s">
        <v>437</v>
      </c>
      <c r="E77" s="159" t="s">
        <v>527</v>
      </c>
      <c r="F77" s="159"/>
      <c r="G77" s="177">
        <f t="shared" si="16"/>
        <v>0</v>
      </c>
      <c r="H77" s="177">
        <f t="shared" si="16"/>
        <v>1049.66</v>
      </c>
      <c r="I77" s="177">
        <f t="shared" si="16"/>
        <v>0</v>
      </c>
      <c r="J77" s="170">
        <v>0</v>
      </c>
      <c r="K77" s="170">
        <f t="shared" si="16"/>
        <v>0</v>
      </c>
      <c r="L77" s="170">
        <f t="shared" si="16"/>
        <v>0</v>
      </c>
      <c r="M77" s="171">
        <f t="shared" si="16"/>
        <v>0</v>
      </c>
      <c r="N77" s="189">
        <f t="shared" si="16"/>
        <v>0</v>
      </c>
      <c r="O77" s="193"/>
      <c r="P77" s="193"/>
      <c r="Q77" s="193"/>
      <c r="R77" s="193"/>
    </row>
    <row r="78" spans="1:18" ht="30" customHeight="1" hidden="1">
      <c r="A78" s="173" t="s">
        <v>497</v>
      </c>
      <c r="B78" s="159" t="s">
        <v>477</v>
      </c>
      <c r="C78" s="159" t="s">
        <v>404</v>
      </c>
      <c r="D78" s="159" t="s">
        <v>437</v>
      </c>
      <c r="E78" s="159" t="s">
        <v>528</v>
      </c>
      <c r="F78" s="159"/>
      <c r="G78" s="177">
        <f t="shared" si="16"/>
        <v>0</v>
      </c>
      <c r="H78" s="177">
        <f t="shared" si="16"/>
        <v>1049.66</v>
      </c>
      <c r="I78" s="177">
        <f t="shared" si="16"/>
        <v>0</v>
      </c>
      <c r="J78" s="170">
        <v>0</v>
      </c>
      <c r="K78" s="170">
        <f t="shared" si="16"/>
        <v>0</v>
      </c>
      <c r="L78" s="170">
        <f t="shared" si="16"/>
        <v>0</v>
      </c>
      <c r="M78" s="171">
        <f t="shared" si="16"/>
        <v>0</v>
      </c>
      <c r="N78" s="189">
        <f t="shared" si="16"/>
        <v>0</v>
      </c>
      <c r="O78" s="193"/>
      <c r="P78" s="193"/>
      <c r="Q78" s="193"/>
      <c r="R78" s="193"/>
    </row>
    <row r="79" spans="1:18" ht="30.75" customHeight="1" hidden="1">
      <c r="A79" s="173" t="s">
        <v>504</v>
      </c>
      <c r="B79" s="159" t="s">
        <v>477</v>
      </c>
      <c r="C79" s="159" t="s">
        <v>404</v>
      </c>
      <c r="D79" s="159" t="s">
        <v>437</v>
      </c>
      <c r="E79" s="159" t="s">
        <v>528</v>
      </c>
      <c r="F79" s="159" t="s">
        <v>494</v>
      </c>
      <c r="G79" s="177"/>
      <c r="H79" s="169">
        <v>1049.66</v>
      </c>
      <c r="I79" s="177"/>
      <c r="J79" s="170">
        <v>0</v>
      </c>
      <c r="K79" s="170"/>
      <c r="L79" s="170">
        <f>J79+K79</f>
        <v>0</v>
      </c>
      <c r="M79" s="180"/>
      <c r="N79" s="195">
        <f>L79+M79</f>
        <v>0</v>
      </c>
      <c r="O79" s="193"/>
      <c r="P79" s="193"/>
      <c r="Q79" s="196"/>
      <c r="R79" s="193"/>
    </row>
    <row r="80" spans="1:18" ht="60.75" customHeight="1" hidden="1">
      <c r="A80" s="173" t="s">
        <v>529</v>
      </c>
      <c r="B80" s="185" t="s">
        <v>477</v>
      </c>
      <c r="C80" s="186" t="s">
        <v>404</v>
      </c>
      <c r="D80" s="186" t="s">
        <v>437</v>
      </c>
      <c r="E80" s="187">
        <v>7952014</v>
      </c>
      <c r="F80" s="186"/>
      <c r="G80" s="186"/>
      <c r="H80" s="169"/>
      <c r="I80" s="177"/>
      <c r="J80" s="170">
        <f>J81</f>
        <v>0</v>
      </c>
      <c r="K80" s="170">
        <f>K81</f>
        <v>0</v>
      </c>
      <c r="L80" s="170">
        <f>L81</f>
        <v>0</v>
      </c>
      <c r="M80" s="171">
        <f>M81</f>
        <v>33</v>
      </c>
      <c r="N80" s="197">
        <f>N81</f>
        <v>33</v>
      </c>
      <c r="O80" s="193"/>
      <c r="P80" s="193"/>
      <c r="Q80" s="196"/>
      <c r="R80" s="193"/>
    </row>
    <row r="81" spans="1:18" ht="30" customHeight="1" hidden="1" thickBot="1">
      <c r="A81" s="173" t="s">
        <v>487</v>
      </c>
      <c r="B81" s="186" t="s">
        <v>477</v>
      </c>
      <c r="C81" s="186" t="s">
        <v>404</v>
      </c>
      <c r="D81" s="186" t="s">
        <v>437</v>
      </c>
      <c r="E81" s="187">
        <v>7952014</v>
      </c>
      <c r="F81" s="186" t="s">
        <v>485</v>
      </c>
      <c r="G81" s="177"/>
      <c r="H81" s="169"/>
      <c r="I81" s="177"/>
      <c r="J81" s="170"/>
      <c r="K81" s="170"/>
      <c r="L81" s="170">
        <f>J81+K81</f>
        <v>0</v>
      </c>
      <c r="M81" s="198">
        <v>33</v>
      </c>
      <c r="N81" s="199">
        <f>L81+M81</f>
        <v>33</v>
      </c>
      <c r="O81" s="193"/>
      <c r="P81" s="193"/>
      <c r="Q81" s="196"/>
      <c r="R81" s="193"/>
    </row>
    <row r="82" spans="1:18" ht="57.75" customHeight="1" hidden="1" thickBot="1">
      <c r="A82" s="173" t="s">
        <v>534</v>
      </c>
      <c r="B82" s="185" t="s">
        <v>477</v>
      </c>
      <c r="C82" s="186" t="s">
        <v>404</v>
      </c>
      <c r="D82" s="186" t="s">
        <v>437</v>
      </c>
      <c r="E82" s="187">
        <v>7952013</v>
      </c>
      <c r="F82" s="186"/>
      <c r="G82" s="177"/>
      <c r="H82" s="169"/>
      <c r="I82" s="177"/>
      <c r="J82" s="170">
        <f>J83</f>
        <v>0</v>
      </c>
      <c r="K82" s="170">
        <f>K83</f>
        <v>0</v>
      </c>
      <c r="L82" s="170">
        <f>L83</f>
        <v>0</v>
      </c>
      <c r="M82" s="200"/>
      <c r="N82" s="201"/>
      <c r="O82" s="193"/>
      <c r="P82" s="193"/>
      <c r="Q82" s="196"/>
      <c r="R82" s="193"/>
    </row>
    <row r="83" spans="1:18" ht="30" customHeight="1" hidden="1" thickBot="1">
      <c r="A83" s="173" t="s">
        <v>487</v>
      </c>
      <c r="B83" s="186" t="s">
        <v>477</v>
      </c>
      <c r="C83" s="186" t="s">
        <v>404</v>
      </c>
      <c r="D83" s="186" t="s">
        <v>437</v>
      </c>
      <c r="E83" s="187">
        <v>7952013</v>
      </c>
      <c r="F83" s="186" t="s">
        <v>485</v>
      </c>
      <c r="G83" s="177"/>
      <c r="H83" s="169"/>
      <c r="I83" s="177"/>
      <c r="J83" s="170"/>
      <c r="K83" s="170"/>
      <c r="L83" s="170">
        <f>J83+K83</f>
        <v>0</v>
      </c>
      <c r="M83" s="200"/>
      <c r="N83" s="201"/>
      <c r="O83" s="193"/>
      <c r="P83" s="193"/>
      <c r="Q83" s="196"/>
      <c r="R83" s="193"/>
    </row>
    <row r="84" spans="1:18" ht="57" customHeight="1" hidden="1" thickBot="1">
      <c r="A84" s="173" t="s">
        <v>535</v>
      </c>
      <c r="B84" s="185" t="s">
        <v>477</v>
      </c>
      <c r="C84" s="186" t="s">
        <v>404</v>
      </c>
      <c r="D84" s="186" t="s">
        <v>437</v>
      </c>
      <c r="E84" s="187">
        <v>7952015</v>
      </c>
      <c r="F84" s="186"/>
      <c r="G84" s="177"/>
      <c r="H84" s="169"/>
      <c r="I84" s="177"/>
      <c r="J84" s="170">
        <f>J85</f>
        <v>0</v>
      </c>
      <c r="K84" s="170">
        <f>K85</f>
        <v>0</v>
      </c>
      <c r="L84" s="170">
        <f>L85</f>
        <v>0</v>
      </c>
      <c r="M84" s="200"/>
      <c r="N84" s="201"/>
      <c r="O84" s="193"/>
      <c r="P84" s="193"/>
      <c r="Q84" s="196"/>
      <c r="R84" s="193"/>
    </row>
    <row r="85" spans="1:18" ht="30" customHeight="1" hidden="1" thickBot="1">
      <c r="A85" s="173" t="s">
        <v>487</v>
      </c>
      <c r="B85" s="186" t="s">
        <v>477</v>
      </c>
      <c r="C85" s="186" t="s">
        <v>404</v>
      </c>
      <c r="D85" s="186" t="s">
        <v>437</v>
      </c>
      <c r="E85" s="187">
        <v>7952015</v>
      </c>
      <c r="F85" s="186" t="s">
        <v>485</v>
      </c>
      <c r="G85" s="177"/>
      <c r="H85" s="169"/>
      <c r="I85" s="177"/>
      <c r="J85" s="170"/>
      <c r="K85" s="170"/>
      <c r="L85" s="170">
        <f>J85+K85</f>
        <v>0</v>
      </c>
      <c r="M85" s="200"/>
      <c r="N85" s="201"/>
      <c r="O85" s="193"/>
      <c r="P85" s="193"/>
      <c r="Q85" s="196"/>
      <c r="R85" s="193"/>
    </row>
    <row r="86" spans="1:18" ht="90" customHeight="1" hidden="1" thickBot="1">
      <c r="A86" s="173" t="s">
        <v>536</v>
      </c>
      <c r="B86" s="185" t="s">
        <v>477</v>
      </c>
      <c r="C86" s="186" t="s">
        <v>404</v>
      </c>
      <c r="D86" s="186" t="s">
        <v>437</v>
      </c>
      <c r="E86" s="187">
        <v>7952016</v>
      </c>
      <c r="F86" s="186"/>
      <c r="G86" s="177"/>
      <c r="H86" s="169"/>
      <c r="I86" s="177"/>
      <c r="J86" s="170">
        <f>J87</f>
        <v>0</v>
      </c>
      <c r="K86" s="170">
        <f>K87</f>
        <v>0</v>
      </c>
      <c r="L86" s="170">
        <f>L87</f>
        <v>0</v>
      </c>
      <c r="M86" s="200"/>
      <c r="N86" s="201"/>
      <c r="O86" s="193"/>
      <c r="P86" s="193"/>
      <c r="Q86" s="196"/>
      <c r="R86" s="193"/>
    </row>
    <row r="87" spans="1:18" ht="30" customHeight="1" hidden="1" thickBot="1">
      <c r="A87" s="173" t="s">
        <v>487</v>
      </c>
      <c r="B87" s="186" t="s">
        <v>477</v>
      </c>
      <c r="C87" s="186" t="s">
        <v>404</v>
      </c>
      <c r="D87" s="186" t="s">
        <v>437</v>
      </c>
      <c r="E87" s="187">
        <v>7952016</v>
      </c>
      <c r="F87" s="186" t="s">
        <v>485</v>
      </c>
      <c r="G87" s="177"/>
      <c r="H87" s="169"/>
      <c r="I87" s="177"/>
      <c r="J87" s="170"/>
      <c r="K87" s="170"/>
      <c r="L87" s="170">
        <f>J87+K87</f>
        <v>0</v>
      </c>
      <c r="M87" s="200"/>
      <c r="N87" s="201"/>
      <c r="O87" s="193"/>
      <c r="P87" s="193"/>
      <c r="Q87" s="196"/>
      <c r="R87" s="193"/>
    </row>
    <row r="88" spans="1:18" ht="45" customHeight="1" hidden="1" thickBot="1">
      <c r="A88" s="173" t="s">
        <v>537</v>
      </c>
      <c r="B88" s="185" t="s">
        <v>477</v>
      </c>
      <c r="C88" s="186" t="s">
        <v>404</v>
      </c>
      <c r="D88" s="186" t="s">
        <v>437</v>
      </c>
      <c r="E88" s="187">
        <v>7952017</v>
      </c>
      <c r="F88" s="186"/>
      <c r="G88" s="177"/>
      <c r="H88" s="169"/>
      <c r="I88" s="177"/>
      <c r="J88" s="170">
        <f>J89</f>
        <v>0</v>
      </c>
      <c r="K88" s="170">
        <f>K89</f>
        <v>0</v>
      </c>
      <c r="L88" s="170">
        <f>L89</f>
        <v>0</v>
      </c>
      <c r="M88" s="200"/>
      <c r="N88" s="201"/>
      <c r="O88" s="193"/>
      <c r="P88" s="193"/>
      <c r="Q88" s="196"/>
      <c r="R88" s="193"/>
    </row>
    <row r="89" spans="1:18" ht="33" customHeight="1" hidden="1" thickBot="1">
      <c r="A89" s="173" t="s">
        <v>487</v>
      </c>
      <c r="B89" s="186" t="s">
        <v>477</v>
      </c>
      <c r="C89" s="186" t="s">
        <v>404</v>
      </c>
      <c r="D89" s="186" t="s">
        <v>437</v>
      </c>
      <c r="E89" s="187">
        <v>7952017</v>
      </c>
      <c r="F89" s="186" t="s">
        <v>485</v>
      </c>
      <c r="G89" s="177"/>
      <c r="H89" s="169"/>
      <c r="I89" s="177"/>
      <c r="J89" s="170"/>
      <c r="K89" s="170">
        <f>30-30</f>
        <v>0</v>
      </c>
      <c r="L89" s="170">
        <f>J89+K89</f>
        <v>0</v>
      </c>
      <c r="M89" s="202"/>
      <c r="N89" s="203"/>
      <c r="O89" s="193"/>
      <c r="P89" s="193"/>
      <c r="Q89" s="196"/>
      <c r="R89" s="193"/>
    </row>
    <row r="90" spans="1:17" ht="15.75" thickBot="1">
      <c r="A90" s="204" t="s">
        <v>538</v>
      </c>
      <c r="B90" s="168" t="s">
        <v>539</v>
      </c>
      <c r="C90" s="168"/>
      <c r="D90" s="168"/>
      <c r="E90" s="168"/>
      <c r="F90" s="168"/>
      <c r="G90" s="161" t="e">
        <f>#REF!+G91+G165</f>
        <v>#REF!</v>
      </c>
      <c r="H90" s="161" t="e">
        <f>#REF!+H91+H165</f>
        <v>#REF!</v>
      </c>
      <c r="I90" s="161" t="e">
        <f>#REF!+I91+I165</f>
        <v>#REF!</v>
      </c>
      <c r="J90" s="161">
        <f>J91+J165</f>
        <v>175104.26</v>
      </c>
      <c r="K90" s="161">
        <f>K91+K165</f>
        <v>27314.802000000003</v>
      </c>
      <c r="L90" s="161">
        <f>L91+L165</f>
        <v>202419.062</v>
      </c>
      <c r="M90" s="205" t="e">
        <f>#REF!+M91+M165</f>
        <v>#REF!</v>
      </c>
      <c r="N90" s="206" t="e">
        <f>#REF!+N91+N165</f>
        <v>#REF!</v>
      </c>
      <c r="O90" s="289">
        <f>L100+L103+L104+L107+L109+L111+L116+L120+L123+L125+L128+L133+L141+L143+L147+L150+L151+L152+L157+L158+L159+L160+L161+L162+L164+L172+L174+L178+L182+L183</f>
        <v>202419.062</v>
      </c>
      <c r="Q90" s="289"/>
    </row>
    <row r="91" spans="1:14" ht="15">
      <c r="A91" s="167" t="s">
        <v>478</v>
      </c>
      <c r="B91" s="168" t="s">
        <v>539</v>
      </c>
      <c r="C91" s="168" t="s">
        <v>390</v>
      </c>
      <c r="D91" s="168"/>
      <c r="E91" s="168"/>
      <c r="F91" s="168"/>
      <c r="G91" s="155" t="e">
        <f>G92+G97+G129+G134+G144</f>
        <v>#REF!</v>
      </c>
      <c r="H91" s="161" t="e">
        <f>H92+H97+H129+H134+H144</f>
        <v>#REF!</v>
      </c>
      <c r="I91" s="161" t="e">
        <f>I92+I97+I129+I134+I144</f>
        <v>#REF!</v>
      </c>
      <c r="J91" s="161">
        <f>J97+J129+J134+J144</f>
        <v>158747.16</v>
      </c>
      <c r="K91" s="161">
        <f>K97+K129+K134+K144</f>
        <v>25841.202</v>
      </c>
      <c r="L91" s="161">
        <f>L97+L129+L134+L144</f>
        <v>184588.362</v>
      </c>
      <c r="M91" s="174" t="e">
        <f>M92+M97+M129+M134+M144</f>
        <v>#REF!</v>
      </c>
      <c r="N91" s="175" t="e">
        <f>N92+N97+N129+N134+N144</f>
        <v>#REF!</v>
      </c>
    </row>
    <row r="92" spans="1:14" ht="15" customHeight="1" hidden="1">
      <c r="A92" s="167" t="s">
        <v>419</v>
      </c>
      <c r="B92" s="168" t="s">
        <v>539</v>
      </c>
      <c r="C92" s="168" t="s">
        <v>390</v>
      </c>
      <c r="D92" s="168" t="s">
        <v>382</v>
      </c>
      <c r="E92" s="168"/>
      <c r="F92" s="168"/>
      <c r="G92" s="155">
        <f aca="true" t="shared" si="17" ref="G92:N93">G93</f>
        <v>-926.36</v>
      </c>
      <c r="H92" s="155">
        <f t="shared" si="17"/>
        <v>3734</v>
      </c>
      <c r="I92" s="155">
        <f t="shared" si="17"/>
        <v>0</v>
      </c>
      <c r="J92" s="161">
        <v>0</v>
      </c>
      <c r="K92" s="161">
        <f t="shared" si="17"/>
        <v>0</v>
      </c>
      <c r="L92" s="161">
        <f t="shared" si="17"/>
        <v>0</v>
      </c>
      <c r="M92" s="188">
        <f t="shared" si="17"/>
        <v>805.6</v>
      </c>
      <c r="N92" s="209">
        <f t="shared" si="17"/>
        <v>805.6</v>
      </c>
    </row>
    <row r="93" spans="1:14" ht="15" customHeight="1" hidden="1">
      <c r="A93" s="173" t="s">
        <v>546</v>
      </c>
      <c r="B93" s="159" t="s">
        <v>539</v>
      </c>
      <c r="C93" s="159" t="s">
        <v>390</v>
      </c>
      <c r="D93" s="159" t="s">
        <v>382</v>
      </c>
      <c r="E93" s="159" t="s">
        <v>547</v>
      </c>
      <c r="F93" s="159"/>
      <c r="G93" s="177">
        <f t="shared" si="17"/>
        <v>-926.36</v>
      </c>
      <c r="H93" s="177">
        <f t="shared" si="17"/>
        <v>3734</v>
      </c>
      <c r="I93" s="177">
        <f t="shared" si="17"/>
        <v>0</v>
      </c>
      <c r="J93" s="170">
        <v>0</v>
      </c>
      <c r="K93" s="170">
        <f t="shared" si="17"/>
        <v>0</v>
      </c>
      <c r="L93" s="170">
        <f t="shared" si="17"/>
        <v>0</v>
      </c>
      <c r="M93" s="171">
        <f t="shared" si="17"/>
        <v>805.6</v>
      </c>
      <c r="N93" s="172">
        <f t="shared" si="17"/>
        <v>805.6</v>
      </c>
    </row>
    <row r="94" spans="1:14" ht="30" customHeight="1" hidden="1">
      <c r="A94" s="173" t="s">
        <v>497</v>
      </c>
      <c r="B94" s="159" t="s">
        <v>539</v>
      </c>
      <c r="C94" s="159" t="s">
        <v>390</v>
      </c>
      <c r="D94" s="159" t="s">
        <v>382</v>
      </c>
      <c r="E94" s="159" t="s">
        <v>548</v>
      </c>
      <c r="F94" s="159"/>
      <c r="G94" s="177">
        <f aca="true" t="shared" si="18" ref="G94:M94">G95+G96</f>
        <v>-926.36</v>
      </c>
      <c r="H94" s="177">
        <f t="shared" si="18"/>
        <v>3734</v>
      </c>
      <c r="I94" s="177">
        <f t="shared" si="18"/>
        <v>0</v>
      </c>
      <c r="J94" s="170">
        <v>0</v>
      </c>
      <c r="K94" s="170">
        <f t="shared" si="18"/>
        <v>0</v>
      </c>
      <c r="L94" s="170">
        <f t="shared" si="18"/>
        <v>0</v>
      </c>
      <c r="M94" s="171">
        <f t="shared" si="18"/>
        <v>805.6</v>
      </c>
      <c r="N94" s="172">
        <f>N95+N96</f>
        <v>805.6</v>
      </c>
    </row>
    <row r="95" spans="1:15" ht="30" customHeight="1" hidden="1">
      <c r="A95" s="173" t="s">
        <v>549</v>
      </c>
      <c r="B95" s="159" t="s">
        <v>539</v>
      </c>
      <c r="C95" s="159" t="s">
        <v>390</v>
      </c>
      <c r="D95" s="159" t="s">
        <v>382</v>
      </c>
      <c r="E95" s="159" t="s">
        <v>548</v>
      </c>
      <c r="F95" s="159" t="s">
        <v>494</v>
      </c>
      <c r="G95" s="177">
        <f>-36.76+103.4</f>
        <v>66.64000000000001</v>
      </c>
      <c r="H95" s="169">
        <v>2606</v>
      </c>
      <c r="I95" s="177"/>
      <c r="J95" s="170">
        <v>0</v>
      </c>
      <c r="K95" s="170"/>
      <c r="L95" s="170">
        <f>J95+K95</f>
        <v>0</v>
      </c>
      <c r="M95" s="171">
        <f>-44.4+915</f>
        <v>870.6</v>
      </c>
      <c r="N95" s="172">
        <f>L95+M95</f>
        <v>870.6</v>
      </c>
      <c r="O95" s="455"/>
    </row>
    <row r="96" spans="1:14" ht="60" customHeight="1" hidden="1">
      <c r="A96" s="173" t="s">
        <v>499</v>
      </c>
      <c r="B96" s="159" t="s">
        <v>539</v>
      </c>
      <c r="C96" s="159" t="s">
        <v>390</v>
      </c>
      <c r="D96" s="159" t="s">
        <v>382</v>
      </c>
      <c r="E96" s="159" t="s">
        <v>550</v>
      </c>
      <c r="F96" s="159" t="s">
        <v>494</v>
      </c>
      <c r="G96" s="177">
        <f>-112.8-880.2</f>
        <v>-993</v>
      </c>
      <c r="H96" s="169">
        <v>1128</v>
      </c>
      <c r="I96" s="177"/>
      <c r="J96" s="170">
        <v>0</v>
      </c>
      <c r="K96" s="170"/>
      <c r="L96" s="170">
        <f>J96+K96</f>
        <v>0</v>
      </c>
      <c r="M96" s="171">
        <v>-65</v>
      </c>
      <c r="N96" s="172">
        <f>L96+M96</f>
        <v>-65</v>
      </c>
    </row>
    <row r="97" spans="1:14" ht="15">
      <c r="A97" s="167" t="s">
        <v>420</v>
      </c>
      <c r="B97" s="168" t="s">
        <v>539</v>
      </c>
      <c r="C97" s="168" t="s">
        <v>390</v>
      </c>
      <c r="D97" s="168" t="s">
        <v>383</v>
      </c>
      <c r="E97" s="168"/>
      <c r="F97" s="168"/>
      <c r="G97" s="161" t="e">
        <f>G98+G117+#REF!+#REF!+#REF!+#REF!</f>
        <v>#REF!</v>
      </c>
      <c r="H97" s="161" t="e">
        <f>H98+H117+#REF!+#REF!+#REF!+#REF!</f>
        <v>#REF!</v>
      </c>
      <c r="I97" s="161" t="e">
        <f>I98+I117+#REF!+#REF!+#REF!+#REF!</f>
        <v>#REF!</v>
      </c>
      <c r="J97" s="161">
        <f>J98+J117+J121+J126</f>
        <v>151160.04</v>
      </c>
      <c r="K97" s="161">
        <f>K98+K117+K121+K126</f>
        <v>25799.140000000003</v>
      </c>
      <c r="L97" s="161">
        <f>L98+L117+L121+L126</f>
        <v>176959.18</v>
      </c>
      <c r="M97" s="188" t="e">
        <f>M98+M117+#REF!+#REF!+#REF!+#REF!</f>
        <v>#REF!</v>
      </c>
      <c r="N97" s="209" t="e">
        <f>N98+N117+#REF!+#REF!+#REF!+#REF!</f>
        <v>#REF!</v>
      </c>
    </row>
    <row r="98" spans="1:14" ht="26.25">
      <c r="A98" s="173" t="s">
        <v>551</v>
      </c>
      <c r="B98" s="159" t="s">
        <v>539</v>
      </c>
      <c r="C98" s="159" t="s">
        <v>390</v>
      </c>
      <c r="D98" s="159" t="s">
        <v>383</v>
      </c>
      <c r="E98" s="159" t="s">
        <v>552</v>
      </c>
      <c r="F98" s="159"/>
      <c r="G98" s="170">
        <f>G101</f>
        <v>867.76</v>
      </c>
      <c r="H98" s="170">
        <f>H101</f>
        <v>122607.1</v>
      </c>
      <c r="I98" s="170">
        <f>I101</f>
        <v>0</v>
      </c>
      <c r="J98" s="170">
        <f>J99+J101+J105+J108+J110+J112+J113+J114</f>
        <v>142542.73</v>
      </c>
      <c r="K98" s="170">
        <f>K99+K101+K105+K108+K110+K112+K113+K114</f>
        <v>20720.370000000003</v>
      </c>
      <c r="L98" s="170">
        <f>L99+L101+L105+L108+L110+L112+L113+L114</f>
        <v>163263.09999999998</v>
      </c>
      <c r="M98" s="171" t="e">
        <f>M101+M106+M107+M112+#REF!+M113+#REF!+#REF!+#REF!+M115+M116</f>
        <v>#REF!</v>
      </c>
      <c r="N98" s="211" t="e">
        <f>N101+N106+N107+N112+#REF!+N113+#REF!+#REF!+#REF!+N115+N116</f>
        <v>#REF!</v>
      </c>
    </row>
    <row r="99" spans="1:14" ht="102">
      <c r="A99" s="456" t="s">
        <v>971</v>
      </c>
      <c r="B99" s="185" t="s">
        <v>539</v>
      </c>
      <c r="C99" s="185" t="s">
        <v>390</v>
      </c>
      <c r="D99" s="185" t="s">
        <v>383</v>
      </c>
      <c r="E99" s="185" t="s">
        <v>972</v>
      </c>
      <c r="F99" s="159"/>
      <c r="G99" s="170"/>
      <c r="H99" s="170"/>
      <c r="I99" s="170"/>
      <c r="J99" s="170">
        <f>J100</f>
        <v>0</v>
      </c>
      <c r="K99" s="170">
        <f>K100</f>
        <v>128848.7</v>
      </c>
      <c r="L99" s="170">
        <f>L100</f>
        <v>128848.7</v>
      </c>
      <c r="M99" s="171"/>
      <c r="N99" s="211"/>
    </row>
    <row r="100" spans="1:14" ht="63.75">
      <c r="A100" s="213" t="s">
        <v>554</v>
      </c>
      <c r="B100" s="159" t="s">
        <v>539</v>
      </c>
      <c r="C100" s="159" t="s">
        <v>390</v>
      </c>
      <c r="D100" s="159" t="s">
        <v>383</v>
      </c>
      <c r="E100" s="159" t="s">
        <v>559</v>
      </c>
      <c r="F100" s="159" t="s">
        <v>555</v>
      </c>
      <c r="G100" s="177"/>
      <c r="H100" s="169"/>
      <c r="I100" s="177"/>
      <c r="J100" s="170"/>
      <c r="K100" s="170">
        <v>128848.7</v>
      </c>
      <c r="L100" s="170">
        <f>SUM(J100:K100)</f>
        <v>128848.7</v>
      </c>
      <c r="M100" s="171"/>
      <c r="N100" s="172"/>
    </row>
    <row r="101" spans="1:14" ht="26.25">
      <c r="A101" s="173" t="s">
        <v>497</v>
      </c>
      <c r="B101" s="159" t="s">
        <v>539</v>
      </c>
      <c r="C101" s="159" t="s">
        <v>390</v>
      </c>
      <c r="D101" s="159" t="s">
        <v>383</v>
      </c>
      <c r="E101" s="159" t="s">
        <v>553</v>
      </c>
      <c r="F101" s="159"/>
      <c r="G101" s="177">
        <f>G102+G106</f>
        <v>867.76</v>
      </c>
      <c r="H101" s="177">
        <f>H102+H106</f>
        <v>122607.1</v>
      </c>
      <c r="I101" s="177">
        <f>I102+I106</f>
        <v>0</v>
      </c>
      <c r="J101" s="170">
        <f>J102+J103+J104</f>
        <v>31453.63</v>
      </c>
      <c r="K101" s="170">
        <f>K102+K103+K104</f>
        <v>-811.0300000000007</v>
      </c>
      <c r="L101" s="170">
        <f>L102+L103+L104</f>
        <v>30642.6</v>
      </c>
      <c r="M101" s="171">
        <f>M102+M103</f>
        <v>2311.3940000000002</v>
      </c>
      <c r="N101" s="211">
        <f>N102+N103</f>
        <v>2311.3940000000002</v>
      </c>
    </row>
    <row r="102" spans="1:15" ht="26.25">
      <c r="A102" s="173" t="s">
        <v>549</v>
      </c>
      <c r="B102" s="159" t="s">
        <v>539</v>
      </c>
      <c r="C102" s="159" t="s">
        <v>390</v>
      </c>
      <c r="D102" s="159" t="s">
        <v>383</v>
      </c>
      <c r="E102" s="159" t="s">
        <v>553</v>
      </c>
      <c r="F102" s="159" t="s">
        <v>494</v>
      </c>
      <c r="G102" s="177">
        <f>36.76+38-200</f>
        <v>-125.24000000000001</v>
      </c>
      <c r="H102" s="169">
        <v>121495.1</v>
      </c>
      <c r="I102" s="177"/>
      <c r="J102" s="170">
        <v>31453.63</v>
      </c>
      <c r="K102" s="170">
        <v>-31453.63</v>
      </c>
      <c r="L102" s="170">
        <f>J102+K102</f>
        <v>0</v>
      </c>
      <c r="M102" s="212">
        <f>102.98+1108+1100.414</f>
        <v>2311.3940000000002</v>
      </c>
      <c r="N102" s="172">
        <f>L102+M102</f>
        <v>2311.3940000000002</v>
      </c>
      <c r="O102" s="289" t="e">
        <f>L102-#REF!</f>
        <v>#REF!</v>
      </c>
    </row>
    <row r="103" spans="1:15" ht="63.75">
      <c r="A103" s="213" t="s">
        <v>554</v>
      </c>
      <c r="B103" s="159" t="s">
        <v>539</v>
      </c>
      <c r="C103" s="159" t="s">
        <v>390</v>
      </c>
      <c r="D103" s="159" t="s">
        <v>383</v>
      </c>
      <c r="E103" s="159" t="s">
        <v>553</v>
      </c>
      <c r="F103" s="159" t="s">
        <v>555</v>
      </c>
      <c r="G103" s="177"/>
      <c r="H103" s="169"/>
      <c r="I103" s="177"/>
      <c r="J103" s="170"/>
      <c r="K103" s="170">
        <f>34881.1-1200-4086.17-1751.2-128-1159.3</f>
        <v>26556.43</v>
      </c>
      <c r="L103" s="170">
        <f>SUM(J103:K103)</f>
        <v>26556.43</v>
      </c>
      <c r="M103" s="212"/>
      <c r="N103" s="172"/>
      <c r="O103" s="289"/>
    </row>
    <row r="104" spans="1:15" ht="25.5">
      <c r="A104" s="213" t="s">
        <v>981</v>
      </c>
      <c r="B104" s="159" t="s">
        <v>539</v>
      </c>
      <c r="C104" s="159" t="s">
        <v>390</v>
      </c>
      <c r="D104" s="159" t="s">
        <v>383</v>
      </c>
      <c r="E104" s="159" t="s">
        <v>553</v>
      </c>
      <c r="F104" s="159" t="s">
        <v>563</v>
      </c>
      <c r="G104" s="177"/>
      <c r="H104" s="169"/>
      <c r="I104" s="177"/>
      <c r="J104" s="170"/>
      <c r="K104" s="170">
        <f>350+200+2500+1036.17</f>
        <v>4086.17</v>
      </c>
      <c r="L104" s="170">
        <f>SUM(J104:K104)</f>
        <v>4086.17</v>
      </c>
      <c r="M104" s="212"/>
      <c r="N104" s="172"/>
      <c r="O104" s="289"/>
    </row>
    <row r="105" spans="1:15" ht="51.75">
      <c r="A105" s="173" t="s">
        <v>499</v>
      </c>
      <c r="B105" s="159" t="s">
        <v>539</v>
      </c>
      <c r="C105" s="159" t="s">
        <v>390</v>
      </c>
      <c r="D105" s="159" t="s">
        <v>383</v>
      </c>
      <c r="E105" s="159" t="s">
        <v>556</v>
      </c>
      <c r="F105" s="159"/>
      <c r="G105" s="177"/>
      <c r="H105" s="169"/>
      <c r="I105" s="177"/>
      <c r="J105" s="170">
        <f>J106+J107</f>
        <v>3609</v>
      </c>
      <c r="K105" s="170">
        <f>K106+K107</f>
        <v>162.80000000000018</v>
      </c>
      <c r="L105" s="170">
        <f>L106+L107</f>
        <v>3771.8</v>
      </c>
      <c r="M105" s="212"/>
      <c r="N105" s="172"/>
      <c r="O105" s="289"/>
    </row>
    <row r="106" spans="1:15" ht="26.25">
      <c r="A106" s="173" t="s">
        <v>504</v>
      </c>
      <c r="B106" s="159" t="s">
        <v>539</v>
      </c>
      <c r="C106" s="159" t="s">
        <v>390</v>
      </c>
      <c r="D106" s="159" t="s">
        <v>383</v>
      </c>
      <c r="E106" s="159" t="s">
        <v>556</v>
      </c>
      <c r="F106" s="159" t="s">
        <v>494</v>
      </c>
      <c r="G106" s="177">
        <f>112.8+880.2</f>
        <v>993</v>
      </c>
      <c r="H106" s="169">
        <v>1112</v>
      </c>
      <c r="I106" s="177"/>
      <c r="J106" s="170">
        <v>3609</v>
      </c>
      <c r="K106" s="170">
        <v>-3609</v>
      </c>
      <c r="L106" s="170">
        <f>J106+K106</f>
        <v>0</v>
      </c>
      <c r="M106" s="171">
        <f>-605</f>
        <v>-605</v>
      </c>
      <c r="N106" s="172">
        <f>L106+M106</f>
        <v>-605</v>
      </c>
      <c r="O106" s="247" t="e">
        <f>L106-#REF!</f>
        <v>#REF!</v>
      </c>
    </row>
    <row r="107" spans="1:15" ht="63.75">
      <c r="A107" s="213" t="s">
        <v>554</v>
      </c>
      <c r="B107" s="159" t="s">
        <v>539</v>
      </c>
      <c r="C107" s="159" t="s">
        <v>390</v>
      </c>
      <c r="D107" s="159" t="s">
        <v>383</v>
      </c>
      <c r="E107" s="159" t="s">
        <v>556</v>
      </c>
      <c r="F107" s="159" t="s">
        <v>555</v>
      </c>
      <c r="G107" s="177"/>
      <c r="H107" s="169"/>
      <c r="I107" s="177"/>
      <c r="J107" s="170"/>
      <c r="K107" s="170">
        <f>3962-190.2</f>
        <v>3771.8</v>
      </c>
      <c r="L107" s="170">
        <f>SUM(J107:K107)</f>
        <v>3771.8</v>
      </c>
      <c r="M107" s="171"/>
      <c r="N107" s="172"/>
      <c r="O107" s="247"/>
    </row>
    <row r="108" spans="1:15" ht="25.5" hidden="1">
      <c r="A108" s="213" t="s">
        <v>975</v>
      </c>
      <c r="B108" s="159" t="s">
        <v>539</v>
      </c>
      <c r="C108" s="159" t="s">
        <v>390</v>
      </c>
      <c r="D108" s="159" t="s">
        <v>383</v>
      </c>
      <c r="E108" s="159" t="s">
        <v>562</v>
      </c>
      <c r="F108" s="159"/>
      <c r="G108" s="177"/>
      <c r="H108" s="169"/>
      <c r="I108" s="177"/>
      <c r="J108" s="170">
        <f>J109</f>
        <v>0</v>
      </c>
      <c r="K108" s="170">
        <f>K109</f>
        <v>0</v>
      </c>
      <c r="L108" s="170">
        <f>L109</f>
        <v>0</v>
      </c>
      <c r="M108" s="171"/>
      <c r="N108" s="172"/>
      <c r="O108" s="247"/>
    </row>
    <row r="109" spans="1:14" ht="25.5" hidden="1">
      <c r="A109" s="457" t="s">
        <v>598</v>
      </c>
      <c r="B109" s="159" t="s">
        <v>539</v>
      </c>
      <c r="C109" s="159" t="s">
        <v>390</v>
      </c>
      <c r="D109" s="159" t="s">
        <v>383</v>
      </c>
      <c r="E109" s="159" t="s">
        <v>562</v>
      </c>
      <c r="F109" s="159" t="s">
        <v>563</v>
      </c>
      <c r="G109" s="177"/>
      <c r="H109" s="169"/>
      <c r="I109" s="177"/>
      <c r="J109" s="170">
        <v>0</v>
      </c>
      <c r="K109" s="170"/>
      <c r="L109" s="170">
        <f>J109+K109</f>
        <v>0</v>
      </c>
      <c r="M109" s="171"/>
      <c r="N109" s="172"/>
    </row>
    <row r="110" spans="1:15" ht="39" hidden="1">
      <c r="A110" s="173" t="s">
        <v>974</v>
      </c>
      <c r="B110" s="159" t="s">
        <v>539</v>
      </c>
      <c r="C110" s="159" t="s">
        <v>390</v>
      </c>
      <c r="D110" s="159" t="s">
        <v>383</v>
      </c>
      <c r="E110" s="159" t="s">
        <v>564</v>
      </c>
      <c r="F110" s="159"/>
      <c r="G110" s="177"/>
      <c r="H110" s="169"/>
      <c r="I110" s="177"/>
      <c r="J110" s="170">
        <f>J111</f>
        <v>0</v>
      </c>
      <c r="K110" s="170">
        <f>K111</f>
        <v>0</v>
      </c>
      <c r="L110" s="170">
        <f>L111</f>
        <v>0</v>
      </c>
      <c r="M110" s="171"/>
      <c r="N110" s="172"/>
      <c r="O110" s="247"/>
    </row>
    <row r="111" spans="1:14" ht="25.5" hidden="1">
      <c r="A111" s="457" t="s">
        <v>598</v>
      </c>
      <c r="B111" s="159" t="s">
        <v>539</v>
      </c>
      <c r="C111" s="159" t="s">
        <v>390</v>
      </c>
      <c r="D111" s="159" t="s">
        <v>383</v>
      </c>
      <c r="E111" s="159" t="s">
        <v>564</v>
      </c>
      <c r="F111" s="159" t="s">
        <v>563</v>
      </c>
      <c r="G111" s="177"/>
      <c r="H111" s="169"/>
      <c r="I111" s="177"/>
      <c r="J111" s="170">
        <v>0</v>
      </c>
      <c r="K111" s="170"/>
      <c r="L111" s="170">
        <f>J111+K111</f>
        <v>0</v>
      </c>
      <c r="M111" s="171"/>
      <c r="N111" s="172"/>
    </row>
    <row r="112" spans="1:15" ht="76.5">
      <c r="A112" s="214" t="s">
        <v>557</v>
      </c>
      <c r="B112" s="159" t="s">
        <v>539</v>
      </c>
      <c r="C112" s="159" t="s">
        <v>390</v>
      </c>
      <c r="D112" s="159" t="s">
        <v>383</v>
      </c>
      <c r="E112" s="159" t="s">
        <v>558</v>
      </c>
      <c r="F112" s="159" t="s">
        <v>494</v>
      </c>
      <c r="G112" s="177"/>
      <c r="H112" s="169"/>
      <c r="I112" s="177"/>
      <c r="J112" s="170">
        <v>105221.7</v>
      </c>
      <c r="K112" s="170">
        <v>-105221.7</v>
      </c>
      <c r="L112" s="170">
        <f>J112+K112</f>
        <v>0</v>
      </c>
      <c r="M112" s="171"/>
      <c r="N112" s="172"/>
      <c r="O112" s="152">
        <v>91019</v>
      </c>
    </row>
    <row r="113" spans="1:15" ht="51.75">
      <c r="A113" s="173" t="s">
        <v>560</v>
      </c>
      <c r="B113" s="159" t="s">
        <v>539</v>
      </c>
      <c r="C113" s="159" t="s">
        <v>390</v>
      </c>
      <c r="D113" s="159" t="s">
        <v>383</v>
      </c>
      <c r="E113" s="159" t="s">
        <v>561</v>
      </c>
      <c r="F113" s="159" t="s">
        <v>494</v>
      </c>
      <c r="G113" s="177"/>
      <c r="H113" s="169"/>
      <c r="I113" s="177"/>
      <c r="J113" s="170">
        <v>487.9</v>
      </c>
      <c r="K113" s="170">
        <v>-487.9</v>
      </c>
      <c r="L113" s="170">
        <f>J113+K113</f>
        <v>0</v>
      </c>
      <c r="M113" s="171"/>
      <c r="N113" s="172"/>
      <c r="O113" s="448"/>
    </row>
    <row r="114" spans="1:14" ht="51.75">
      <c r="A114" s="173" t="s">
        <v>565</v>
      </c>
      <c r="B114" s="159" t="s">
        <v>539</v>
      </c>
      <c r="C114" s="159" t="s">
        <v>390</v>
      </c>
      <c r="D114" s="159" t="s">
        <v>383</v>
      </c>
      <c r="E114" s="159" t="s">
        <v>566</v>
      </c>
      <c r="F114" s="159"/>
      <c r="G114" s="177"/>
      <c r="H114" s="169"/>
      <c r="I114" s="177"/>
      <c r="J114" s="170">
        <f>J115+J116</f>
        <v>1770.5</v>
      </c>
      <c r="K114" s="170">
        <f>K115+K116</f>
        <v>-1770.5</v>
      </c>
      <c r="L114" s="170">
        <f>L115+L116</f>
        <v>0</v>
      </c>
      <c r="M114" s="171"/>
      <c r="N114" s="172"/>
    </row>
    <row r="115" spans="1:17" ht="51.75">
      <c r="A115" s="173" t="s">
        <v>565</v>
      </c>
      <c r="B115" s="159" t="s">
        <v>539</v>
      </c>
      <c r="C115" s="159" t="s">
        <v>390</v>
      </c>
      <c r="D115" s="159" t="s">
        <v>383</v>
      </c>
      <c r="E115" s="159" t="s">
        <v>566</v>
      </c>
      <c r="F115" s="159" t="s">
        <v>494</v>
      </c>
      <c r="G115" s="177"/>
      <c r="H115" s="169"/>
      <c r="I115" s="177"/>
      <c r="J115" s="170">
        <v>1770.5</v>
      </c>
      <c r="K115" s="170">
        <v>-1770.5</v>
      </c>
      <c r="L115" s="170">
        <f>J115+K115</f>
        <v>0</v>
      </c>
      <c r="M115" s="171"/>
      <c r="N115" s="172"/>
      <c r="O115" s="448">
        <v>1770.5</v>
      </c>
      <c r="Q115" s="247">
        <f>L115-O115</f>
        <v>-1770.5</v>
      </c>
    </row>
    <row r="116" spans="1:17" ht="63.75" hidden="1">
      <c r="A116" s="213" t="s">
        <v>554</v>
      </c>
      <c r="B116" s="159" t="s">
        <v>539</v>
      </c>
      <c r="C116" s="159" t="s">
        <v>390</v>
      </c>
      <c r="D116" s="159" t="s">
        <v>383</v>
      </c>
      <c r="E116" s="159" t="s">
        <v>566</v>
      </c>
      <c r="F116" s="159" t="s">
        <v>555</v>
      </c>
      <c r="G116" s="177"/>
      <c r="H116" s="169"/>
      <c r="I116" s="177"/>
      <c r="J116" s="170"/>
      <c r="K116" s="170"/>
      <c r="L116" s="170">
        <f>SUM(J116:K116)</f>
        <v>0</v>
      </c>
      <c r="M116" s="171"/>
      <c r="N116" s="172"/>
      <c r="O116" s="448"/>
      <c r="Q116" s="247"/>
    </row>
    <row r="117" spans="1:14" ht="26.25">
      <c r="A117" s="173" t="s">
        <v>567</v>
      </c>
      <c r="B117" s="159" t="s">
        <v>539</v>
      </c>
      <c r="C117" s="159" t="s">
        <v>390</v>
      </c>
      <c r="D117" s="159" t="s">
        <v>383</v>
      </c>
      <c r="E117" s="159" t="s">
        <v>568</v>
      </c>
      <c r="F117" s="159"/>
      <c r="G117" s="177" t="e">
        <f aca="true" t="shared" si="19" ref="G117:N117">G118</f>
        <v>#REF!</v>
      </c>
      <c r="H117" s="177" t="e">
        <f t="shared" si="19"/>
        <v>#REF!</v>
      </c>
      <c r="I117" s="177" t="e">
        <f t="shared" si="19"/>
        <v>#REF!</v>
      </c>
      <c r="J117" s="170">
        <f t="shared" si="19"/>
        <v>8617.31</v>
      </c>
      <c r="K117" s="170">
        <f t="shared" si="19"/>
        <v>1826.5699999999997</v>
      </c>
      <c r="L117" s="170">
        <f t="shared" si="19"/>
        <v>10443.88</v>
      </c>
      <c r="M117" s="171" t="e">
        <f t="shared" si="19"/>
        <v>#REF!</v>
      </c>
      <c r="N117" s="172" t="e">
        <f t="shared" si="19"/>
        <v>#REF!</v>
      </c>
    </row>
    <row r="118" spans="1:14" ht="26.25">
      <c r="A118" s="173" t="s">
        <v>497</v>
      </c>
      <c r="B118" s="159" t="s">
        <v>539</v>
      </c>
      <c r="C118" s="159" t="s">
        <v>390</v>
      </c>
      <c r="D118" s="159" t="s">
        <v>383</v>
      </c>
      <c r="E118" s="159" t="s">
        <v>569</v>
      </c>
      <c r="F118" s="159"/>
      <c r="G118" s="177" t="e">
        <f>G119+#REF!</f>
        <v>#REF!</v>
      </c>
      <c r="H118" s="177" t="e">
        <f>H119+#REF!</f>
        <v>#REF!</v>
      </c>
      <c r="I118" s="177" t="e">
        <f>I119+#REF!</f>
        <v>#REF!</v>
      </c>
      <c r="J118" s="170">
        <f>J119+J120</f>
        <v>8617.31</v>
      </c>
      <c r="K118" s="170">
        <f>K119+K120</f>
        <v>1826.5699999999997</v>
      </c>
      <c r="L118" s="170">
        <f>L119+L120</f>
        <v>10443.88</v>
      </c>
      <c r="M118" s="171" t="e">
        <f>M119+#REF!</f>
        <v>#REF!</v>
      </c>
      <c r="N118" s="172" t="e">
        <f>N119+#REF!</f>
        <v>#REF!</v>
      </c>
    </row>
    <row r="119" spans="1:15" ht="26.25">
      <c r="A119" s="173" t="s">
        <v>549</v>
      </c>
      <c r="B119" s="159" t="s">
        <v>539</v>
      </c>
      <c r="C119" s="159" t="s">
        <v>390</v>
      </c>
      <c r="D119" s="159" t="s">
        <v>383</v>
      </c>
      <c r="E119" s="159" t="s">
        <v>569</v>
      </c>
      <c r="F119" s="159" t="s">
        <v>494</v>
      </c>
      <c r="G119" s="177">
        <v>165.6</v>
      </c>
      <c r="H119" s="169">
        <v>10077.24</v>
      </c>
      <c r="I119" s="177"/>
      <c r="J119" s="170">
        <v>8617.31</v>
      </c>
      <c r="K119" s="536">
        <v>-8617.31</v>
      </c>
      <c r="L119" s="170">
        <f>J119+K119</f>
        <v>0</v>
      </c>
      <c r="M119" s="171">
        <f>15</f>
        <v>15</v>
      </c>
      <c r="N119" s="172">
        <f>L119+M119</f>
        <v>15</v>
      </c>
      <c r="O119" s="448" t="e">
        <f>L119-#REF!</f>
        <v>#REF!</v>
      </c>
    </row>
    <row r="120" spans="1:14" ht="27.75" customHeight="1">
      <c r="A120" s="213" t="s">
        <v>554</v>
      </c>
      <c r="B120" s="159" t="s">
        <v>539</v>
      </c>
      <c r="C120" s="159" t="s">
        <v>390</v>
      </c>
      <c r="D120" s="159" t="s">
        <v>383</v>
      </c>
      <c r="E120" s="159" t="s">
        <v>569</v>
      </c>
      <c r="F120" s="159" t="s">
        <v>555</v>
      </c>
      <c r="G120" s="177"/>
      <c r="H120" s="169"/>
      <c r="I120" s="177"/>
      <c r="J120" s="170"/>
      <c r="K120" s="170">
        <f>10263.88+180</f>
        <v>10443.88</v>
      </c>
      <c r="L120" s="170">
        <f>SUM(J120:K120)</f>
        <v>10443.88</v>
      </c>
      <c r="M120" s="171"/>
      <c r="N120" s="172"/>
    </row>
    <row r="121" spans="1:14" ht="27.75" customHeight="1">
      <c r="A121" s="213" t="s">
        <v>982</v>
      </c>
      <c r="B121" s="159" t="s">
        <v>539</v>
      </c>
      <c r="C121" s="159" t="s">
        <v>390</v>
      </c>
      <c r="D121" s="159" t="s">
        <v>383</v>
      </c>
      <c r="E121" s="159" t="s">
        <v>844</v>
      </c>
      <c r="F121" s="159"/>
      <c r="G121" s="177"/>
      <c r="H121" s="169"/>
      <c r="I121" s="177"/>
      <c r="J121" s="170">
        <f>J122+J124</f>
        <v>0</v>
      </c>
      <c r="K121" s="170">
        <f>K122+K124</f>
        <v>2052.2000000000003</v>
      </c>
      <c r="L121" s="170">
        <f>L122+L124</f>
        <v>2052.2000000000003</v>
      </c>
      <c r="M121" s="178"/>
      <c r="N121" s="178"/>
    </row>
    <row r="122" spans="1:14" ht="27.75" customHeight="1">
      <c r="A122" s="213" t="s">
        <v>983</v>
      </c>
      <c r="B122" s="159" t="s">
        <v>539</v>
      </c>
      <c r="C122" s="159" t="s">
        <v>390</v>
      </c>
      <c r="D122" s="159" t="s">
        <v>383</v>
      </c>
      <c r="E122" s="159" t="s">
        <v>984</v>
      </c>
      <c r="F122" s="159"/>
      <c r="G122" s="177"/>
      <c r="H122" s="169"/>
      <c r="I122" s="177"/>
      <c r="J122" s="170">
        <f>J123</f>
        <v>0</v>
      </c>
      <c r="K122" s="170">
        <f>K123</f>
        <v>1667.4</v>
      </c>
      <c r="L122" s="170">
        <f>L123</f>
        <v>1667.4</v>
      </c>
      <c r="M122" s="178"/>
      <c r="N122" s="178"/>
    </row>
    <row r="123" spans="1:14" ht="27.75" customHeight="1">
      <c r="A123" s="213" t="s">
        <v>554</v>
      </c>
      <c r="B123" s="159" t="s">
        <v>539</v>
      </c>
      <c r="C123" s="159" t="s">
        <v>390</v>
      </c>
      <c r="D123" s="159" t="s">
        <v>383</v>
      </c>
      <c r="E123" s="159" t="s">
        <v>984</v>
      </c>
      <c r="F123" s="159" t="s">
        <v>555</v>
      </c>
      <c r="G123" s="177"/>
      <c r="H123" s="169"/>
      <c r="I123" s="177"/>
      <c r="J123" s="170"/>
      <c r="K123" s="170">
        <v>1667.4</v>
      </c>
      <c r="L123" s="170">
        <f>J123+K123</f>
        <v>1667.4</v>
      </c>
      <c r="M123" s="178"/>
      <c r="N123" s="178"/>
    </row>
    <row r="124" spans="1:14" ht="28.5" customHeight="1">
      <c r="A124" s="213" t="s">
        <v>570</v>
      </c>
      <c r="B124" s="159" t="s">
        <v>539</v>
      </c>
      <c r="C124" s="159" t="s">
        <v>390</v>
      </c>
      <c r="D124" s="159" t="s">
        <v>383</v>
      </c>
      <c r="E124" s="159" t="s">
        <v>571</v>
      </c>
      <c r="F124" s="159"/>
      <c r="G124" s="177"/>
      <c r="H124" s="169"/>
      <c r="I124" s="177"/>
      <c r="J124" s="170">
        <f>J125</f>
        <v>0</v>
      </c>
      <c r="K124" s="170">
        <f>K125</f>
        <v>384.8</v>
      </c>
      <c r="L124" s="170">
        <f>L125</f>
        <v>384.8</v>
      </c>
      <c r="M124" s="216">
        <f>M125</f>
        <v>0</v>
      </c>
      <c r="N124" s="217">
        <f>N125</f>
        <v>0</v>
      </c>
    </row>
    <row r="125" spans="1:14" ht="57.75" customHeight="1">
      <c r="A125" s="213" t="s">
        <v>554</v>
      </c>
      <c r="B125" s="159" t="s">
        <v>539</v>
      </c>
      <c r="C125" s="159" t="s">
        <v>390</v>
      </c>
      <c r="D125" s="159" t="s">
        <v>383</v>
      </c>
      <c r="E125" s="159" t="s">
        <v>571</v>
      </c>
      <c r="F125" s="159" t="s">
        <v>555</v>
      </c>
      <c r="G125" s="177"/>
      <c r="H125" s="169"/>
      <c r="I125" s="177"/>
      <c r="J125" s="170"/>
      <c r="K125" s="170">
        <v>384.8</v>
      </c>
      <c r="L125" s="170">
        <f>J125+K125</f>
        <v>384.8</v>
      </c>
      <c r="M125" s="171"/>
      <c r="N125" s="172"/>
    </row>
    <row r="126" spans="1:14" ht="15">
      <c r="A126" s="213" t="s">
        <v>835</v>
      </c>
      <c r="B126" s="159" t="s">
        <v>539</v>
      </c>
      <c r="C126" s="159" t="s">
        <v>390</v>
      </c>
      <c r="D126" s="159" t="s">
        <v>383</v>
      </c>
      <c r="E126" s="159" t="s">
        <v>761</v>
      </c>
      <c r="F126" s="159"/>
      <c r="G126" s="177"/>
      <c r="H126" s="169"/>
      <c r="I126" s="177"/>
      <c r="J126" s="170">
        <f aca="true" t="shared" si="20" ref="J126:L127">J127</f>
        <v>0</v>
      </c>
      <c r="K126" s="170">
        <f t="shared" si="20"/>
        <v>1200</v>
      </c>
      <c r="L126" s="170">
        <f t="shared" si="20"/>
        <v>1200</v>
      </c>
      <c r="M126" s="171"/>
      <c r="N126" s="172"/>
    </row>
    <row r="127" spans="1:14" ht="25.5">
      <c r="A127" s="255" t="s">
        <v>796</v>
      </c>
      <c r="B127" s="159" t="s">
        <v>539</v>
      </c>
      <c r="C127" s="159" t="s">
        <v>390</v>
      </c>
      <c r="D127" s="159" t="s">
        <v>383</v>
      </c>
      <c r="E127" s="159" t="s">
        <v>797</v>
      </c>
      <c r="F127" s="159"/>
      <c r="G127" s="177"/>
      <c r="H127" s="169"/>
      <c r="I127" s="177"/>
      <c r="J127" s="170">
        <f t="shared" si="20"/>
        <v>0</v>
      </c>
      <c r="K127" s="170">
        <f t="shared" si="20"/>
        <v>1200</v>
      </c>
      <c r="L127" s="170">
        <f t="shared" si="20"/>
        <v>1200</v>
      </c>
      <c r="M127" s="171"/>
      <c r="N127" s="172"/>
    </row>
    <row r="128" spans="1:14" ht="25.5">
      <c r="A128" s="457" t="s">
        <v>598</v>
      </c>
      <c r="B128" s="159" t="s">
        <v>539</v>
      </c>
      <c r="C128" s="159" t="s">
        <v>390</v>
      </c>
      <c r="D128" s="159" t="s">
        <v>383</v>
      </c>
      <c r="E128" s="159" t="s">
        <v>797</v>
      </c>
      <c r="F128" s="159" t="s">
        <v>563</v>
      </c>
      <c r="G128" s="177"/>
      <c r="H128" s="169"/>
      <c r="I128" s="177"/>
      <c r="J128" s="170"/>
      <c r="K128" s="170">
        <v>1200</v>
      </c>
      <c r="L128" s="170">
        <f>J128+K128</f>
        <v>1200</v>
      </c>
      <c r="M128" s="171"/>
      <c r="N128" s="172"/>
    </row>
    <row r="129" spans="1:14" ht="26.25">
      <c r="A129" s="167" t="s">
        <v>572</v>
      </c>
      <c r="B129" s="168" t="s">
        <v>539</v>
      </c>
      <c r="C129" s="168" t="s">
        <v>390</v>
      </c>
      <c r="D129" s="168" t="s">
        <v>387</v>
      </c>
      <c r="E129" s="168"/>
      <c r="F129" s="168"/>
      <c r="G129" s="155" t="e">
        <f>G130+#REF!</f>
        <v>#REF!</v>
      </c>
      <c r="H129" s="155" t="e">
        <f>H130+#REF!</f>
        <v>#REF!</v>
      </c>
      <c r="I129" s="155" t="e">
        <f>I130+#REF!</f>
        <v>#REF!</v>
      </c>
      <c r="J129" s="161">
        <f aca="true" t="shared" si="21" ref="J129:L130">J130</f>
        <v>473.31</v>
      </c>
      <c r="K129" s="161">
        <f t="shared" si="21"/>
        <v>-273.31</v>
      </c>
      <c r="L129" s="161">
        <f t="shared" si="21"/>
        <v>200</v>
      </c>
      <c r="M129" s="188" t="e">
        <f>M130+#REF!</f>
        <v>#REF!</v>
      </c>
      <c r="N129" s="209" t="e">
        <f>N130+#REF!</f>
        <v>#REF!</v>
      </c>
    </row>
    <row r="130" spans="1:14" ht="26.25">
      <c r="A130" s="173" t="s">
        <v>480</v>
      </c>
      <c r="B130" s="159" t="s">
        <v>539</v>
      </c>
      <c r="C130" s="159" t="s">
        <v>390</v>
      </c>
      <c r="D130" s="159" t="s">
        <v>387</v>
      </c>
      <c r="E130" s="159" t="s">
        <v>481</v>
      </c>
      <c r="F130" s="159"/>
      <c r="G130" s="177">
        <f aca="true" t="shared" si="22" ref="G130:N131">G131</f>
        <v>-224</v>
      </c>
      <c r="H130" s="177">
        <f t="shared" si="22"/>
        <v>234.8</v>
      </c>
      <c r="I130" s="177">
        <f t="shared" si="22"/>
        <v>0</v>
      </c>
      <c r="J130" s="170">
        <f t="shared" si="21"/>
        <v>473.31</v>
      </c>
      <c r="K130" s="170">
        <f t="shared" si="21"/>
        <v>-273.31</v>
      </c>
      <c r="L130" s="170">
        <f t="shared" si="21"/>
        <v>200</v>
      </c>
      <c r="M130" s="171">
        <f t="shared" si="22"/>
        <v>0</v>
      </c>
      <c r="N130" s="172">
        <f t="shared" si="22"/>
        <v>0</v>
      </c>
    </row>
    <row r="131" spans="1:14" ht="26.25">
      <c r="A131" s="173" t="s">
        <v>482</v>
      </c>
      <c r="B131" s="159" t="s">
        <v>539</v>
      </c>
      <c r="C131" s="159" t="s">
        <v>390</v>
      </c>
      <c r="D131" s="159" t="s">
        <v>387</v>
      </c>
      <c r="E131" s="159" t="s">
        <v>483</v>
      </c>
      <c r="F131" s="159"/>
      <c r="G131" s="177">
        <f t="shared" si="22"/>
        <v>-224</v>
      </c>
      <c r="H131" s="177">
        <f t="shared" si="22"/>
        <v>234.8</v>
      </c>
      <c r="I131" s="177">
        <f t="shared" si="22"/>
        <v>0</v>
      </c>
      <c r="J131" s="170">
        <f>J132+J133</f>
        <v>473.31</v>
      </c>
      <c r="K131" s="170">
        <f>K132+K133</f>
        <v>-273.31</v>
      </c>
      <c r="L131" s="170">
        <f>L132+L133</f>
        <v>200</v>
      </c>
      <c r="M131" s="171">
        <f t="shared" si="22"/>
        <v>0</v>
      </c>
      <c r="N131" s="172">
        <f t="shared" si="22"/>
        <v>0</v>
      </c>
    </row>
    <row r="132" spans="1:14" ht="31.5" customHeight="1">
      <c r="A132" s="173" t="s">
        <v>504</v>
      </c>
      <c r="B132" s="159" t="s">
        <v>539</v>
      </c>
      <c r="C132" s="159" t="s">
        <v>390</v>
      </c>
      <c r="D132" s="159" t="s">
        <v>387</v>
      </c>
      <c r="E132" s="159" t="s">
        <v>483</v>
      </c>
      <c r="F132" s="159" t="s">
        <v>485</v>
      </c>
      <c r="G132" s="177">
        <v>-224</v>
      </c>
      <c r="H132" s="169">
        <v>234.8</v>
      </c>
      <c r="I132" s="177"/>
      <c r="J132" s="170">
        <v>473.31</v>
      </c>
      <c r="K132" s="170">
        <v>-473.31</v>
      </c>
      <c r="L132" s="170">
        <f>J132+K132</f>
        <v>0</v>
      </c>
      <c r="M132" s="171"/>
      <c r="N132" s="172">
        <f>L132+M132</f>
        <v>0</v>
      </c>
    </row>
    <row r="133" spans="1:14" ht="18.75" customHeight="1">
      <c r="A133" s="213" t="s">
        <v>554</v>
      </c>
      <c r="B133" s="159" t="s">
        <v>539</v>
      </c>
      <c r="C133" s="159" t="s">
        <v>390</v>
      </c>
      <c r="D133" s="159" t="s">
        <v>387</v>
      </c>
      <c r="E133" s="159" t="s">
        <v>483</v>
      </c>
      <c r="F133" s="159" t="s">
        <v>555</v>
      </c>
      <c r="G133" s="169"/>
      <c r="H133" s="169"/>
      <c r="I133" s="169"/>
      <c r="J133" s="170"/>
      <c r="K133" s="170">
        <v>200</v>
      </c>
      <c r="L133" s="170">
        <f>SUM(J133:K133)</f>
        <v>200</v>
      </c>
      <c r="M133" s="171"/>
      <c r="N133" s="172"/>
    </row>
    <row r="134" spans="1:14" ht="26.25">
      <c r="A134" s="167" t="s">
        <v>422</v>
      </c>
      <c r="B134" s="168" t="s">
        <v>539</v>
      </c>
      <c r="C134" s="168" t="s">
        <v>390</v>
      </c>
      <c r="D134" s="168" t="s">
        <v>390</v>
      </c>
      <c r="E134" s="168"/>
      <c r="F134" s="168"/>
      <c r="G134" s="155">
        <f aca="true" t="shared" si="23" ref="G134:N134">G135</f>
        <v>321</v>
      </c>
      <c r="H134" s="155">
        <f t="shared" si="23"/>
        <v>650</v>
      </c>
      <c r="I134" s="155">
        <f t="shared" si="23"/>
        <v>0</v>
      </c>
      <c r="J134" s="161">
        <f>J135</f>
        <v>390.2</v>
      </c>
      <c r="K134" s="161">
        <f>K135</f>
        <v>-200</v>
      </c>
      <c r="L134" s="161">
        <f>L135</f>
        <v>190.2</v>
      </c>
      <c r="M134" s="188">
        <f t="shared" si="23"/>
        <v>0</v>
      </c>
      <c r="N134" s="209">
        <f t="shared" si="23"/>
        <v>0</v>
      </c>
    </row>
    <row r="135" spans="1:14" ht="39">
      <c r="A135" s="173" t="s">
        <v>573</v>
      </c>
      <c r="B135" s="159" t="s">
        <v>539</v>
      </c>
      <c r="C135" s="159" t="s">
        <v>390</v>
      </c>
      <c r="D135" s="159" t="s">
        <v>390</v>
      </c>
      <c r="E135" s="159" t="s">
        <v>574</v>
      </c>
      <c r="F135" s="159"/>
      <c r="G135" s="177">
        <f>G136</f>
        <v>321</v>
      </c>
      <c r="H135" s="177">
        <f>H136</f>
        <v>650</v>
      </c>
      <c r="I135" s="177">
        <f>I136</f>
        <v>0</v>
      </c>
      <c r="J135" s="170">
        <f>J136+J138+J140+J142</f>
        <v>390.2</v>
      </c>
      <c r="K135" s="170">
        <f>K136+K138+K140+K142</f>
        <v>-200</v>
      </c>
      <c r="L135" s="170">
        <f>L136+L138+L140+L142</f>
        <v>190.2</v>
      </c>
      <c r="M135" s="171">
        <f>M136</f>
        <v>0</v>
      </c>
      <c r="N135" s="172">
        <f>N136</f>
        <v>0</v>
      </c>
    </row>
    <row r="136" spans="1:14" ht="26.25">
      <c r="A136" s="173" t="s">
        <v>978</v>
      </c>
      <c r="B136" s="159" t="s">
        <v>539</v>
      </c>
      <c r="C136" s="159" t="s">
        <v>390</v>
      </c>
      <c r="D136" s="159" t="s">
        <v>390</v>
      </c>
      <c r="E136" s="159" t="s">
        <v>576</v>
      </c>
      <c r="F136" s="159"/>
      <c r="G136" s="177">
        <f>G137+G142</f>
        <v>321</v>
      </c>
      <c r="H136" s="177">
        <f>H137+H142</f>
        <v>650</v>
      </c>
      <c r="I136" s="177">
        <f>I137+I142</f>
        <v>0</v>
      </c>
      <c r="J136" s="170">
        <f>J137</f>
        <v>200</v>
      </c>
      <c r="K136" s="170">
        <f>K137</f>
        <v>-200</v>
      </c>
      <c r="L136" s="170">
        <f>L137</f>
        <v>0</v>
      </c>
      <c r="M136" s="171">
        <f>M137+M142</f>
        <v>0</v>
      </c>
      <c r="N136" s="172">
        <f>N137+N142</f>
        <v>0</v>
      </c>
    </row>
    <row r="137" spans="1:14" ht="26.25">
      <c r="A137" s="173" t="s">
        <v>504</v>
      </c>
      <c r="B137" s="159" t="s">
        <v>539</v>
      </c>
      <c r="C137" s="159" t="s">
        <v>390</v>
      </c>
      <c r="D137" s="159" t="s">
        <v>390</v>
      </c>
      <c r="E137" s="159" t="s">
        <v>576</v>
      </c>
      <c r="F137" s="159" t="s">
        <v>494</v>
      </c>
      <c r="G137" s="177">
        <v>321</v>
      </c>
      <c r="H137" s="169">
        <v>650</v>
      </c>
      <c r="I137" s="177"/>
      <c r="J137" s="170">
        <v>200</v>
      </c>
      <c r="K137" s="170">
        <v>-200</v>
      </c>
      <c r="L137" s="170">
        <f>J137+K137</f>
        <v>0</v>
      </c>
      <c r="M137" s="171"/>
      <c r="N137" s="172">
        <f>L137+M137</f>
        <v>0</v>
      </c>
    </row>
    <row r="138" spans="1:14" ht="26.25">
      <c r="A138" s="173" t="s">
        <v>976</v>
      </c>
      <c r="B138" s="159" t="s">
        <v>539</v>
      </c>
      <c r="C138" s="159" t="s">
        <v>390</v>
      </c>
      <c r="D138" s="159" t="s">
        <v>390</v>
      </c>
      <c r="E138" s="159" t="s">
        <v>581</v>
      </c>
      <c r="F138" s="159"/>
      <c r="G138" s="177"/>
      <c r="H138" s="169"/>
      <c r="I138" s="177"/>
      <c r="J138" s="170">
        <f>J139</f>
        <v>190.2</v>
      </c>
      <c r="K138" s="170">
        <f>K139</f>
        <v>-190.2</v>
      </c>
      <c r="L138" s="170">
        <f>L139</f>
        <v>0</v>
      </c>
      <c r="M138" s="171"/>
      <c r="N138" s="172"/>
    </row>
    <row r="139" spans="1:14" ht="26.25">
      <c r="A139" s="173" t="s">
        <v>504</v>
      </c>
      <c r="B139" s="159" t="s">
        <v>539</v>
      </c>
      <c r="C139" s="159" t="s">
        <v>390</v>
      </c>
      <c r="D139" s="159" t="s">
        <v>390</v>
      </c>
      <c r="E139" s="159" t="s">
        <v>581</v>
      </c>
      <c r="F139" s="159" t="s">
        <v>494</v>
      </c>
      <c r="G139" s="177">
        <v>500</v>
      </c>
      <c r="H139" s="169"/>
      <c r="I139" s="177"/>
      <c r="J139" s="170">
        <v>190.2</v>
      </c>
      <c r="K139" s="170">
        <v>-190.2</v>
      </c>
      <c r="L139" s="170">
        <f>J139+K139</f>
        <v>0</v>
      </c>
      <c r="M139" s="171">
        <v>670</v>
      </c>
      <c r="N139" s="172">
        <f>L139+M139</f>
        <v>670</v>
      </c>
    </row>
    <row r="140" spans="1:14" ht="26.25">
      <c r="A140" s="173" t="s">
        <v>977</v>
      </c>
      <c r="B140" s="159" t="s">
        <v>539</v>
      </c>
      <c r="C140" s="159" t="s">
        <v>390</v>
      </c>
      <c r="D140" s="159" t="s">
        <v>390</v>
      </c>
      <c r="E140" s="159" t="s">
        <v>578</v>
      </c>
      <c r="F140" s="159"/>
      <c r="G140" s="177"/>
      <c r="H140" s="169"/>
      <c r="I140" s="177"/>
      <c r="J140" s="170">
        <f>J141</f>
        <v>0</v>
      </c>
      <c r="K140" s="170">
        <f>K141</f>
        <v>0</v>
      </c>
      <c r="L140" s="170">
        <f>L141</f>
        <v>0</v>
      </c>
      <c r="M140" s="171"/>
      <c r="N140" s="172"/>
    </row>
    <row r="141" spans="1:14" ht="38.25" hidden="1">
      <c r="A141" s="213" t="s">
        <v>577</v>
      </c>
      <c r="B141" s="159" t="s">
        <v>539</v>
      </c>
      <c r="C141" s="159" t="s">
        <v>390</v>
      </c>
      <c r="D141" s="159" t="s">
        <v>390</v>
      </c>
      <c r="E141" s="159" t="s">
        <v>578</v>
      </c>
      <c r="F141" s="159" t="s">
        <v>579</v>
      </c>
      <c r="G141" s="177"/>
      <c r="H141" s="169"/>
      <c r="I141" s="177"/>
      <c r="J141" s="170"/>
      <c r="K141" s="170"/>
      <c r="L141" s="170">
        <f>SUM(J141:K141)</f>
        <v>0</v>
      </c>
      <c r="M141" s="171"/>
      <c r="N141" s="172"/>
    </row>
    <row r="142" spans="1:14" ht="51.75">
      <c r="A142" s="173" t="s">
        <v>580</v>
      </c>
      <c r="B142" s="159" t="s">
        <v>539</v>
      </c>
      <c r="C142" s="159" t="s">
        <v>390</v>
      </c>
      <c r="D142" s="159" t="s">
        <v>390</v>
      </c>
      <c r="E142" s="159" t="s">
        <v>582</v>
      </c>
      <c r="F142" s="159"/>
      <c r="G142" s="177"/>
      <c r="H142" s="169"/>
      <c r="I142" s="177"/>
      <c r="J142" s="170">
        <f>J143</f>
        <v>0</v>
      </c>
      <c r="K142" s="170">
        <f>K143</f>
        <v>190.2</v>
      </c>
      <c r="L142" s="170">
        <f>L143</f>
        <v>190.2</v>
      </c>
      <c r="M142" s="425">
        <f>M143</f>
        <v>0</v>
      </c>
      <c r="N142" s="425">
        <f>N143</f>
        <v>0</v>
      </c>
    </row>
    <row r="143" spans="1:14" ht="31.5" customHeight="1">
      <c r="A143" s="213" t="s">
        <v>554</v>
      </c>
      <c r="B143" s="159" t="s">
        <v>539</v>
      </c>
      <c r="C143" s="159" t="s">
        <v>390</v>
      </c>
      <c r="D143" s="159" t="s">
        <v>390</v>
      </c>
      <c r="E143" s="159" t="s">
        <v>582</v>
      </c>
      <c r="F143" s="159" t="s">
        <v>555</v>
      </c>
      <c r="G143" s="177"/>
      <c r="H143" s="169"/>
      <c r="I143" s="177"/>
      <c r="J143" s="170"/>
      <c r="K143" s="170">
        <v>190.2</v>
      </c>
      <c r="L143" s="170">
        <f>SUM(J143:K143)</f>
        <v>190.2</v>
      </c>
      <c r="M143" s="178"/>
      <c r="N143" s="178"/>
    </row>
    <row r="144" spans="1:14" ht="22.5" customHeight="1">
      <c r="A144" s="167" t="s">
        <v>423</v>
      </c>
      <c r="B144" s="168" t="s">
        <v>539</v>
      </c>
      <c r="C144" s="168" t="s">
        <v>390</v>
      </c>
      <c r="D144" s="168" t="s">
        <v>404</v>
      </c>
      <c r="E144" s="168"/>
      <c r="F144" s="168"/>
      <c r="G144" s="161" t="e">
        <f>G145+G154+#REF!+#REF!+G149+G163</f>
        <v>#REF!</v>
      </c>
      <c r="H144" s="161" t="e">
        <f>H145+H154+#REF!+#REF!+H149+H163</f>
        <v>#REF!</v>
      </c>
      <c r="I144" s="161" t="e">
        <f>I145+I154+#REF!+#REF!+I149+I163</f>
        <v>#REF!</v>
      </c>
      <c r="J144" s="161">
        <f>J145+J149+J154+J163</f>
        <v>6723.61</v>
      </c>
      <c r="K144" s="161">
        <f>K145+K149+K154+K163</f>
        <v>515.3720000000001</v>
      </c>
      <c r="L144" s="161">
        <f>L145+L149+L154+L163</f>
        <v>7238.982</v>
      </c>
      <c r="M144" s="188" t="e">
        <f>M145+M154+#REF!+#REF!+M149+M163</f>
        <v>#REF!</v>
      </c>
      <c r="N144" s="218" t="e">
        <f>N145+N154+#REF!+#REF!+N149+N163</f>
        <v>#REF!</v>
      </c>
    </row>
    <row r="145" spans="1:14" ht="51.75">
      <c r="A145" s="173" t="s">
        <v>542</v>
      </c>
      <c r="B145" s="159" t="s">
        <v>539</v>
      </c>
      <c r="C145" s="159" t="s">
        <v>390</v>
      </c>
      <c r="D145" s="159" t="s">
        <v>404</v>
      </c>
      <c r="E145" s="159" t="s">
        <v>543</v>
      </c>
      <c r="F145" s="159"/>
      <c r="G145" s="177" t="e">
        <f aca="true" t="shared" si="24" ref="G145:N145">G146</f>
        <v>#REF!</v>
      </c>
      <c r="H145" s="177" t="e">
        <f t="shared" si="24"/>
        <v>#REF!</v>
      </c>
      <c r="I145" s="177" t="e">
        <f t="shared" si="24"/>
        <v>#REF!</v>
      </c>
      <c r="J145" s="170">
        <v>1049.99</v>
      </c>
      <c r="K145" s="170">
        <f t="shared" si="24"/>
        <v>25.892000000000053</v>
      </c>
      <c r="L145" s="170">
        <f t="shared" si="24"/>
        <v>1075.882</v>
      </c>
      <c r="M145" s="171" t="e">
        <f t="shared" si="24"/>
        <v>#REF!</v>
      </c>
      <c r="N145" s="172" t="e">
        <f t="shared" si="24"/>
        <v>#REF!</v>
      </c>
    </row>
    <row r="146" spans="1:14" ht="15">
      <c r="A146" s="173" t="s">
        <v>544</v>
      </c>
      <c r="B146" s="159" t="s">
        <v>539</v>
      </c>
      <c r="C146" s="159" t="s">
        <v>390</v>
      </c>
      <c r="D146" s="159" t="s">
        <v>404</v>
      </c>
      <c r="E146" s="159" t="s">
        <v>545</v>
      </c>
      <c r="F146" s="159"/>
      <c r="G146" s="177" t="e">
        <f>#REF!+#REF!</f>
        <v>#REF!</v>
      </c>
      <c r="H146" s="170" t="e">
        <f>#REF!+#REF!</f>
        <v>#REF!</v>
      </c>
      <c r="I146" s="170" t="e">
        <f>#REF!+#REF!</f>
        <v>#REF!</v>
      </c>
      <c r="J146" s="170">
        <f>J147+J148</f>
        <v>1049.99</v>
      </c>
      <c r="K146" s="170">
        <f>K147+K148</f>
        <v>25.892000000000053</v>
      </c>
      <c r="L146" s="170">
        <f>L147+L148</f>
        <v>1075.882</v>
      </c>
      <c r="M146" s="171" t="e">
        <f>#REF!+#REF!</f>
        <v>#REF!</v>
      </c>
      <c r="N146" s="172" t="e">
        <f>#REF!+#REF!</f>
        <v>#REF!</v>
      </c>
    </row>
    <row r="147" spans="1:15" ht="25.5">
      <c r="A147" s="213" t="s">
        <v>584</v>
      </c>
      <c r="B147" s="159" t="s">
        <v>539</v>
      </c>
      <c r="C147" s="159" t="s">
        <v>390</v>
      </c>
      <c r="D147" s="159" t="s">
        <v>404</v>
      </c>
      <c r="E147" s="159" t="s">
        <v>545</v>
      </c>
      <c r="F147" s="159" t="s">
        <v>585</v>
      </c>
      <c r="G147" s="177"/>
      <c r="H147" s="169"/>
      <c r="I147" s="177"/>
      <c r="J147" s="170"/>
      <c r="K147" s="170">
        <f>1049.99+25.892</f>
        <v>1075.882</v>
      </c>
      <c r="L147" s="170">
        <f>SUM(J147:K147)</f>
        <v>1075.882</v>
      </c>
      <c r="M147" s="171"/>
      <c r="N147" s="172"/>
      <c r="O147" s="247"/>
    </row>
    <row r="148" spans="1:15" ht="26.25">
      <c r="A148" s="173" t="s">
        <v>487</v>
      </c>
      <c r="B148" s="159" t="s">
        <v>539</v>
      </c>
      <c r="C148" s="159" t="s">
        <v>390</v>
      </c>
      <c r="D148" s="159" t="s">
        <v>404</v>
      </c>
      <c r="E148" s="159" t="s">
        <v>545</v>
      </c>
      <c r="F148" s="159" t="s">
        <v>485</v>
      </c>
      <c r="G148" s="177">
        <f>519.1+79</f>
        <v>598.1</v>
      </c>
      <c r="H148" s="169"/>
      <c r="I148" s="177"/>
      <c r="J148" s="170">
        <v>1049.99</v>
      </c>
      <c r="K148" s="170">
        <v>-1049.99</v>
      </c>
      <c r="L148" s="170">
        <f>J148+K148</f>
        <v>0</v>
      </c>
      <c r="M148" s="171"/>
      <c r="N148" s="172">
        <f>L148+M148</f>
        <v>0</v>
      </c>
      <c r="O148" s="247" t="e">
        <f>L148-#REF!</f>
        <v>#REF!</v>
      </c>
    </row>
    <row r="149" spans="1:14" ht="89.25">
      <c r="A149" s="456" t="s">
        <v>973</v>
      </c>
      <c r="B149" s="159" t="s">
        <v>539</v>
      </c>
      <c r="C149" s="159" t="s">
        <v>390</v>
      </c>
      <c r="D149" s="159" t="s">
        <v>404</v>
      </c>
      <c r="E149" s="159" t="s">
        <v>586</v>
      </c>
      <c r="F149" s="159"/>
      <c r="G149" s="177"/>
      <c r="H149" s="169"/>
      <c r="I149" s="177"/>
      <c r="J149" s="170">
        <f>J150+J151+J152+J153</f>
        <v>685</v>
      </c>
      <c r="K149" s="170">
        <f>K150+K151+K152+K153</f>
        <v>-19.200000000000045</v>
      </c>
      <c r="L149" s="170">
        <f>L150+L151+L152+L153</f>
        <v>665.8</v>
      </c>
      <c r="M149" s="171"/>
      <c r="N149" s="172"/>
    </row>
    <row r="150" spans="1:17" ht="25.5">
      <c r="A150" s="213" t="s">
        <v>584</v>
      </c>
      <c r="B150" s="159" t="s">
        <v>539</v>
      </c>
      <c r="C150" s="159" t="s">
        <v>390</v>
      </c>
      <c r="D150" s="159" t="s">
        <v>404</v>
      </c>
      <c r="E150" s="159" t="s">
        <v>586</v>
      </c>
      <c r="F150" s="159" t="s">
        <v>585</v>
      </c>
      <c r="G150" s="177"/>
      <c r="H150" s="169"/>
      <c r="I150" s="177"/>
      <c r="J150" s="170"/>
      <c r="K150" s="170">
        <f>255+87.21+145.4</f>
        <v>487.61</v>
      </c>
      <c r="L150" s="170">
        <f>SUM(J150:K150)</f>
        <v>487.61</v>
      </c>
      <c r="M150" s="171"/>
      <c r="N150" s="172"/>
      <c r="O150" s="448"/>
      <c r="Q150" s="247"/>
    </row>
    <row r="151" spans="1:17" ht="38.25">
      <c r="A151" s="213" t="s">
        <v>587</v>
      </c>
      <c r="B151" s="159" t="s">
        <v>539</v>
      </c>
      <c r="C151" s="159" t="s">
        <v>390</v>
      </c>
      <c r="D151" s="159" t="s">
        <v>404</v>
      </c>
      <c r="E151" s="159" t="s">
        <v>586</v>
      </c>
      <c r="F151" s="159" t="s">
        <v>588</v>
      </c>
      <c r="G151" s="177"/>
      <c r="H151" s="169"/>
      <c r="I151" s="177"/>
      <c r="J151" s="170"/>
      <c r="K151" s="170">
        <v>10.2</v>
      </c>
      <c r="L151" s="170">
        <f>SUM(J151:K151)</f>
        <v>10.2</v>
      </c>
      <c r="M151" s="171"/>
      <c r="N151" s="172"/>
      <c r="O151" s="448"/>
      <c r="Q151" s="247"/>
    </row>
    <row r="152" spans="1:17" ht="38.25">
      <c r="A152" s="213" t="s">
        <v>577</v>
      </c>
      <c r="B152" s="159" t="s">
        <v>539</v>
      </c>
      <c r="C152" s="159" t="s">
        <v>390</v>
      </c>
      <c r="D152" s="159" t="s">
        <v>404</v>
      </c>
      <c r="E152" s="159" t="s">
        <v>586</v>
      </c>
      <c r="F152" s="159" t="s">
        <v>579</v>
      </c>
      <c r="G152" s="177"/>
      <c r="H152" s="169"/>
      <c r="I152" s="177"/>
      <c r="J152" s="170"/>
      <c r="K152" s="170">
        <v>167.99</v>
      </c>
      <c r="L152" s="170">
        <f>SUM(J152:K152)</f>
        <v>167.99</v>
      </c>
      <c r="M152" s="171"/>
      <c r="N152" s="172"/>
      <c r="O152" s="448"/>
      <c r="Q152" s="247"/>
    </row>
    <row r="153" spans="1:17" ht="26.25">
      <c r="A153" s="173" t="s">
        <v>487</v>
      </c>
      <c r="B153" s="159" t="s">
        <v>539</v>
      </c>
      <c r="C153" s="159" t="s">
        <v>390</v>
      </c>
      <c r="D153" s="159" t="s">
        <v>404</v>
      </c>
      <c r="E153" s="159" t="s">
        <v>586</v>
      </c>
      <c r="F153" s="159" t="s">
        <v>485</v>
      </c>
      <c r="G153" s="177"/>
      <c r="H153" s="169"/>
      <c r="I153" s="177"/>
      <c r="J153" s="170">
        <v>685</v>
      </c>
      <c r="K153" s="170">
        <v>-685</v>
      </c>
      <c r="L153" s="170">
        <f>J153+K153</f>
        <v>0</v>
      </c>
      <c r="M153" s="171"/>
      <c r="N153" s="172"/>
      <c r="O153" s="448">
        <v>515</v>
      </c>
      <c r="Q153" s="247">
        <f>L153-O153</f>
        <v>-515</v>
      </c>
    </row>
    <row r="154" spans="1:14" ht="77.25">
      <c r="A154" s="173" t="s">
        <v>589</v>
      </c>
      <c r="B154" s="159" t="s">
        <v>539</v>
      </c>
      <c r="C154" s="159" t="s">
        <v>390</v>
      </c>
      <c r="D154" s="159" t="s">
        <v>404</v>
      </c>
      <c r="E154" s="159" t="s">
        <v>527</v>
      </c>
      <c r="F154" s="159"/>
      <c r="G154" s="177">
        <f aca="true" t="shared" si="25" ref="G154:N155">G155</f>
        <v>80</v>
      </c>
      <c r="H154" s="177">
        <f t="shared" si="25"/>
        <v>5211</v>
      </c>
      <c r="I154" s="177">
        <f t="shared" si="25"/>
        <v>0</v>
      </c>
      <c r="J154" s="170">
        <f>J155</f>
        <v>4988.62</v>
      </c>
      <c r="K154" s="170">
        <f t="shared" si="25"/>
        <v>258.68000000000006</v>
      </c>
      <c r="L154" s="170">
        <f>L155</f>
        <v>5247.3</v>
      </c>
      <c r="M154" s="171">
        <f t="shared" si="25"/>
        <v>-2015.414</v>
      </c>
      <c r="N154" s="172">
        <f t="shared" si="25"/>
        <v>-2015.414</v>
      </c>
    </row>
    <row r="155" spans="1:16" ht="26.25">
      <c r="A155" s="173" t="s">
        <v>497</v>
      </c>
      <c r="B155" s="159" t="s">
        <v>539</v>
      </c>
      <c r="C155" s="159" t="s">
        <v>390</v>
      </c>
      <c r="D155" s="159" t="s">
        <v>404</v>
      </c>
      <c r="E155" s="159" t="s">
        <v>528</v>
      </c>
      <c r="F155" s="159"/>
      <c r="G155" s="177">
        <f t="shared" si="25"/>
        <v>80</v>
      </c>
      <c r="H155" s="177">
        <f t="shared" si="25"/>
        <v>5211</v>
      </c>
      <c r="I155" s="177">
        <f t="shared" si="25"/>
        <v>0</v>
      </c>
      <c r="J155" s="170">
        <f aca="true" t="shared" si="26" ref="J155:P155">J156+J157+J158+J160+J159+J161+J162</f>
        <v>4988.62</v>
      </c>
      <c r="K155" s="170">
        <f t="shared" si="26"/>
        <v>258.68000000000006</v>
      </c>
      <c r="L155" s="170">
        <f t="shared" si="26"/>
        <v>5247.3</v>
      </c>
      <c r="M155" s="171">
        <f t="shared" si="26"/>
        <v>-2015.414</v>
      </c>
      <c r="N155" s="171">
        <f t="shared" si="26"/>
        <v>-2015.414</v>
      </c>
      <c r="O155" s="171" t="e">
        <f t="shared" si="26"/>
        <v>#REF!</v>
      </c>
      <c r="P155" s="171">
        <f t="shared" si="26"/>
        <v>0</v>
      </c>
    </row>
    <row r="156" spans="1:15" ht="26.25">
      <c r="A156" s="173" t="s">
        <v>549</v>
      </c>
      <c r="B156" s="159" t="s">
        <v>539</v>
      </c>
      <c r="C156" s="159" t="s">
        <v>390</v>
      </c>
      <c r="D156" s="159" t="s">
        <v>404</v>
      </c>
      <c r="E156" s="159" t="s">
        <v>528</v>
      </c>
      <c r="F156" s="159" t="s">
        <v>494</v>
      </c>
      <c r="G156" s="177">
        <f>50+30</f>
        <v>80</v>
      </c>
      <c r="H156" s="169">
        <v>5211</v>
      </c>
      <c r="I156" s="177"/>
      <c r="J156" s="170">
        <v>4988.62</v>
      </c>
      <c r="K156" s="170">
        <v>-4988.62</v>
      </c>
      <c r="L156" s="170">
        <f>J156+K156</f>
        <v>0</v>
      </c>
      <c r="M156" s="171">
        <v>-2015.414</v>
      </c>
      <c r="N156" s="172">
        <f>L156+M156</f>
        <v>-2015.414</v>
      </c>
      <c r="O156" s="448" t="e">
        <f>L156-#REF!</f>
        <v>#REF!</v>
      </c>
    </row>
    <row r="157" spans="1:14" ht="30" customHeight="1">
      <c r="A157" s="219" t="s">
        <v>584</v>
      </c>
      <c r="B157" s="159" t="s">
        <v>539</v>
      </c>
      <c r="C157" s="159" t="s">
        <v>390</v>
      </c>
      <c r="D157" s="159" t="s">
        <v>404</v>
      </c>
      <c r="E157" s="159" t="s">
        <v>528</v>
      </c>
      <c r="F157" s="159" t="s">
        <v>585</v>
      </c>
      <c r="G157" s="177"/>
      <c r="H157" s="169"/>
      <c r="I157" s="177"/>
      <c r="J157" s="170"/>
      <c r="K157" s="170">
        <f>3000+906</f>
        <v>3906</v>
      </c>
      <c r="L157" s="170">
        <f aca="true" t="shared" si="27" ref="L157:L162">SUM(J157:K157)</f>
        <v>3906</v>
      </c>
      <c r="M157" s="171"/>
      <c r="N157" s="172"/>
    </row>
    <row r="158" spans="1:14" ht="30" customHeight="1">
      <c r="A158" s="213" t="s">
        <v>587</v>
      </c>
      <c r="B158" s="159" t="s">
        <v>539</v>
      </c>
      <c r="C158" s="159" t="s">
        <v>390</v>
      </c>
      <c r="D158" s="159" t="s">
        <v>404</v>
      </c>
      <c r="E158" s="159" t="s">
        <v>528</v>
      </c>
      <c r="F158" s="159" t="s">
        <v>588</v>
      </c>
      <c r="G158" s="177"/>
      <c r="H158" s="169"/>
      <c r="I158" s="177"/>
      <c r="J158" s="170"/>
      <c r="K158" s="170">
        <v>20</v>
      </c>
      <c r="L158" s="170">
        <f t="shared" si="27"/>
        <v>20</v>
      </c>
      <c r="M158" s="171"/>
      <c r="N158" s="172"/>
    </row>
    <row r="159" spans="1:14" ht="30" customHeight="1">
      <c r="A159" s="213" t="s">
        <v>591</v>
      </c>
      <c r="B159" s="159" t="s">
        <v>539</v>
      </c>
      <c r="C159" s="159" t="s">
        <v>390</v>
      </c>
      <c r="D159" s="159" t="s">
        <v>404</v>
      </c>
      <c r="E159" s="159" t="s">
        <v>528</v>
      </c>
      <c r="F159" s="159" t="s">
        <v>592</v>
      </c>
      <c r="G159" s="177"/>
      <c r="H159" s="169"/>
      <c r="I159" s="177"/>
      <c r="J159" s="170"/>
      <c r="K159" s="170">
        <v>240</v>
      </c>
      <c r="L159" s="170">
        <f t="shared" si="27"/>
        <v>240</v>
      </c>
      <c r="M159" s="171"/>
      <c r="N159" s="172"/>
    </row>
    <row r="160" spans="1:14" ht="30" customHeight="1">
      <c r="A160" s="213" t="s">
        <v>577</v>
      </c>
      <c r="B160" s="159" t="s">
        <v>539</v>
      </c>
      <c r="C160" s="159" t="s">
        <v>390</v>
      </c>
      <c r="D160" s="159" t="s">
        <v>404</v>
      </c>
      <c r="E160" s="159" t="s">
        <v>528</v>
      </c>
      <c r="F160" s="159" t="s">
        <v>579</v>
      </c>
      <c r="G160" s="177"/>
      <c r="H160" s="169"/>
      <c r="I160" s="177"/>
      <c r="J160" s="170"/>
      <c r="K160" s="170">
        <f>1133.3-52</f>
        <v>1081.3</v>
      </c>
      <c r="L160" s="170">
        <f t="shared" si="27"/>
        <v>1081.3</v>
      </c>
      <c r="M160" s="171"/>
      <c r="N160" s="172"/>
    </row>
    <row r="161" spans="1:14" ht="30" customHeight="1" hidden="1">
      <c r="A161" s="213" t="s">
        <v>593</v>
      </c>
      <c r="B161" s="159" t="s">
        <v>539</v>
      </c>
      <c r="C161" s="159" t="s">
        <v>390</v>
      </c>
      <c r="D161" s="159" t="s">
        <v>404</v>
      </c>
      <c r="E161" s="159" t="s">
        <v>528</v>
      </c>
      <c r="F161" s="159" t="s">
        <v>594</v>
      </c>
      <c r="G161" s="177"/>
      <c r="H161" s="169"/>
      <c r="I161" s="177"/>
      <c r="J161" s="170"/>
      <c r="K161" s="170"/>
      <c r="L161" s="170">
        <f t="shared" si="27"/>
        <v>0</v>
      </c>
      <c r="M161" s="171"/>
      <c r="N161" s="172"/>
    </row>
    <row r="162" spans="1:14" ht="30" customHeight="1" hidden="1">
      <c r="A162" s="213" t="s">
        <v>595</v>
      </c>
      <c r="B162" s="159" t="s">
        <v>539</v>
      </c>
      <c r="C162" s="159" t="s">
        <v>390</v>
      </c>
      <c r="D162" s="159" t="s">
        <v>404</v>
      </c>
      <c r="E162" s="159" t="s">
        <v>528</v>
      </c>
      <c r="F162" s="159" t="s">
        <v>596</v>
      </c>
      <c r="G162" s="177"/>
      <c r="H162" s="169"/>
      <c r="I162" s="177"/>
      <c r="J162" s="170"/>
      <c r="K162" s="170"/>
      <c r="L162" s="170">
        <f t="shared" si="27"/>
        <v>0</v>
      </c>
      <c r="M162" s="171"/>
      <c r="N162" s="172"/>
    </row>
    <row r="163" spans="1:14" ht="40.5" customHeight="1">
      <c r="A163" s="213" t="s">
        <v>590</v>
      </c>
      <c r="B163" s="159" t="s">
        <v>539</v>
      </c>
      <c r="C163" s="159" t="s">
        <v>390</v>
      </c>
      <c r="D163" s="159" t="s">
        <v>404</v>
      </c>
      <c r="E163" s="159" t="s">
        <v>597</v>
      </c>
      <c r="F163" s="159"/>
      <c r="G163" s="177"/>
      <c r="H163" s="169"/>
      <c r="I163" s="177"/>
      <c r="J163" s="170">
        <f>J164</f>
        <v>0</v>
      </c>
      <c r="K163" s="170">
        <f>K164</f>
        <v>250</v>
      </c>
      <c r="L163" s="170">
        <f>L164</f>
        <v>250</v>
      </c>
      <c r="M163" s="178">
        <f>M164</f>
        <v>0</v>
      </c>
      <c r="N163" s="220">
        <f>N164</f>
        <v>0</v>
      </c>
    </row>
    <row r="164" spans="1:14" ht="30" customHeight="1">
      <c r="A164" s="213" t="s">
        <v>598</v>
      </c>
      <c r="B164" s="159" t="s">
        <v>539</v>
      </c>
      <c r="C164" s="159" t="s">
        <v>390</v>
      </c>
      <c r="D164" s="159" t="s">
        <v>404</v>
      </c>
      <c r="E164" s="159" t="s">
        <v>597</v>
      </c>
      <c r="F164" s="159" t="s">
        <v>563</v>
      </c>
      <c r="G164" s="177"/>
      <c r="H164" s="169"/>
      <c r="I164" s="177"/>
      <c r="J164" s="170"/>
      <c r="K164" s="170">
        <v>250</v>
      </c>
      <c r="L164" s="170">
        <f>J164+K164</f>
        <v>250</v>
      </c>
      <c r="M164" s="171"/>
      <c r="N164" s="172"/>
    </row>
    <row r="165" spans="1:14" ht="15">
      <c r="A165" s="167" t="s">
        <v>438</v>
      </c>
      <c r="B165" s="168" t="s">
        <v>539</v>
      </c>
      <c r="C165" s="168" t="s">
        <v>437</v>
      </c>
      <c r="D165" s="168"/>
      <c r="E165" s="168"/>
      <c r="F165" s="168"/>
      <c r="G165" s="155" t="e">
        <f aca="true" t="shared" si="28" ref="G165:N165">G166+G169</f>
        <v>#REF!</v>
      </c>
      <c r="H165" s="155" t="e">
        <f t="shared" si="28"/>
        <v>#REF!</v>
      </c>
      <c r="I165" s="155" t="e">
        <f t="shared" si="28"/>
        <v>#REF!</v>
      </c>
      <c r="J165" s="161">
        <f t="shared" si="28"/>
        <v>16357.1</v>
      </c>
      <c r="K165" s="161">
        <f t="shared" si="28"/>
        <v>1473.6000000000004</v>
      </c>
      <c r="L165" s="161">
        <f t="shared" si="28"/>
        <v>17830.7</v>
      </c>
      <c r="M165" s="174" t="e">
        <f t="shared" si="28"/>
        <v>#REF!</v>
      </c>
      <c r="N165" s="175" t="e">
        <f t="shared" si="28"/>
        <v>#REF!</v>
      </c>
    </row>
    <row r="166" spans="1:14" ht="15">
      <c r="A166" s="167" t="s">
        <v>599</v>
      </c>
      <c r="B166" s="168" t="s">
        <v>539</v>
      </c>
      <c r="C166" s="168" t="s">
        <v>437</v>
      </c>
      <c r="D166" s="168" t="s">
        <v>384</v>
      </c>
      <c r="E166" s="168"/>
      <c r="F166" s="168"/>
      <c r="G166" s="155" t="e">
        <f aca="true" t="shared" si="29" ref="G166:N167">G167</f>
        <v>#REF!</v>
      </c>
      <c r="H166" s="155" t="e">
        <f t="shared" si="29"/>
        <v>#REF!</v>
      </c>
      <c r="I166" s="155" t="e">
        <f t="shared" si="29"/>
        <v>#REF!</v>
      </c>
      <c r="J166" s="161">
        <v>4624</v>
      </c>
      <c r="K166" s="161">
        <f t="shared" si="29"/>
        <v>-4624</v>
      </c>
      <c r="L166" s="161">
        <f t="shared" si="29"/>
        <v>0</v>
      </c>
      <c r="M166" s="188" t="e">
        <f t="shared" si="29"/>
        <v>#REF!</v>
      </c>
      <c r="N166" s="209" t="e">
        <f t="shared" si="29"/>
        <v>#REF!</v>
      </c>
    </row>
    <row r="167" spans="1:14" ht="77.25">
      <c r="A167" s="173" t="s">
        <v>600</v>
      </c>
      <c r="B167" s="159" t="s">
        <v>539</v>
      </c>
      <c r="C167" s="159" t="s">
        <v>437</v>
      </c>
      <c r="D167" s="159" t="s">
        <v>384</v>
      </c>
      <c r="E167" s="159" t="s">
        <v>601</v>
      </c>
      <c r="F167" s="159"/>
      <c r="G167" s="177" t="e">
        <f>#REF!+G168</f>
        <v>#REF!</v>
      </c>
      <c r="H167" s="177" t="e">
        <f>#REF!+H168</f>
        <v>#REF!</v>
      </c>
      <c r="I167" s="177" t="e">
        <f>#REF!+I168</f>
        <v>#REF!</v>
      </c>
      <c r="J167" s="170">
        <f>J168</f>
        <v>4624</v>
      </c>
      <c r="K167" s="170">
        <f t="shared" si="29"/>
        <v>-4624</v>
      </c>
      <c r="L167" s="170">
        <f t="shared" si="29"/>
        <v>0</v>
      </c>
      <c r="M167" s="171" t="e">
        <f>#REF!+M168</f>
        <v>#REF!</v>
      </c>
      <c r="N167" s="172" t="e">
        <f>#REF!+N168</f>
        <v>#REF!</v>
      </c>
    </row>
    <row r="168" spans="1:17" ht="15">
      <c r="A168" s="173" t="s">
        <v>602</v>
      </c>
      <c r="B168" s="159" t="s">
        <v>539</v>
      </c>
      <c r="C168" s="159" t="s">
        <v>437</v>
      </c>
      <c r="D168" s="159" t="s">
        <v>384</v>
      </c>
      <c r="E168" s="159" t="s">
        <v>604</v>
      </c>
      <c r="F168" s="159" t="s">
        <v>603</v>
      </c>
      <c r="G168" s="177">
        <v>2819.6</v>
      </c>
      <c r="H168" s="169"/>
      <c r="I168" s="177"/>
      <c r="J168" s="170">
        <v>4624</v>
      </c>
      <c r="K168" s="170">
        <v>-4624</v>
      </c>
      <c r="L168" s="170">
        <f>J168+K168</f>
        <v>0</v>
      </c>
      <c r="M168" s="171"/>
      <c r="N168" s="172">
        <f>L168+M168</f>
        <v>0</v>
      </c>
      <c r="O168" s="448">
        <v>925</v>
      </c>
      <c r="Q168" s="247">
        <f>L168-O168</f>
        <v>-925</v>
      </c>
    </row>
    <row r="169" spans="1:14" ht="15">
      <c r="A169" s="167" t="s">
        <v>605</v>
      </c>
      <c r="B169" s="168" t="s">
        <v>539</v>
      </c>
      <c r="C169" s="168" t="s">
        <v>437</v>
      </c>
      <c r="D169" s="168" t="s">
        <v>385</v>
      </c>
      <c r="E169" s="168"/>
      <c r="F169" s="168"/>
      <c r="G169" s="161" t="e">
        <f>#REF!+G175+#REF!+#REF!</f>
        <v>#REF!</v>
      </c>
      <c r="H169" s="161" t="e">
        <f>#REF!+H175+#REF!+#REF!</f>
        <v>#REF!</v>
      </c>
      <c r="I169" s="161" t="e">
        <f>#REF!+I175+#REF!+#REF!</f>
        <v>#REF!</v>
      </c>
      <c r="J169" s="161">
        <f>J170+J175</f>
        <v>11733.1</v>
      </c>
      <c r="K169" s="161">
        <f>K170+K175</f>
        <v>6097.6</v>
      </c>
      <c r="L169" s="161">
        <f>L170+L175</f>
        <v>17830.7</v>
      </c>
      <c r="M169" s="188" t="e">
        <f>#REF!+M175+#REF!+#REF!+M171</f>
        <v>#REF!</v>
      </c>
      <c r="N169" s="218" t="e">
        <f>#REF!+N175+#REF!+#REF!+N171</f>
        <v>#REF!</v>
      </c>
    </row>
    <row r="170" spans="1:14" ht="15">
      <c r="A170" s="458" t="s">
        <v>714</v>
      </c>
      <c r="B170" s="159" t="s">
        <v>539</v>
      </c>
      <c r="C170" s="159" t="s">
        <v>437</v>
      </c>
      <c r="D170" s="159" t="s">
        <v>385</v>
      </c>
      <c r="E170" s="159" t="s">
        <v>715</v>
      </c>
      <c r="F170" s="159"/>
      <c r="G170" s="170"/>
      <c r="H170" s="170"/>
      <c r="I170" s="170"/>
      <c r="J170" s="170">
        <f>J171+J173</f>
        <v>0</v>
      </c>
      <c r="K170" s="170">
        <f>K171+K173</f>
        <v>3664.6</v>
      </c>
      <c r="L170" s="170">
        <f>L171+L173</f>
        <v>3664.6</v>
      </c>
      <c r="M170" s="188"/>
      <c r="N170" s="218"/>
    </row>
    <row r="171" spans="1:14" ht="71.25" customHeight="1">
      <c r="A171" s="173" t="s">
        <v>600</v>
      </c>
      <c r="B171" s="159" t="s">
        <v>539</v>
      </c>
      <c r="C171" s="159" t="s">
        <v>437</v>
      </c>
      <c r="D171" s="159" t="s">
        <v>385</v>
      </c>
      <c r="E171" s="159" t="s">
        <v>606</v>
      </c>
      <c r="F171" s="159"/>
      <c r="G171" s="177"/>
      <c r="H171" s="169"/>
      <c r="I171" s="177"/>
      <c r="J171" s="170">
        <f>J172</f>
        <v>0</v>
      </c>
      <c r="K171" s="170">
        <f>K172</f>
        <v>3432</v>
      </c>
      <c r="L171" s="170">
        <f>L172</f>
        <v>3432</v>
      </c>
      <c r="M171" s="171">
        <f>M172</f>
        <v>0</v>
      </c>
      <c r="N171" s="211">
        <f>N172</f>
        <v>0</v>
      </c>
    </row>
    <row r="172" spans="1:14" ht="43.5" customHeight="1">
      <c r="A172" s="173" t="s">
        <v>607</v>
      </c>
      <c r="B172" s="159" t="s">
        <v>539</v>
      </c>
      <c r="C172" s="159" t="s">
        <v>437</v>
      </c>
      <c r="D172" s="159" t="s">
        <v>385</v>
      </c>
      <c r="E172" s="159" t="s">
        <v>606</v>
      </c>
      <c r="F172" s="159" t="s">
        <v>608</v>
      </c>
      <c r="G172" s="177"/>
      <c r="H172" s="169"/>
      <c r="I172" s="177"/>
      <c r="J172" s="170"/>
      <c r="K172" s="170">
        <v>3432</v>
      </c>
      <c r="L172" s="170">
        <f>SUM(J172:K172)</f>
        <v>3432</v>
      </c>
      <c r="M172" s="171"/>
      <c r="N172" s="172"/>
    </row>
    <row r="173" spans="1:14" ht="43.5" customHeight="1">
      <c r="A173" s="213" t="s">
        <v>609</v>
      </c>
      <c r="B173" s="221" t="s">
        <v>539</v>
      </c>
      <c r="C173" s="221" t="s">
        <v>437</v>
      </c>
      <c r="D173" s="221" t="s">
        <v>385</v>
      </c>
      <c r="E173" s="221" t="s">
        <v>610</v>
      </c>
      <c r="F173" s="159"/>
      <c r="G173" s="177"/>
      <c r="H173" s="169"/>
      <c r="I173" s="177"/>
      <c r="J173" s="170">
        <f>J174</f>
        <v>0</v>
      </c>
      <c r="K173" s="170">
        <f>K174</f>
        <v>232.6</v>
      </c>
      <c r="L173" s="170">
        <f>L174</f>
        <v>232.6</v>
      </c>
      <c r="M173" s="178">
        <f>M174</f>
        <v>0</v>
      </c>
      <c r="N173" s="220">
        <f>N174</f>
        <v>0</v>
      </c>
    </row>
    <row r="174" spans="1:14" ht="43.5" customHeight="1">
      <c r="A174" s="173" t="s">
        <v>607</v>
      </c>
      <c r="B174" s="221" t="s">
        <v>539</v>
      </c>
      <c r="C174" s="221" t="s">
        <v>437</v>
      </c>
      <c r="D174" s="221" t="s">
        <v>385</v>
      </c>
      <c r="E174" s="221" t="s">
        <v>610</v>
      </c>
      <c r="F174" s="159" t="s">
        <v>608</v>
      </c>
      <c r="G174" s="177"/>
      <c r="H174" s="169"/>
      <c r="I174" s="177"/>
      <c r="J174" s="170"/>
      <c r="K174" s="170">
        <v>232.6</v>
      </c>
      <c r="L174" s="170">
        <f>J174+K174</f>
        <v>232.6</v>
      </c>
      <c r="M174" s="171"/>
      <c r="N174" s="172"/>
    </row>
    <row r="175" spans="1:14" ht="26.25">
      <c r="A175" s="173" t="s">
        <v>522</v>
      </c>
      <c r="B175" s="159" t="s">
        <v>539</v>
      </c>
      <c r="C175" s="159" t="s">
        <v>437</v>
      </c>
      <c r="D175" s="159" t="s">
        <v>385</v>
      </c>
      <c r="E175" s="159" t="s">
        <v>523</v>
      </c>
      <c r="F175" s="159"/>
      <c r="G175" s="170" t="e">
        <f aca="true" t="shared" si="30" ref="G175:M175">G179+G176</f>
        <v>#REF!</v>
      </c>
      <c r="H175" s="170" t="e">
        <f t="shared" si="30"/>
        <v>#REF!</v>
      </c>
      <c r="I175" s="170" t="e">
        <f t="shared" si="30"/>
        <v>#REF!</v>
      </c>
      <c r="J175" s="170">
        <f>J176+J179</f>
        <v>11733.1</v>
      </c>
      <c r="K175" s="170">
        <f>K176+K179</f>
        <v>2433</v>
      </c>
      <c r="L175" s="170">
        <f>L176+L179</f>
        <v>14166.1</v>
      </c>
      <c r="M175" s="171" t="e">
        <f t="shared" si="30"/>
        <v>#REF!</v>
      </c>
      <c r="N175" s="172" t="e">
        <f>N179+N176</f>
        <v>#REF!</v>
      </c>
    </row>
    <row r="176" spans="1:14" ht="90" customHeight="1">
      <c r="A176" s="173" t="s">
        <v>611</v>
      </c>
      <c r="B176" s="159" t="s">
        <v>539</v>
      </c>
      <c r="C176" s="159" t="s">
        <v>437</v>
      </c>
      <c r="D176" s="159" t="s">
        <v>385</v>
      </c>
      <c r="E176" s="159" t="s">
        <v>612</v>
      </c>
      <c r="F176" s="159"/>
      <c r="G176" s="177">
        <f aca="true" t="shared" si="31" ref="G176:N176">G177</f>
        <v>1011.2162</v>
      </c>
      <c r="H176" s="170">
        <f t="shared" si="31"/>
        <v>0</v>
      </c>
      <c r="I176" s="177">
        <f t="shared" si="31"/>
        <v>0</v>
      </c>
      <c r="J176" s="170">
        <f>J177+J178</f>
        <v>1955.1</v>
      </c>
      <c r="K176" s="170">
        <f>K177+K178</f>
        <v>-582.5</v>
      </c>
      <c r="L176" s="170">
        <f>L177+L178</f>
        <v>1372.6</v>
      </c>
      <c r="M176" s="171">
        <f t="shared" si="31"/>
        <v>0</v>
      </c>
      <c r="N176" s="172">
        <f t="shared" si="31"/>
        <v>0</v>
      </c>
    </row>
    <row r="177" spans="1:17" ht="15" customHeight="1">
      <c r="A177" s="173" t="s">
        <v>602</v>
      </c>
      <c r="B177" s="159" t="s">
        <v>539</v>
      </c>
      <c r="C177" s="159" t="s">
        <v>437</v>
      </c>
      <c r="D177" s="159" t="s">
        <v>385</v>
      </c>
      <c r="E177" s="159" t="s">
        <v>612</v>
      </c>
      <c r="F177" s="159" t="s">
        <v>603</v>
      </c>
      <c r="G177" s="177">
        <f>11.2162+1000</f>
        <v>1011.2162</v>
      </c>
      <c r="H177" s="169"/>
      <c r="I177" s="177"/>
      <c r="J177" s="170">
        <v>1955.1</v>
      </c>
      <c r="K177" s="170">
        <v>-1955.1</v>
      </c>
      <c r="L177" s="170">
        <f>J177+K177</f>
        <v>0</v>
      </c>
      <c r="M177" s="171"/>
      <c r="N177" s="172">
        <f>L177+M177</f>
        <v>0</v>
      </c>
      <c r="O177" s="448">
        <v>1955.1</v>
      </c>
      <c r="Q177" s="247">
        <f>L177-O177</f>
        <v>-1955.1</v>
      </c>
    </row>
    <row r="178" spans="1:17" ht="15" customHeight="1">
      <c r="A178" s="213" t="s">
        <v>613</v>
      </c>
      <c r="B178" s="159" t="s">
        <v>539</v>
      </c>
      <c r="C178" s="159" t="s">
        <v>437</v>
      </c>
      <c r="D178" s="159" t="s">
        <v>385</v>
      </c>
      <c r="E178" s="159" t="s">
        <v>612</v>
      </c>
      <c r="F178" s="159" t="s">
        <v>614</v>
      </c>
      <c r="G178" s="177"/>
      <c r="H178" s="169"/>
      <c r="I178" s="177"/>
      <c r="J178" s="170"/>
      <c r="K178" s="170">
        <v>1372.6</v>
      </c>
      <c r="L178" s="170">
        <f>SUM(J178:K178)</f>
        <v>1372.6</v>
      </c>
      <c r="M178" s="171"/>
      <c r="N178" s="172"/>
      <c r="O178" s="448"/>
      <c r="Q178" s="247"/>
    </row>
    <row r="179" spans="1:14" ht="39">
      <c r="A179" s="173" t="s">
        <v>615</v>
      </c>
      <c r="B179" s="159" t="s">
        <v>539</v>
      </c>
      <c r="C179" s="159" t="s">
        <v>437</v>
      </c>
      <c r="D179" s="159" t="s">
        <v>385</v>
      </c>
      <c r="E179" s="159" t="s">
        <v>616</v>
      </c>
      <c r="F179" s="159"/>
      <c r="G179" s="170" t="e">
        <f>#REF!+G180+G181</f>
        <v>#REF!</v>
      </c>
      <c r="H179" s="170" t="e">
        <f>#REF!+H180+H181</f>
        <v>#REF!</v>
      </c>
      <c r="I179" s="170" t="e">
        <f>#REF!+I180+I181</f>
        <v>#REF!</v>
      </c>
      <c r="J179" s="170">
        <f>J180+J181+J182+J183</f>
        <v>9778</v>
      </c>
      <c r="K179" s="170">
        <f>K180+K181+K182+K183</f>
        <v>3015.5</v>
      </c>
      <c r="L179" s="170">
        <f>L180+L181+L182+L183</f>
        <v>12793.5</v>
      </c>
      <c r="M179" s="171" t="e">
        <f>#REF!+M180+M181</f>
        <v>#REF!</v>
      </c>
      <c r="N179" s="172" t="e">
        <f>#REF!+N180+N181</f>
        <v>#REF!</v>
      </c>
    </row>
    <row r="180" spans="1:14" ht="45" customHeight="1" hidden="1">
      <c r="A180" s="173" t="s">
        <v>617</v>
      </c>
      <c r="B180" s="159" t="s">
        <v>539</v>
      </c>
      <c r="C180" s="159" t="s">
        <v>437</v>
      </c>
      <c r="D180" s="159" t="s">
        <v>385</v>
      </c>
      <c r="E180" s="159" t="s">
        <v>618</v>
      </c>
      <c r="F180" s="159" t="s">
        <v>494</v>
      </c>
      <c r="G180" s="177">
        <v>-94.76</v>
      </c>
      <c r="H180" s="169"/>
      <c r="I180" s="177"/>
      <c r="J180" s="170">
        <v>0</v>
      </c>
      <c r="K180" s="170"/>
      <c r="L180" s="170">
        <f>J180+K180</f>
        <v>0</v>
      </c>
      <c r="M180" s="171"/>
      <c r="N180" s="172">
        <f>L180+M180</f>
        <v>0</v>
      </c>
    </row>
    <row r="181" spans="1:17" ht="39">
      <c r="A181" s="222" t="s">
        <v>617</v>
      </c>
      <c r="B181" s="159" t="s">
        <v>539</v>
      </c>
      <c r="C181" s="159" t="s">
        <v>437</v>
      </c>
      <c r="D181" s="159" t="s">
        <v>385</v>
      </c>
      <c r="E181" s="159" t="s">
        <v>618</v>
      </c>
      <c r="F181" s="159" t="s">
        <v>603</v>
      </c>
      <c r="G181" s="177">
        <f>94.76+6519.9</f>
        <v>6614.66</v>
      </c>
      <c r="H181" s="169"/>
      <c r="I181" s="177"/>
      <c r="J181" s="170">
        <v>9778</v>
      </c>
      <c r="K181" s="170">
        <v>-9778</v>
      </c>
      <c r="L181" s="170">
        <f>J181+K181</f>
        <v>0</v>
      </c>
      <c r="M181" s="171"/>
      <c r="N181" s="172">
        <f>L181+M181</f>
        <v>0</v>
      </c>
      <c r="O181" s="448">
        <v>9778</v>
      </c>
      <c r="Q181" s="247">
        <f>L181-O181</f>
        <v>-9778</v>
      </c>
    </row>
    <row r="182" spans="1:14" ht="32.25" customHeight="1">
      <c r="A182" s="213" t="s">
        <v>619</v>
      </c>
      <c r="B182" s="159" t="s">
        <v>539</v>
      </c>
      <c r="C182" s="159" t="s">
        <v>437</v>
      </c>
      <c r="D182" s="159" t="s">
        <v>385</v>
      </c>
      <c r="E182" s="159" t="s">
        <v>618</v>
      </c>
      <c r="F182" s="159" t="s">
        <v>620</v>
      </c>
      <c r="G182" s="177"/>
      <c r="H182" s="169"/>
      <c r="I182" s="177"/>
      <c r="J182" s="170"/>
      <c r="K182" s="170">
        <f>9778+3015.5</f>
        <v>12793.5</v>
      </c>
      <c r="L182" s="170">
        <f>SUM(J182:K182)</f>
        <v>12793.5</v>
      </c>
      <c r="M182" s="171"/>
      <c r="N182" s="211"/>
    </row>
    <row r="183" spans="1:14" ht="42.75" customHeight="1" hidden="1" thickBot="1">
      <c r="A183" s="173" t="s">
        <v>607</v>
      </c>
      <c r="B183" s="159" t="s">
        <v>539</v>
      </c>
      <c r="C183" s="159" t="s">
        <v>437</v>
      </c>
      <c r="D183" s="159" t="s">
        <v>385</v>
      </c>
      <c r="E183" s="159" t="s">
        <v>618</v>
      </c>
      <c r="F183" s="159" t="s">
        <v>608</v>
      </c>
      <c r="G183" s="177"/>
      <c r="H183" s="169"/>
      <c r="I183" s="177"/>
      <c r="J183" s="170"/>
      <c r="K183" s="170"/>
      <c r="L183" s="170">
        <f>SUM(J183:K183)</f>
        <v>0</v>
      </c>
      <c r="M183" s="198"/>
      <c r="N183" s="223"/>
    </row>
    <row r="184" spans="1:15" ht="27" thickBot="1">
      <c r="A184" s="204" t="s">
        <v>621</v>
      </c>
      <c r="B184" s="168" t="s">
        <v>53</v>
      </c>
      <c r="C184" s="168"/>
      <c r="D184" s="168"/>
      <c r="E184" s="168"/>
      <c r="F184" s="168"/>
      <c r="G184" s="155" t="e">
        <f>G185+G226+G242+G251</f>
        <v>#REF!</v>
      </c>
      <c r="H184" s="224" t="e">
        <f>H185+H226+H242+H251+H234</f>
        <v>#REF!</v>
      </c>
      <c r="I184" s="224" t="e">
        <f>I185+I226+I242+I251+I234</f>
        <v>#REF!</v>
      </c>
      <c r="J184" s="161">
        <f>J185+J226+J242+J251+J234+J217+J268+J274+J212+J249</f>
        <v>61488.479999999996</v>
      </c>
      <c r="K184" s="161">
        <f>K185+K226+K242+K251+K234+K217+K268+K274+K212+K249</f>
        <v>-24886.124</v>
      </c>
      <c r="L184" s="161">
        <f>L185+L226+L242+L251+L234+L217+L268+L274+L212+L249</f>
        <v>36602.356</v>
      </c>
      <c r="M184" s="225" t="e">
        <f>M185+M226+M242+M251+M234+M217</f>
        <v>#REF!</v>
      </c>
      <c r="N184" s="226" t="e">
        <f>N185+N226+N242+N251+N234+N217</f>
        <v>#REF!</v>
      </c>
      <c r="O184" s="424">
        <f>L190+L194+L195+L196+L197+L199+L200+L205+L209+L211+L216+L222+L225+L240+L241+L246+L247+L273+L279+L282</f>
        <v>36602.356</v>
      </c>
    </row>
    <row r="185" spans="1:14" ht="15">
      <c r="A185" s="167" t="s">
        <v>622</v>
      </c>
      <c r="B185" s="168" t="s">
        <v>53</v>
      </c>
      <c r="C185" s="168" t="s">
        <v>382</v>
      </c>
      <c r="D185" s="159"/>
      <c r="E185" s="159"/>
      <c r="F185" s="159"/>
      <c r="G185" s="155" t="e">
        <f>G192+#REF!+#REF!+G212+G186</f>
        <v>#REF!</v>
      </c>
      <c r="H185" s="155" t="e">
        <f>H192+#REF!+#REF!+H212+H186</f>
        <v>#REF!</v>
      </c>
      <c r="I185" s="155" t="e">
        <f>I192+#REF!+#REF!+I212+I186</f>
        <v>#REF!</v>
      </c>
      <c r="J185" s="161">
        <f>J186+J192+J201+J206</f>
        <v>4152.0599999999995</v>
      </c>
      <c r="K185" s="161">
        <f>K186+K192+K201+K206</f>
        <v>287.89599999999984</v>
      </c>
      <c r="L185" s="161">
        <f>L186+L192+L201+L206</f>
        <v>4439.956</v>
      </c>
      <c r="M185" s="227" t="e">
        <f>M192+#REF!+#REF!+M186+M201+M206</f>
        <v>#REF!</v>
      </c>
      <c r="N185" s="228" t="e">
        <f>N192+#REF!+#REF!+N186+N201+N206</f>
        <v>#REF!</v>
      </c>
    </row>
    <row r="186" spans="1:14" ht="64.5">
      <c r="A186" s="229" t="s">
        <v>623</v>
      </c>
      <c r="B186" s="168" t="s">
        <v>53</v>
      </c>
      <c r="C186" s="168" t="s">
        <v>382</v>
      </c>
      <c r="D186" s="168" t="s">
        <v>385</v>
      </c>
      <c r="E186" s="159"/>
      <c r="F186" s="159"/>
      <c r="G186" s="155">
        <f>G187</f>
        <v>0.4</v>
      </c>
      <c r="H186" s="164" t="e">
        <f>H187+#REF!</f>
        <v>#REF!</v>
      </c>
      <c r="I186" s="164" t="e">
        <f>I187+#REF!</f>
        <v>#REF!</v>
      </c>
      <c r="J186" s="161">
        <f>J187+J189</f>
        <v>726.84</v>
      </c>
      <c r="K186" s="161">
        <f>K187+K189</f>
        <v>2.9220000000000255</v>
      </c>
      <c r="L186" s="161">
        <f>L187+L189</f>
        <v>729.7620000000001</v>
      </c>
      <c r="M186" s="174" t="e">
        <f>M187+#REF!+M189+#REF!</f>
        <v>#REF!</v>
      </c>
      <c r="N186" s="175" t="e">
        <f>N187+#REF!+N189+#REF!</f>
        <v>#REF!</v>
      </c>
    </row>
    <row r="187" spans="1:14" ht="51.75">
      <c r="A187" s="173" t="s">
        <v>624</v>
      </c>
      <c r="B187" s="159" t="s">
        <v>53</v>
      </c>
      <c r="C187" s="159" t="s">
        <v>382</v>
      </c>
      <c r="D187" s="159" t="s">
        <v>385</v>
      </c>
      <c r="E187" s="159" t="s">
        <v>625</v>
      </c>
      <c r="F187" s="159"/>
      <c r="G187" s="155">
        <f>G188</f>
        <v>0.4</v>
      </c>
      <c r="H187" s="155">
        <f aca="true" t="shared" si="32" ref="H187:N187">H188</f>
        <v>0</v>
      </c>
      <c r="I187" s="155">
        <f t="shared" si="32"/>
        <v>0</v>
      </c>
      <c r="J187" s="170">
        <f t="shared" si="32"/>
        <v>0.5</v>
      </c>
      <c r="K187" s="170">
        <f t="shared" si="32"/>
        <v>-0.5</v>
      </c>
      <c r="L187" s="170">
        <f t="shared" si="32"/>
        <v>0</v>
      </c>
      <c r="M187" s="174">
        <f t="shared" si="32"/>
        <v>0</v>
      </c>
      <c r="N187" s="175">
        <f t="shared" si="32"/>
        <v>0</v>
      </c>
    </row>
    <row r="188" spans="1:15" ht="26.25">
      <c r="A188" s="230" t="s">
        <v>493</v>
      </c>
      <c r="B188" s="159" t="s">
        <v>53</v>
      </c>
      <c r="C188" s="159" t="s">
        <v>382</v>
      </c>
      <c r="D188" s="159" t="s">
        <v>385</v>
      </c>
      <c r="E188" s="159" t="s">
        <v>625</v>
      </c>
      <c r="F188" s="159" t="s">
        <v>494</v>
      </c>
      <c r="G188" s="155">
        <v>0.4</v>
      </c>
      <c r="H188" s="169"/>
      <c r="I188" s="155"/>
      <c r="J188" s="170">
        <v>0.5</v>
      </c>
      <c r="K188" s="161">
        <v>-0.5</v>
      </c>
      <c r="L188" s="170">
        <f>J188+K188</f>
        <v>0</v>
      </c>
      <c r="M188" s="174"/>
      <c r="N188" s="172">
        <f>L188+M188</f>
        <v>0</v>
      </c>
      <c r="O188" s="152">
        <v>0.5</v>
      </c>
    </row>
    <row r="189" spans="1:14" ht="51.75">
      <c r="A189" s="179" t="s">
        <v>627</v>
      </c>
      <c r="B189" s="159" t="s">
        <v>53</v>
      </c>
      <c r="C189" s="159" t="s">
        <v>382</v>
      </c>
      <c r="D189" s="159" t="s">
        <v>385</v>
      </c>
      <c r="E189" s="159" t="s">
        <v>543</v>
      </c>
      <c r="F189" s="159"/>
      <c r="G189" s="155"/>
      <c r="H189" s="169"/>
      <c r="I189" s="155"/>
      <c r="J189" s="170">
        <f>J190+J191</f>
        <v>726.34</v>
      </c>
      <c r="K189" s="170">
        <f>K190+K191</f>
        <v>3.4220000000000255</v>
      </c>
      <c r="L189" s="170">
        <f>L190+L191</f>
        <v>729.7620000000001</v>
      </c>
      <c r="M189" s="171" t="e">
        <f>#REF!</f>
        <v>#REF!</v>
      </c>
      <c r="N189" s="172" t="e">
        <f>#REF!</f>
        <v>#REF!</v>
      </c>
    </row>
    <row r="190" spans="1:14" ht="25.5">
      <c r="A190" s="213" t="s">
        <v>584</v>
      </c>
      <c r="B190" s="159" t="s">
        <v>53</v>
      </c>
      <c r="C190" s="159" t="s">
        <v>382</v>
      </c>
      <c r="D190" s="159" t="s">
        <v>385</v>
      </c>
      <c r="E190" s="159" t="s">
        <v>545</v>
      </c>
      <c r="F190" s="159" t="s">
        <v>585</v>
      </c>
      <c r="G190" s="155"/>
      <c r="H190" s="169"/>
      <c r="I190" s="155"/>
      <c r="J190" s="170"/>
      <c r="K190" s="161">
        <f>560.493+169.269</f>
        <v>729.7620000000001</v>
      </c>
      <c r="L190" s="170">
        <f>SUM(J190:K190)</f>
        <v>729.7620000000001</v>
      </c>
      <c r="M190" s="174"/>
      <c r="N190" s="172"/>
    </row>
    <row r="191" spans="1:15" ht="26.25">
      <c r="A191" s="230" t="s">
        <v>487</v>
      </c>
      <c r="B191" s="159" t="s">
        <v>53</v>
      </c>
      <c r="C191" s="159" t="s">
        <v>382</v>
      </c>
      <c r="D191" s="159" t="s">
        <v>385</v>
      </c>
      <c r="E191" s="159" t="s">
        <v>545</v>
      </c>
      <c r="F191" s="159" t="s">
        <v>485</v>
      </c>
      <c r="G191" s="155"/>
      <c r="H191" s="169"/>
      <c r="I191" s="155"/>
      <c r="J191" s="170">
        <v>726.34</v>
      </c>
      <c r="K191" s="161">
        <v>-726.34</v>
      </c>
      <c r="L191" s="170">
        <f>J191+K191</f>
        <v>0</v>
      </c>
      <c r="M191" s="174">
        <f>-50</f>
        <v>-50</v>
      </c>
      <c r="N191" s="172">
        <f>L191+M191</f>
        <v>-50</v>
      </c>
      <c r="O191" s="247" t="e">
        <f>L191-#REF!</f>
        <v>#REF!</v>
      </c>
    </row>
    <row r="192" spans="1:14" s="340" customFormat="1" ht="38.25">
      <c r="A192" s="231" t="s">
        <v>626</v>
      </c>
      <c r="B192" s="168" t="s">
        <v>53</v>
      </c>
      <c r="C192" s="168" t="s">
        <v>382</v>
      </c>
      <c r="D192" s="168" t="s">
        <v>388</v>
      </c>
      <c r="E192" s="168"/>
      <c r="F192" s="168"/>
      <c r="G192" s="155" t="e">
        <f aca="true" t="shared" si="33" ref="G192:N192">G193</f>
        <v>#REF!</v>
      </c>
      <c r="H192" s="155" t="e">
        <f t="shared" si="33"/>
        <v>#REF!</v>
      </c>
      <c r="I192" s="155" t="e">
        <f t="shared" si="33"/>
        <v>#REF!</v>
      </c>
      <c r="J192" s="161">
        <f t="shared" si="33"/>
        <v>3092.22</v>
      </c>
      <c r="K192" s="161">
        <f t="shared" si="33"/>
        <v>97.3739999999998</v>
      </c>
      <c r="L192" s="161">
        <f t="shared" si="33"/>
        <v>3189.5939999999996</v>
      </c>
      <c r="M192" s="188" t="e">
        <f t="shared" si="33"/>
        <v>#REF!</v>
      </c>
      <c r="N192" s="209" t="e">
        <f t="shared" si="33"/>
        <v>#REF!</v>
      </c>
    </row>
    <row r="193" spans="1:14" ht="51.75">
      <c r="A193" s="179" t="s">
        <v>627</v>
      </c>
      <c r="B193" s="159" t="s">
        <v>53</v>
      </c>
      <c r="C193" s="159" t="s">
        <v>382</v>
      </c>
      <c r="D193" s="159" t="s">
        <v>388</v>
      </c>
      <c r="E193" s="159" t="s">
        <v>543</v>
      </c>
      <c r="F193" s="159"/>
      <c r="G193" s="177" t="e">
        <f>#REF!+#REF!</f>
        <v>#REF!</v>
      </c>
      <c r="H193" s="177" t="e">
        <f>#REF!+#REF!</f>
        <v>#REF!</v>
      </c>
      <c r="I193" s="177" t="e">
        <f>#REF!+#REF!</f>
        <v>#REF!</v>
      </c>
      <c r="J193" s="170">
        <f>J194+J195+J196+J197+J198+J199+J200</f>
        <v>3092.22</v>
      </c>
      <c r="K193" s="170">
        <f>K194+K195+K196+K197+K198+K199+K200</f>
        <v>97.3739999999998</v>
      </c>
      <c r="L193" s="170">
        <f>L194+L195+L196+L197+L198+L199+L200</f>
        <v>3189.5939999999996</v>
      </c>
      <c r="M193" s="171" t="e">
        <f>#REF!+#REF!+M194+M195+M197+M199+M196+M200</f>
        <v>#REF!</v>
      </c>
      <c r="N193" s="171" t="e">
        <f>#REF!+#REF!+N194+N195+N197+N199+N196+N200</f>
        <v>#REF!</v>
      </c>
    </row>
    <row r="194" spans="1:15" ht="25.5">
      <c r="A194" s="213" t="s">
        <v>584</v>
      </c>
      <c r="B194" s="159" t="s">
        <v>53</v>
      </c>
      <c r="C194" s="159" t="s">
        <v>382</v>
      </c>
      <c r="D194" s="159" t="s">
        <v>388</v>
      </c>
      <c r="E194" s="159" t="s">
        <v>545</v>
      </c>
      <c r="F194" s="159" t="s">
        <v>585</v>
      </c>
      <c r="G194" s="177"/>
      <c r="H194" s="169"/>
      <c r="I194" s="177"/>
      <c r="J194" s="170"/>
      <c r="K194" s="170">
        <f>1888.736+570.398</f>
        <v>2459.134</v>
      </c>
      <c r="L194" s="170">
        <f>SUM(J194:K194)</f>
        <v>2459.134</v>
      </c>
      <c r="M194" s="171"/>
      <c r="N194" s="172"/>
      <c r="O194" s="247"/>
    </row>
    <row r="195" spans="1:15" ht="38.25">
      <c r="A195" s="213" t="s">
        <v>587</v>
      </c>
      <c r="B195" s="159" t="s">
        <v>53</v>
      </c>
      <c r="C195" s="159" t="s">
        <v>382</v>
      </c>
      <c r="D195" s="159" t="s">
        <v>388</v>
      </c>
      <c r="E195" s="159" t="s">
        <v>545</v>
      </c>
      <c r="F195" s="159" t="s">
        <v>588</v>
      </c>
      <c r="G195" s="177"/>
      <c r="H195" s="169"/>
      <c r="I195" s="177"/>
      <c r="J195" s="170"/>
      <c r="K195" s="170">
        <v>20.2</v>
      </c>
      <c r="L195" s="170">
        <f>SUM(J195:K195)</f>
        <v>20.2</v>
      </c>
      <c r="M195" s="171"/>
      <c r="N195" s="172"/>
      <c r="O195" s="247"/>
    </row>
    <row r="196" spans="1:15" ht="51">
      <c r="A196" s="213" t="s">
        <v>591</v>
      </c>
      <c r="B196" s="159" t="s">
        <v>53</v>
      </c>
      <c r="C196" s="159" t="s">
        <v>382</v>
      </c>
      <c r="D196" s="159" t="s">
        <v>388</v>
      </c>
      <c r="E196" s="159" t="s">
        <v>545</v>
      </c>
      <c r="F196" s="159" t="s">
        <v>592</v>
      </c>
      <c r="G196" s="177"/>
      <c r="H196" s="169"/>
      <c r="I196" s="177"/>
      <c r="J196" s="170"/>
      <c r="K196" s="170">
        <f>166.6</f>
        <v>166.6</v>
      </c>
      <c r="L196" s="170">
        <f>SUM(J196:K196)</f>
        <v>166.6</v>
      </c>
      <c r="M196" s="171"/>
      <c r="N196" s="172"/>
      <c r="O196" s="247"/>
    </row>
    <row r="197" spans="1:15" ht="38.25">
      <c r="A197" s="213" t="s">
        <v>577</v>
      </c>
      <c r="B197" s="159" t="s">
        <v>53</v>
      </c>
      <c r="C197" s="159" t="s">
        <v>382</v>
      </c>
      <c r="D197" s="159" t="s">
        <v>388</v>
      </c>
      <c r="E197" s="159" t="s">
        <v>545</v>
      </c>
      <c r="F197" s="159" t="s">
        <v>579</v>
      </c>
      <c r="G197" s="177"/>
      <c r="H197" s="169"/>
      <c r="I197" s="177"/>
      <c r="J197" s="170"/>
      <c r="K197" s="170">
        <v>528.16</v>
      </c>
      <c r="L197" s="170">
        <f>SUM(J197:K197)</f>
        <v>528.16</v>
      </c>
      <c r="M197" s="171"/>
      <c r="N197" s="172"/>
      <c r="O197" s="247"/>
    </row>
    <row r="198" spans="1:15" ht="26.25">
      <c r="A198" s="230" t="s">
        <v>487</v>
      </c>
      <c r="B198" s="159" t="s">
        <v>53</v>
      </c>
      <c r="C198" s="159" t="s">
        <v>382</v>
      </c>
      <c r="D198" s="159" t="s">
        <v>388</v>
      </c>
      <c r="E198" s="159" t="s">
        <v>545</v>
      </c>
      <c r="F198" s="159" t="s">
        <v>485</v>
      </c>
      <c r="G198" s="177">
        <f>50+360+80+3.47-0.01-80-3.47+2.72</f>
        <v>412.71000000000004</v>
      </c>
      <c r="H198" s="169"/>
      <c r="I198" s="177"/>
      <c r="J198" s="170">
        <v>3092.22</v>
      </c>
      <c r="K198" s="170">
        <v>-3092.22</v>
      </c>
      <c r="L198" s="170">
        <f>J198+K198</f>
        <v>0</v>
      </c>
      <c r="M198" s="171">
        <f>-205.496</f>
        <v>-205.496</v>
      </c>
      <c r="N198" s="172">
        <f>L198+M198</f>
        <v>-205.496</v>
      </c>
      <c r="O198" s="247" t="e">
        <f>L198-#REF!</f>
        <v>#REF!</v>
      </c>
    </row>
    <row r="199" spans="1:14" ht="38.25">
      <c r="A199" s="213" t="s">
        <v>593</v>
      </c>
      <c r="B199" s="159" t="s">
        <v>53</v>
      </c>
      <c r="C199" s="159" t="s">
        <v>382</v>
      </c>
      <c r="D199" s="159" t="s">
        <v>388</v>
      </c>
      <c r="E199" s="159" t="s">
        <v>545</v>
      </c>
      <c r="F199" s="159" t="s">
        <v>594</v>
      </c>
      <c r="G199" s="177"/>
      <c r="H199" s="169"/>
      <c r="I199" s="177"/>
      <c r="J199" s="170"/>
      <c r="K199" s="170">
        <f>17-5-7</f>
        <v>5</v>
      </c>
      <c r="L199" s="170">
        <f>K199+J199</f>
        <v>5</v>
      </c>
      <c r="M199" s="171"/>
      <c r="N199" s="172"/>
    </row>
    <row r="200" spans="1:14" ht="25.5">
      <c r="A200" s="213" t="s">
        <v>595</v>
      </c>
      <c r="B200" s="159" t="s">
        <v>53</v>
      </c>
      <c r="C200" s="159" t="s">
        <v>382</v>
      </c>
      <c r="D200" s="159" t="s">
        <v>388</v>
      </c>
      <c r="E200" s="159" t="s">
        <v>545</v>
      </c>
      <c r="F200" s="159" t="s">
        <v>596</v>
      </c>
      <c r="G200" s="177"/>
      <c r="H200" s="169"/>
      <c r="I200" s="177"/>
      <c r="J200" s="170"/>
      <c r="K200" s="170">
        <v>10.5</v>
      </c>
      <c r="L200" s="170">
        <f>K200+J200</f>
        <v>10.5</v>
      </c>
      <c r="M200" s="171"/>
      <c r="N200" s="172"/>
    </row>
    <row r="201" spans="1:14" ht="15">
      <c r="A201" s="179" t="s">
        <v>391</v>
      </c>
      <c r="B201" s="168" t="s">
        <v>53</v>
      </c>
      <c r="C201" s="168" t="s">
        <v>382</v>
      </c>
      <c r="D201" s="168" t="s">
        <v>392</v>
      </c>
      <c r="E201" s="168"/>
      <c r="F201" s="168"/>
      <c r="G201" s="177"/>
      <c r="H201" s="169"/>
      <c r="I201" s="177"/>
      <c r="J201" s="161">
        <f aca="true" t="shared" si="34" ref="J201:L202">J202</f>
        <v>333</v>
      </c>
      <c r="K201" s="161">
        <f t="shared" si="34"/>
        <v>0</v>
      </c>
      <c r="L201" s="161">
        <f t="shared" si="34"/>
        <v>333</v>
      </c>
      <c r="M201" s="171"/>
      <c r="N201" s="172"/>
    </row>
    <row r="202" spans="1:14" ht="15">
      <c r="A202" s="179" t="s">
        <v>391</v>
      </c>
      <c r="B202" s="159" t="s">
        <v>53</v>
      </c>
      <c r="C202" s="159" t="s">
        <v>382</v>
      </c>
      <c r="D202" s="159" t="s">
        <v>392</v>
      </c>
      <c r="E202" s="159" t="s">
        <v>633</v>
      </c>
      <c r="F202" s="159"/>
      <c r="G202" s="177"/>
      <c r="H202" s="169"/>
      <c r="I202" s="177"/>
      <c r="J202" s="170">
        <f t="shared" si="34"/>
        <v>333</v>
      </c>
      <c r="K202" s="170">
        <f t="shared" si="34"/>
        <v>0</v>
      </c>
      <c r="L202" s="170">
        <f t="shared" si="34"/>
        <v>333</v>
      </c>
      <c r="M202" s="171"/>
      <c r="N202" s="172"/>
    </row>
    <row r="203" spans="1:14" ht="26.25">
      <c r="A203" s="179" t="s">
        <v>634</v>
      </c>
      <c r="B203" s="159" t="s">
        <v>53</v>
      </c>
      <c r="C203" s="159" t="s">
        <v>382</v>
      </c>
      <c r="D203" s="159" t="s">
        <v>392</v>
      </c>
      <c r="E203" s="159" t="s">
        <v>635</v>
      </c>
      <c r="F203" s="159"/>
      <c r="G203" s="177"/>
      <c r="H203" s="169"/>
      <c r="I203" s="177"/>
      <c r="J203" s="170">
        <f>J204+J205</f>
        <v>333</v>
      </c>
      <c r="K203" s="170">
        <f>K204+K205</f>
        <v>0</v>
      </c>
      <c r="L203" s="170">
        <f>L204+L205</f>
        <v>333</v>
      </c>
      <c r="M203" s="171"/>
      <c r="N203" s="172"/>
    </row>
    <row r="204" spans="1:14" ht="15">
      <c r="A204" s="179" t="s">
        <v>631</v>
      </c>
      <c r="B204" s="159" t="s">
        <v>53</v>
      </c>
      <c r="C204" s="159" t="s">
        <v>382</v>
      </c>
      <c r="D204" s="159" t="s">
        <v>392</v>
      </c>
      <c r="E204" s="159" t="s">
        <v>635</v>
      </c>
      <c r="F204" s="159" t="s">
        <v>632</v>
      </c>
      <c r="G204" s="177"/>
      <c r="H204" s="169"/>
      <c r="I204" s="177"/>
      <c r="J204" s="170">
        <v>333</v>
      </c>
      <c r="K204" s="170">
        <v>-333</v>
      </c>
      <c r="L204" s="170">
        <f>J204+K204</f>
        <v>0</v>
      </c>
      <c r="M204" s="171"/>
      <c r="N204" s="172"/>
    </row>
    <row r="205" spans="1:14" ht="15">
      <c r="A205" s="179" t="s">
        <v>636</v>
      </c>
      <c r="B205" s="159" t="s">
        <v>53</v>
      </c>
      <c r="C205" s="159" t="s">
        <v>382</v>
      </c>
      <c r="D205" s="159" t="s">
        <v>392</v>
      </c>
      <c r="E205" s="159" t="s">
        <v>635</v>
      </c>
      <c r="F205" s="159" t="s">
        <v>637</v>
      </c>
      <c r="G205" s="177"/>
      <c r="H205" s="169"/>
      <c r="I205" s="177"/>
      <c r="J205" s="170"/>
      <c r="K205" s="170">
        <v>333</v>
      </c>
      <c r="L205" s="170">
        <f>J205+K205</f>
        <v>333</v>
      </c>
      <c r="M205" s="171"/>
      <c r="N205" s="172"/>
    </row>
    <row r="206" spans="1:14" ht="15">
      <c r="A206" s="233" t="s">
        <v>395</v>
      </c>
      <c r="B206" s="234" t="s">
        <v>53</v>
      </c>
      <c r="C206" s="234" t="s">
        <v>382</v>
      </c>
      <c r="D206" s="234" t="s">
        <v>394</v>
      </c>
      <c r="E206" s="159"/>
      <c r="F206" s="159"/>
      <c r="G206" s="177"/>
      <c r="H206" s="169"/>
      <c r="I206" s="177"/>
      <c r="J206" s="170">
        <f>J207</f>
        <v>0</v>
      </c>
      <c r="K206" s="170">
        <f>K207</f>
        <v>187.6</v>
      </c>
      <c r="L206" s="170">
        <f>L207</f>
        <v>187.6</v>
      </c>
      <c r="M206" s="178">
        <f>M210</f>
        <v>0</v>
      </c>
      <c r="N206" s="220">
        <f>N210</f>
        <v>0</v>
      </c>
    </row>
    <row r="207" spans="1:14" ht="25.5">
      <c r="A207" s="456" t="s">
        <v>759</v>
      </c>
      <c r="B207" s="234" t="s">
        <v>53</v>
      </c>
      <c r="C207" s="234" t="s">
        <v>382</v>
      </c>
      <c r="D207" s="234" t="s">
        <v>394</v>
      </c>
      <c r="E207" s="159" t="s">
        <v>979</v>
      </c>
      <c r="F207" s="159"/>
      <c r="G207" s="177"/>
      <c r="H207" s="169"/>
      <c r="I207" s="177"/>
      <c r="J207" s="170">
        <f>J208+J210</f>
        <v>0</v>
      </c>
      <c r="K207" s="170">
        <f>K208+K210</f>
        <v>187.6</v>
      </c>
      <c r="L207" s="170">
        <f>L208+L210</f>
        <v>187.6</v>
      </c>
      <c r="M207" s="178"/>
      <c r="N207" s="178"/>
    </row>
    <row r="208" spans="1:14" ht="51.75">
      <c r="A208" s="173" t="s">
        <v>624</v>
      </c>
      <c r="B208" s="159" t="s">
        <v>53</v>
      </c>
      <c r="C208" s="159" t="s">
        <v>382</v>
      </c>
      <c r="D208" s="159" t="s">
        <v>394</v>
      </c>
      <c r="E208" s="159" t="s">
        <v>625</v>
      </c>
      <c r="F208" s="159"/>
      <c r="G208" s="155">
        <f aca="true" t="shared" si="35" ref="G208:N208">G209</f>
        <v>0</v>
      </c>
      <c r="H208" s="155">
        <f t="shared" si="35"/>
        <v>0</v>
      </c>
      <c r="I208" s="155">
        <f t="shared" si="35"/>
        <v>0</v>
      </c>
      <c r="J208" s="170">
        <f t="shared" si="35"/>
        <v>0</v>
      </c>
      <c r="K208" s="170">
        <f t="shared" si="35"/>
        <v>0.5</v>
      </c>
      <c r="L208" s="170">
        <f t="shared" si="35"/>
        <v>0.5</v>
      </c>
      <c r="M208" s="174">
        <f t="shared" si="35"/>
        <v>0</v>
      </c>
      <c r="N208" s="175">
        <f t="shared" si="35"/>
        <v>0</v>
      </c>
    </row>
    <row r="209" spans="1:14" ht="38.25">
      <c r="A209" s="213" t="s">
        <v>577</v>
      </c>
      <c r="B209" s="159" t="s">
        <v>53</v>
      </c>
      <c r="C209" s="159" t="s">
        <v>382</v>
      </c>
      <c r="D209" s="159" t="s">
        <v>394</v>
      </c>
      <c r="E209" s="159" t="s">
        <v>625</v>
      </c>
      <c r="F209" s="159" t="s">
        <v>579</v>
      </c>
      <c r="G209" s="155"/>
      <c r="H209" s="169"/>
      <c r="I209" s="155"/>
      <c r="J209" s="170"/>
      <c r="K209" s="170">
        <v>0.5</v>
      </c>
      <c r="L209" s="170">
        <f>SUM(J209:K209)</f>
        <v>0.5</v>
      </c>
      <c r="M209" s="174"/>
      <c r="N209" s="172"/>
    </row>
    <row r="210" spans="1:14" ht="76.5">
      <c r="A210" s="235" t="s">
        <v>638</v>
      </c>
      <c r="B210" s="221" t="s">
        <v>53</v>
      </c>
      <c r="C210" s="221" t="s">
        <v>382</v>
      </c>
      <c r="D210" s="221" t="s">
        <v>394</v>
      </c>
      <c r="E210" s="221" t="s">
        <v>639</v>
      </c>
      <c r="F210" s="159"/>
      <c r="G210" s="177"/>
      <c r="H210" s="169"/>
      <c r="I210" s="177"/>
      <c r="J210" s="170">
        <f>J211</f>
        <v>0</v>
      </c>
      <c r="K210" s="170">
        <f>K211</f>
        <v>187.1</v>
      </c>
      <c r="L210" s="170">
        <f>L211</f>
        <v>187.1</v>
      </c>
      <c r="M210" s="171">
        <f>M211</f>
        <v>0</v>
      </c>
      <c r="N210" s="211">
        <f>N211</f>
        <v>0</v>
      </c>
    </row>
    <row r="211" spans="1:14" ht="25.5">
      <c r="A211" s="213" t="s">
        <v>584</v>
      </c>
      <c r="B211" s="221" t="s">
        <v>53</v>
      </c>
      <c r="C211" s="221" t="s">
        <v>382</v>
      </c>
      <c r="D211" s="221" t="s">
        <v>394</v>
      </c>
      <c r="E211" s="221" t="s">
        <v>639</v>
      </c>
      <c r="F211" s="159" t="s">
        <v>585</v>
      </c>
      <c r="G211" s="177"/>
      <c r="H211" s="169"/>
      <c r="I211" s="177"/>
      <c r="J211" s="170"/>
      <c r="K211" s="170">
        <v>187.1</v>
      </c>
      <c r="L211" s="170">
        <f>J211+K211</f>
        <v>187.1</v>
      </c>
      <c r="M211" s="171"/>
      <c r="N211" s="172"/>
    </row>
    <row r="212" spans="1:14" s="340" customFormat="1" ht="14.25" customHeight="1">
      <c r="A212" s="231" t="s">
        <v>397</v>
      </c>
      <c r="B212" s="168" t="s">
        <v>53</v>
      </c>
      <c r="C212" s="168" t="s">
        <v>383</v>
      </c>
      <c r="D212" s="168" t="s">
        <v>641</v>
      </c>
      <c r="E212" s="168"/>
      <c r="F212" s="168"/>
      <c r="G212" s="155">
        <f aca="true" t="shared" si="36" ref="G212:N214">G213</f>
        <v>-1000</v>
      </c>
      <c r="H212" s="155">
        <f t="shared" si="36"/>
        <v>1548</v>
      </c>
      <c r="I212" s="155">
        <f t="shared" si="36"/>
        <v>0</v>
      </c>
      <c r="J212" s="161">
        <f t="shared" si="36"/>
        <v>526.6</v>
      </c>
      <c r="K212" s="161">
        <f t="shared" si="36"/>
        <v>16.5</v>
      </c>
      <c r="L212" s="161">
        <f t="shared" si="36"/>
        <v>543.1</v>
      </c>
      <c r="M212" s="188" t="e">
        <f t="shared" si="36"/>
        <v>#REF!</v>
      </c>
      <c r="N212" s="209" t="e">
        <f t="shared" si="36"/>
        <v>#REF!</v>
      </c>
    </row>
    <row r="213" spans="1:14" ht="26.25" customHeight="1">
      <c r="A213" s="173" t="s">
        <v>642</v>
      </c>
      <c r="B213" s="159" t="s">
        <v>53</v>
      </c>
      <c r="C213" s="159" t="s">
        <v>383</v>
      </c>
      <c r="D213" s="159" t="s">
        <v>384</v>
      </c>
      <c r="E213" s="159"/>
      <c r="F213" s="159"/>
      <c r="G213" s="177">
        <f t="shared" si="36"/>
        <v>-1000</v>
      </c>
      <c r="H213" s="177">
        <f t="shared" si="36"/>
        <v>1548</v>
      </c>
      <c r="I213" s="177">
        <f t="shared" si="36"/>
        <v>0</v>
      </c>
      <c r="J213" s="170">
        <f t="shared" si="36"/>
        <v>526.6</v>
      </c>
      <c r="K213" s="170">
        <f t="shared" si="36"/>
        <v>16.5</v>
      </c>
      <c r="L213" s="170">
        <f t="shared" si="36"/>
        <v>543.1</v>
      </c>
      <c r="M213" s="171" t="e">
        <f t="shared" si="36"/>
        <v>#REF!</v>
      </c>
      <c r="N213" s="172" t="e">
        <f t="shared" si="36"/>
        <v>#REF!</v>
      </c>
    </row>
    <row r="214" spans="1:14" ht="43.5" customHeight="1">
      <c r="A214" s="173" t="s">
        <v>643</v>
      </c>
      <c r="B214" s="159" t="s">
        <v>53</v>
      </c>
      <c r="C214" s="159" t="s">
        <v>383</v>
      </c>
      <c r="D214" s="159" t="s">
        <v>384</v>
      </c>
      <c r="E214" s="159" t="s">
        <v>644</v>
      </c>
      <c r="F214" s="159"/>
      <c r="G214" s="177">
        <f t="shared" si="36"/>
        <v>-1000</v>
      </c>
      <c r="H214" s="177">
        <f t="shared" si="36"/>
        <v>1548</v>
      </c>
      <c r="I214" s="177">
        <f t="shared" si="36"/>
        <v>0</v>
      </c>
      <c r="J214" s="170">
        <f>J215+J216</f>
        <v>526.6</v>
      </c>
      <c r="K214" s="170">
        <f>K215+K216</f>
        <v>16.5</v>
      </c>
      <c r="L214" s="170">
        <f>L215+L216</f>
        <v>543.1</v>
      </c>
      <c r="M214" s="172" t="e">
        <f>M215+#REF!</f>
        <v>#REF!</v>
      </c>
      <c r="N214" s="172" t="e">
        <f>N215+#REF!</f>
        <v>#REF!</v>
      </c>
    </row>
    <row r="215" spans="1:14" ht="15" customHeight="1">
      <c r="A215" s="230" t="s">
        <v>645</v>
      </c>
      <c r="B215" s="159" t="s">
        <v>53</v>
      </c>
      <c r="C215" s="159" t="s">
        <v>383</v>
      </c>
      <c r="D215" s="159" t="s">
        <v>384</v>
      </c>
      <c r="E215" s="159" t="s">
        <v>644</v>
      </c>
      <c r="F215" s="159" t="s">
        <v>646</v>
      </c>
      <c r="G215" s="177">
        <v>-1000</v>
      </c>
      <c r="H215" s="169">
        <v>1548</v>
      </c>
      <c r="I215" s="177"/>
      <c r="J215" s="170">
        <v>526.6</v>
      </c>
      <c r="K215" s="170">
        <v>-526.6</v>
      </c>
      <c r="L215" s="170">
        <f>J215+K215</f>
        <v>0</v>
      </c>
      <c r="M215" s="171"/>
      <c r="N215" s="172">
        <f>L215+M215</f>
        <v>0</v>
      </c>
    </row>
    <row r="216" spans="1:14" ht="15">
      <c r="A216" s="236" t="s">
        <v>640</v>
      </c>
      <c r="B216" s="159" t="s">
        <v>53</v>
      </c>
      <c r="C216" s="159" t="s">
        <v>383</v>
      </c>
      <c r="D216" s="159" t="s">
        <v>384</v>
      </c>
      <c r="E216" s="159" t="s">
        <v>644</v>
      </c>
      <c r="F216" s="159" t="s">
        <v>647</v>
      </c>
      <c r="G216" s="177"/>
      <c r="H216" s="169"/>
      <c r="I216" s="177"/>
      <c r="J216" s="170"/>
      <c r="K216" s="170">
        <v>543.1</v>
      </c>
      <c r="L216" s="170">
        <f>J216+K216</f>
        <v>543.1</v>
      </c>
      <c r="M216" s="238"/>
      <c r="N216" s="237"/>
    </row>
    <row r="217" spans="1:14" ht="26.25">
      <c r="A217" s="229" t="s">
        <v>400</v>
      </c>
      <c r="B217" s="168" t="s">
        <v>53</v>
      </c>
      <c r="C217" s="168" t="s">
        <v>384</v>
      </c>
      <c r="D217" s="159"/>
      <c r="E217" s="159"/>
      <c r="F217" s="159"/>
      <c r="G217" s="155">
        <f aca="true" t="shared" si="37" ref="G217:N217">G218</f>
        <v>0</v>
      </c>
      <c r="H217" s="155">
        <f t="shared" si="37"/>
        <v>526.1</v>
      </c>
      <c r="I217" s="155">
        <f t="shared" si="37"/>
        <v>0</v>
      </c>
      <c r="J217" s="161">
        <f>J218</f>
        <v>500</v>
      </c>
      <c r="K217" s="161">
        <f t="shared" si="37"/>
        <v>-300</v>
      </c>
      <c r="L217" s="161">
        <f>L218</f>
        <v>200</v>
      </c>
      <c r="M217" s="165">
        <f t="shared" si="37"/>
        <v>0</v>
      </c>
      <c r="N217" s="166">
        <f t="shared" si="37"/>
        <v>0</v>
      </c>
    </row>
    <row r="218" spans="1:14" s="340" customFormat="1" ht="14.25">
      <c r="A218" s="229" t="s">
        <v>402</v>
      </c>
      <c r="B218" s="168" t="s">
        <v>53</v>
      </c>
      <c r="C218" s="168" t="s">
        <v>384</v>
      </c>
      <c r="D218" s="168" t="s">
        <v>383</v>
      </c>
      <c r="E218" s="168"/>
      <c r="F218" s="168"/>
      <c r="G218" s="155">
        <f aca="true" t="shared" si="38" ref="G218:M218">G220+G223</f>
        <v>0</v>
      </c>
      <c r="H218" s="155">
        <f t="shared" si="38"/>
        <v>526.1</v>
      </c>
      <c r="I218" s="155">
        <f t="shared" si="38"/>
        <v>0</v>
      </c>
      <c r="J218" s="161">
        <f>J220+J223</f>
        <v>500</v>
      </c>
      <c r="K218" s="161">
        <f t="shared" si="38"/>
        <v>-300</v>
      </c>
      <c r="L218" s="161">
        <f t="shared" si="38"/>
        <v>200</v>
      </c>
      <c r="M218" s="188">
        <f t="shared" si="38"/>
        <v>0</v>
      </c>
      <c r="N218" s="209">
        <f>N220+N223</f>
        <v>0</v>
      </c>
    </row>
    <row r="219" spans="1:14" ht="15">
      <c r="A219" s="230" t="s">
        <v>835</v>
      </c>
      <c r="B219" s="159" t="s">
        <v>53</v>
      </c>
      <c r="C219" s="159" t="s">
        <v>384</v>
      </c>
      <c r="D219" s="159" t="s">
        <v>383</v>
      </c>
      <c r="E219" s="159" t="s">
        <v>761</v>
      </c>
      <c r="F219" s="159"/>
      <c r="G219" s="177"/>
      <c r="H219" s="177"/>
      <c r="I219" s="177"/>
      <c r="J219" s="170">
        <f>J220+J223</f>
        <v>500</v>
      </c>
      <c r="K219" s="170">
        <f>K220+K223</f>
        <v>-300</v>
      </c>
      <c r="L219" s="170">
        <f>L220+L223</f>
        <v>200</v>
      </c>
      <c r="M219" s="171"/>
      <c r="N219" s="172"/>
    </row>
    <row r="220" spans="1:14" ht="38.25">
      <c r="A220" s="239" t="s">
        <v>648</v>
      </c>
      <c r="B220" s="159" t="s">
        <v>53</v>
      </c>
      <c r="C220" s="159" t="s">
        <v>384</v>
      </c>
      <c r="D220" s="159" t="s">
        <v>383</v>
      </c>
      <c r="E220" s="159" t="s">
        <v>649</v>
      </c>
      <c r="F220" s="159"/>
      <c r="G220" s="177">
        <f aca="true" t="shared" si="39" ref="G220:N220">G221</f>
        <v>0</v>
      </c>
      <c r="H220" s="177">
        <f t="shared" si="39"/>
        <v>316.5</v>
      </c>
      <c r="I220" s="177">
        <f t="shared" si="39"/>
        <v>0</v>
      </c>
      <c r="J220" s="170">
        <f>J221+J222</f>
        <v>300</v>
      </c>
      <c r="K220" s="170">
        <f>K221+K222</f>
        <v>-200</v>
      </c>
      <c r="L220" s="170">
        <f>L221+L222</f>
        <v>100</v>
      </c>
      <c r="M220" s="171">
        <f t="shared" si="39"/>
        <v>0</v>
      </c>
      <c r="N220" s="172">
        <f t="shared" si="39"/>
        <v>0</v>
      </c>
    </row>
    <row r="221" spans="1:14" ht="26.25">
      <c r="A221" s="230" t="s">
        <v>487</v>
      </c>
      <c r="B221" s="159" t="s">
        <v>53</v>
      </c>
      <c r="C221" s="159" t="s">
        <v>384</v>
      </c>
      <c r="D221" s="159" t="s">
        <v>383</v>
      </c>
      <c r="E221" s="159" t="s">
        <v>649</v>
      </c>
      <c r="F221" s="159" t="s">
        <v>485</v>
      </c>
      <c r="G221" s="177"/>
      <c r="H221" s="169">
        <v>316.5</v>
      </c>
      <c r="I221" s="177"/>
      <c r="J221" s="170">
        <v>300</v>
      </c>
      <c r="K221" s="170">
        <v>-300</v>
      </c>
      <c r="L221" s="170">
        <f>J221+K221</f>
        <v>0</v>
      </c>
      <c r="M221" s="171"/>
      <c r="N221" s="172">
        <f>L221+M221</f>
        <v>0</v>
      </c>
    </row>
    <row r="222" spans="1:14" ht="38.25">
      <c r="A222" s="213" t="s">
        <v>577</v>
      </c>
      <c r="B222" s="159" t="s">
        <v>53</v>
      </c>
      <c r="C222" s="159" t="s">
        <v>384</v>
      </c>
      <c r="D222" s="159" t="s">
        <v>383</v>
      </c>
      <c r="E222" s="159" t="s">
        <v>649</v>
      </c>
      <c r="F222" s="159" t="s">
        <v>579</v>
      </c>
      <c r="G222" s="177"/>
      <c r="H222" s="169"/>
      <c r="I222" s="177"/>
      <c r="J222" s="170"/>
      <c r="K222" s="170">
        <v>100</v>
      </c>
      <c r="L222" s="170">
        <f>J222+K222</f>
        <v>100</v>
      </c>
      <c r="M222" s="171"/>
      <c r="N222" s="172"/>
    </row>
    <row r="223" spans="1:14" ht="43.5" customHeight="1">
      <c r="A223" s="173" t="s">
        <v>650</v>
      </c>
      <c r="B223" s="159" t="s">
        <v>53</v>
      </c>
      <c r="C223" s="159" t="s">
        <v>384</v>
      </c>
      <c r="D223" s="159" t="s">
        <v>383</v>
      </c>
      <c r="E223" s="159" t="s">
        <v>651</v>
      </c>
      <c r="F223" s="159"/>
      <c r="G223" s="177">
        <f aca="true" t="shared" si="40" ref="G223:N223">G224</f>
        <v>0</v>
      </c>
      <c r="H223" s="177">
        <f t="shared" si="40"/>
        <v>209.6</v>
      </c>
      <c r="I223" s="177">
        <f t="shared" si="40"/>
        <v>0</v>
      </c>
      <c r="J223" s="170">
        <f>J224+J225</f>
        <v>200</v>
      </c>
      <c r="K223" s="170">
        <f>K224+K225</f>
        <v>-100</v>
      </c>
      <c r="L223" s="170">
        <f>L224+L225</f>
        <v>100</v>
      </c>
      <c r="M223" s="171">
        <f t="shared" si="40"/>
        <v>0</v>
      </c>
      <c r="N223" s="172">
        <f t="shared" si="40"/>
        <v>0</v>
      </c>
    </row>
    <row r="224" spans="1:14" ht="26.25">
      <c r="A224" s="230" t="s">
        <v>487</v>
      </c>
      <c r="B224" s="159" t="s">
        <v>53</v>
      </c>
      <c r="C224" s="159" t="s">
        <v>384</v>
      </c>
      <c r="D224" s="159" t="s">
        <v>383</v>
      </c>
      <c r="E224" s="159" t="s">
        <v>651</v>
      </c>
      <c r="F224" s="159" t="s">
        <v>485</v>
      </c>
      <c r="G224" s="177"/>
      <c r="H224" s="169">
        <v>209.6</v>
      </c>
      <c r="I224" s="177"/>
      <c r="J224" s="170">
        <v>200</v>
      </c>
      <c r="K224" s="170">
        <v>-200</v>
      </c>
      <c r="L224" s="170">
        <f>J224+K224</f>
        <v>0</v>
      </c>
      <c r="M224" s="180"/>
      <c r="N224" s="181">
        <f>L224+M224</f>
        <v>0</v>
      </c>
    </row>
    <row r="225" spans="1:14" ht="39" thickBot="1">
      <c r="A225" s="213" t="s">
        <v>577</v>
      </c>
      <c r="B225" s="159" t="s">
        <v>53</v>
      </c>
      <c r="C225" s="159" t="s">
        <v>384</v>
      </c>
      <c r="D225" s="159" t="s">
        <v>383</v>
      </c>
      <c r="E225" s="159" t="s">
        <v>651</v>
      </c>
      <c r="F225" s="159" t="s">
        <v>579</v>
      </c>
      <c r="G225" s="177"/>
      <c r="H225" s="169"/>
      <c r="I225" s="177"/>
      <c r="J225" s="170"/>
      <c r="K225" s="170">
        <v>100</v>
      </c>
      <c r="L225" s="170">
        <f>J225+K225</f>
        <v>100</v>
      </c>
      <c r="M225" s="198"/>
      <c r="N225" s="223"/>
    </row>
    <row r="226" spans="1:14" ht="15">
      <c r="A226" s="229" t="s">
        <v>406</v>
      </c>
      <c r="B226" s="168" t="s">
        <v>53</v>
      </c>
      <c r="C226" s="168" t="s">
        <v>385</v>
      </c>
      <c r="D226" s="168"/>
      <c r="E226" s="168"/>
      <c r="F226" s="168"/>
      <c r="G226" s="155" t="e">
        <f>#REF!+G227</f>
        <v>#REF!</v>
      </c>
      <c r="H226" s="155" t="e">
        <f>#REF!+H227</f>
        <v>#REF!</v>
      </c>
      <c r="I226" s="155" t="e">
        <f>#REF!+I227</f>
        <v>#REF!</v>
      </c>
      <c r="J226" s="161">
        <f>J227</f>
        <v>450</v>
      </c>
      <c r="K226" s="161">
        <f>K227</f>
        <v>-50</v>
      </c>
      <c r="L226" s="161">
        <f>L227</f>
        <v>400</v>
      </c>
      <c r="M226" s="165" t="e">
        <f>#REF!+M227</f>
        <v>#REF!</v>
      </c>
      <c r="N226" s="166" t="e">
        <f>#REF!+N227</f>
        <v>#REF!</v>
      </c>
    </row>
    <row r="227" spans="1:14" s="340" customFormat="1" ht="25.5">
      <c r="A227" s="231" t="s">
        <v>411</v>
      </c>
      <c r="B227" s="168" t="s">
        <v>53</v>
      </c>
      <c r="C227" s="168" t="s">
        <v>385</v>
      </c>
      <c r="D227" s="168" t="s">
        <v>393</v>
      </c>
      <c r="E227" s="168"/>
      <c r="F227" s="168"/>
      <c r="G227" s="155">
        <f>G232</f>
        <v>0</v>
      </c>
      <c r="H227" s="155">
        <f>H232</f>
        <v>235.5</v>
      </c>
      <c r="I227" s="155">
        <f>I232</f>
        <v>0</v>
      </c>
      <c r="J227" s="161">
        <f>J231+J228</f>
        <v>450</v>
      </c>
      <c r="K227" s="161">
        <f>K231+K228</f>
        <v>-50</v>
      </c>
      <c r="L227" s="161">
        <f>L231+L228</f>
        <v>400</v>
      </c>
      <c r="M227" s="188">
        <f>M232</f>
        <v>0</v>
      </c>
      <c r="N227" s="209">
        <f>N232</f>
        <v>0</v>
      </c>
    </row>
    <row r="228" spans="1:14" s="340" customFormat="1" ht="38.25">
      <c r="A228" s="173" t="s">
        <v>654</v>
      </c>
      <c r="B228" s="159" t="s">
        <v>53</v>
      </c>
      <c r="C228" s="159" t="s">
        <v>385</v>
      </c>
      <c r="D228" s="159" t="s">
        <v>393</v>
      </c>
      <c r="E228" s="159" t="s">
        <v>655</v>
      </c>
      <c r="F228" s="159"/>
      <c r="G228" s="155"/>
      <c r="H228" s="155"/>
      <c r="I228" s="155"/>
      <c r="J228" s="170">
        <f>J229+J230</f>
        <v>50</v>
      </c>
      <c r="K228" s="170">
        <f>K229+K230</f>
        <v>-50</v>
      </c>
      <c r="L228" s="170">
        <f>L229+L230</f>
        <v>0</v>
      </c>
      <c r="M228" s="188"/>
      <c r="N228" s="209"/>
    </row>
    <row r="229" spans="1:14" s="340" customFormat="1" ht="38.25">
      <c r="A229" s="173" t="s">
        <v>654</v>
      </c>
      <c r="B229" s="159" t="s">
        <v>53</v>
      </c>
      <c r="C229" s="159" t="s">
        <v>385</v>
      </c>
      <c r="D229" s="159" t="s">
        <v>393</v>
      </c>
      <c r="E229" s="159" t="s">
        <v>655</v>
      </c>
      <c r="F229" s="159" t="s">
        <v>653</v>
      </c>
      <c r="G229" s="155"/>
      <c r="H229" s="155"/>
      <c r="I229" s="155"/>
      <c r="J229" s="170">
        <v>50</v>
      </c>
      <c r="K229" s="170">
        <v>-50</v>
      </c>
      <c r="L229" s="170">
        <f>J229+K229</f>
        <v>0</v>
      </c>
      <c r="M229" s="188"/>
      <c r="N229" s="209"/>
    </row>
    <row r="230" spans="1:14" s="340" customFormat="1" ht="51" hidden="1">
      <c r="A230" s="213" t="s">
        <v>656</v>
      </c>
      <c r="B230" s="159" t="s">
        <v>53</v>
      </c>
      <c r="C230" s="159" t="s">
        <v>385</v>
      </c>
      <c r="D230" s="159" t="s">
        <v>393</v>
      </c>
      <c r="E230" s="159" t="s">
        <v>655</v>
      </c>
      <c r="F230" s="159" t="s">
        <v>657</v>
      </c>
      <c r="G230" s="155"/>
      <c r="H230" s="155"/>
      <c r="I230" s="155"/>
      <c r="J230" s="170"/>
      <c r="K230" s="170"/>
      <c r="L230" s="170">
        <f>J230+K230</f>
        <v>0</v>
      </c>
      <c r="M230" s="188"/>
      <c r="N230" s="209"/>
    </row>
    <row r="231" spans="1:14" s="340" customFormat="1" ht="14.25">
      <c r="A231" s="213" t="s">
        <v>835</v>
      </c>
      <c r="B231" s="159" t="s">
        <v>53</v>
      </c>
      <c r="C231" s="159" t="s">
        <v>385</v>
      </c>
      <c r="D231" s="159" t="s">
        <v>393</v>
      </c>
      <c r="E231" s="159" t="s">
        <v>761</v>
      </c>
      <c r="F231" s="159"/>
      <c r="G231" s="155"/>
      <c r="H231" s="155"/>
      <c r="I231" s="155"/>
      <c r="J231" s="170">
        <f>J232</f>
        <v>400</v>
      </c>
      <c r="K231" s="170">
        <f>K232</f>
        <v>0</v>
      </c>
      <c r="L231" s="170">
        <f>L232</f>
        <v>400</v>
      </c>
      <c r="M231" s="188"/>
      <c r="N231" s="209"/>
    </row>
    <row r="232" spans="1:14" ht="39">
      <c r="A232" s="240" t="s">
        <v>658</v>
      </c>
      <c r="B232" s="159" t="s">
        <v>53</v>
      </c>
      <c r="C232" s="159" t="s">
        <v>385</v>
      </c>
      <c r="D232" s="159" t="s">
        <v>393</v>
      </c>
      <c r="E232" s="159" t="s">
        <v>659</v>
      </c>
      <c r="F232" s="159"/>
      <c r="G232" s="177">
        <f aca="true" t="shared" si="41" ref="G232:N232">G233</f>
        <v>0</v>
      </c>
      <c r="H232" s="177">
        <f t="shared" si="41"/>
        <v>235.5</v>
      </c>
      <c r="I232" s="177">
        <f t="shared" si="41"/>
        <v>0</v>
      </c>
      <c r="J232" s="170">
        <f>J233+J240+J241</f>
        <v>400</v>
      </c>
      <c r="K232" s="170">
        <f>K233+K240+K241</f>
        <v>0</v>
      </c>
      <c r="L232" s="170">
        <f>L233+L240+L241</f>
        <v>400</v>
      </c>
      <c r="M232" s="171">
        <f t="shared" si="41"/>
        <v>0</v>
      </c>
      <c r="N232" s="172">
        <f t="shared" si="41"/>
        <v>0</v>
      </c>
    </row>
    <row r="233" spans="1:14" ht="26.25">
      <c r="A233" s="230" t="s">
        <v>487</v>
      </c>
      <c r="B233" s="159" t="s">
        <v>53</v>
      </c>
      <c r="C233" s="159" t="s">
        <v>385</v>
      </c>
      <c r="D233" s="159" t="s">
        <v>393</v>
      </c>
      <c r="E233" s="159" t="s">
        <v>659</v>
      </c>
      <c r="F233" s="159" t="s">
        <v>485</v>
      </c>
      <c r="G233" s="177"/>
      <c r="H233" s="169">
        <v>235.5</v>
      </c>
      <c r="I233" s="177"/>
      <c r="J233" s="170">
        <v>400</v>
      </c>
      <c r="K233" s="170">
        <v>-400</v>
      </c>
      <c r="L233" s="170">
        <f>J233+K233</f>
        <v>0</v>
      </c>
      <c r="M233" s="171"/>
      <c r="N233" s="172">
        <f>L233+M233</f>
        <v>0</v>
      </c>
    </row>
    <row r="234" spans="1:14" ht="15" customHeight="1" hidden="1">
      <c r="A234" s="173" t="s">
        <v>660</v>
      </c>
      <c r="B234" s="159" t="s">
        <v>53</v>
      </c>
      <c r="C234" s="159" t="s">
        <v>385</v>
      </c>
      <c r="D234" s="159" t="s">
        <v>393</v>
      </c>
      <c r="E234" s="159" t="s">
        <v>659</v>
      </c>
      <c r="F234" s="159"/>
      <c r="G234" s="241"/>
      <c r="H234" s="241">
        <f aca="true" t="shared" si="42" ref="H234:N234">H235</f>
        <v>0</v>
      </c>
      <c r="I234" s="241">
        <f t="shared" si="42"/>
        <v>31353.699999999997</v>
      </c>
      <c r="J234" s="170">
        <f t="shared" si="42"/>
        <v>0</v>
      </c>
      <c r="K234" s="170">
        <f t="shared" si="42"/>
        <v>0</v>
      </c>
      <c r="L234" s="170">
        <f t="shared" si="42"/>
        <v>0</v>
      </c>
      <c r="M234" s="171">
        <f t="shared" si="42"/>
        <v>0</v>
      </c>
      <c r="N234" s="172">
        <f t="shared" si="42"/>
        <v>0</v>
      </c>
    </row>
    <row r="235" spans="1:14" ht="15" customHeight="1" hidden="1">
      <c r="A235" s="173" t="s">
        <v>414</v>
      </c>
      <c r="B235" s="159" t="s">
        <v>53</v>
      </c>
      <c r="C235" s="159" t="s">
        <v>385</v>
      </c>
      <c r="D235" s="159" t="s">
        <v>393</v>
      </c>
      <c r="E235" s="159" t="s">
        <v>659</v>
      </c>
      <c r="F235" s="159"/>
      <c r="G235" s="241"/>
      <c r="H235" s="241">
        <f>H236+H238</f>
        <v>0</v>
      </c>
      <c r="I235" s="241">
        <f>I236+I238</f>
        <v>31353.699999999997</v>
      </c>
      <c r="J235" s="170">
        <f>J238+J236</f>
        <v>0</v>
      </c>
      <c r="K235" s="170">
        <f>K238+K236</f>
        <v>0</v>
      </c>
      <c r="L235" s="170">
        <f>L238+L236</f>
        <v>0</v>
      </c>
      <c r="M235" s="171">
        <f>M238+M236</f>
        <v>0</v>
      </c>
      <c r="N235" s="172">
        <f>N238+N236</f>
        <v>0</v>
      </c>
    </row>
    <row r="236" spans="1:14" ht="75" customHeight="1" hidden="1">
      <c r="A236" s="173" t="s">
        <v>661</v>
      </c>
      <c r="B236" s="159" t="s">
        <v>53</v>
      </c>
      <c r="C236" s="159" t="s">
        <v>385</v>
      </c>
      <c r="D236" s="159" t="s">
        <v>393</v>
      </c>
      <c r="E236" s="159" t="s">
        <v>659</v>
      </c>
      <c r="F236" s="159"/>
      <c r="G236" s="241"/>
      <c r="H236" s="241">
        <f aca="true" t="shared" si="43" ref="H236:N236">H237</f>
        <v>0</v>
      </c>
      <c r="I236" s="241">
        <f t="shared" si="43"/>
        <v>23145.3</v>
      </c>
      <c r="J236" s="170">
        <f t="shared" si="43"/>
        <v>0</v>
      </c>
      <c r="K236" s="170">
        <f t="shared" si="43"/>
        <v>0</v>
      </c>
      <c r="L236" s="170">
        <f t="shared" si="43"/>
        <v>0</v>
      </c>
      <c r="M236" s="171">
        <f t="shared" si="43"/>
        <v>0</v>
      </c>
      <c r="N236" s="172">
        <f t="shared" si="43"/>
        <v>0</v>
      </c>
    </row>
    <row r="237" spans="1:14" ht="75" customHeight="1" hidden="1">
      <c r="A237" s="173" t="s">
        <v>662</v>
      </c>
      <c r="B237" s="159" t="s">
        <v>53</v>
      </c>
      <c r="C237" s="159" t="s">
        <v>385</v>
      </c>
      <c r="D237" s="159" t="s">
        <v>393</v>
      </c>
      <c r="E237" s="159" t="s">
        <v>659</v>
      </c>
      <c r="F237" s="159" t="s">
        <v>653</v>
      </c>
      <c r="G237" s="241"/>
      <c r="H237" s="241"/>
      <c r="I237" s="241">
        <v>23145.3</v>
      </c>
      <c r="J237" s="170"/>
      <c r="K237" s="170"/>
      <c r="L237" s="170">
        <f>J237+K237</f>
        <v>0</v>
      </c>
      <c r="M237" s="171"/>
      <c r="N237" s="172">
        <f>L237+M237</f>
        <v>0</v>
      </c>
    </row>
    <row r="238" spans="1:14" ht="75" customHeight="1" hidden="1">
      <c r="A238" s="173" t="s">
        <v>661</v>
      </c>
      <c r="B238" s="159" t="s">
        <v>53</v>
      </c>
      <c r="C238" s="159" t="s">
        <v>385</v>
      </c>
      <c r="D238" s="159" t="s">
        <v>393</v>
      </c>
      <c r="E238" s="159" t="s">
        <v>659</v>
      </c>
      <c r="F238" s="159"/>
      <c r="G238" s="241"/>
      <c r="H238" s="241">
        <f aca="true" t="shared" si="44" ref="H238:N238">H239</f>
        <v>0</v>
      </c>
      <c r="I238" s="241">
        <f t="shared" si="44"/>
        <v>8208.4</v>
      </c>
      <c r="J238" s="170">
        <f t="shared" si="44"/>
        <v>0</v>
      </c>
      <c r="K238" s="170">
        <f t="shared" si="44"/>
        <v>0</v>
      </c>
      <c r="L238" s="170">
        <f t="shared" si="44"/>
        <v>0</v>
      </c>
      <c r="M238" s="171">
        <f t="shared" si="44"/>
        <v>0</v>
      </c>
      <c r="N238" s="172">
        <f t="shared" si="44"/>
        <v>0</v>
      </c>
    </row>
    <row r="239" spans="1:14" ht="75" customHeight="1" hidden="1">
      <c r="A239" s="173" t="s">
        <v>662</v>
      </c>
      <c r="B239" s="159" t="s">
        <v>53</v>
      </c>
      <c r="C239" s="159" t="s">
        <v>385</v>
      </c>
      <c r="D239" s="159" t="s">
        <v>393</v>
      </c>
      <c r="E239" s="159" t="s">
        <v>659</v>
      </c>
      <c r="F239" s="159" t="s">
        <v>653</v>
      </c>
      <c r="G239" s="241"/>
      <c r="H239" s="241"/>
      <c r="I239" s="241">
        <v>8208.4</v>
      </c>
      <c r="J239" s="170"/>
      <c r="K239" s="170"/>
      <c r="L239" s="170">
        <f>J239+K239</f>
        <v>0</v>
      </c>
      <c r="M239" s="171"/>
      <c r="N239" s="172">
        <f>L239+M239</f>
        <v>0</v>
      </c>
    </row>
    <row r="240" spans="1:14" ht="38.25">
      <c r="A240" s="213" t="s">
        <v>577</v>
      </c>
      <c r="B240" s="159" t="s">
        <v>53</v>
      </c>
      <c r="C240" s="159" t="s">
        <v>385</v>
      </c>
      <c r="D240" s="159" t="s">
        <v>393</v>
      </c>
      <c r="E240" s="159" t="s">
        <v>659</v>
      </c>
      <c r="F240" s="159" t="s">
        <v>579</v>
      </c>
      <c r="G240" s="241"/>
      <c r="H240" s="241"/>
      <c r="I240" s="241"/>
      <c r="J240" s="170"/>
      <c r="K240" s="170">
        <v>400</v>
      </c>
      <c r="L240" s="170">
        <f>J240+K240</f>
        <v>400</v>
      </c>
      <c r="M240" s="171"/>
      <c r="N240" s="172"/>
    </row>
    <row r="241" spans="1:14" ht="51" hidden="1">
      <c r="A241" s="213" t="s">
        <v>656</v>
      </c>
      <c r="B241" s="159" t="s">
        <v>53</v>
      </c>
      <c r="C241" s="159" t="s">
        <v>385</v>
      </c>
      <c r="D241" s="159" t="s">
        <v>393</v>
      </c>
      <c r="E241" s="159" t="s">
        <v>659</v>
      </c>
      <c r="F241" s="159" t="s">
        <v>657</v>
      </c>
      <c r="G241" s="241"/>
      <c r="H241" s="241"/>
      <c r="I241" s="241"/>
      <c r="J241" s="170"/>
      <c r="K241" s="170"/>
      <c r="L241" s="170">
        <f>J241+K241</f>
        <v>0</v>
      </c>
      <c r="M241" s="171"/>
      <c r="N241" s="172"/>
    </row>
    <row r="242" spans="1:14" ht="15">
      <c r="A242" s="242" t="s">
        <v>417</v>
      </c>
      <c r="B242" s="168" t="s">
        <v>53</v>
      </c>
      <c r="C242" s="168" t="s">
        <v>390</v>
      </c>
      <c r="D242" s="168"/>
      <c r="E242" s="168"/>
      <c r="F242" s="168"/>
      <c r="G242" s="155" t="e">
        <f aca="true" t="shared" si="45" ref="G242:N244">G243</f>
        <v>#REF!</v>
      </c>
      <c r="H242" s="155" t="e">
        <f t="shared" si="45"/>
        <v>#REF!</v>
      </c>
      <c r="I242" s="155" t="e">
        <f t="shared" si="45"/>
        <v>#REF!</v>
      </c>
      <c r="J242" s="161">
        <f t="shared" si="45"/>
        <v>60</v>
      </c>
      <c r="K242" s="161">
        <f t="shared" si="45"/>
        <v>-60</v>
      </c>
      <c r="L242" s="161">
        <f t="shared" si="45"/>
        <v>0</v>
      </c>
      <c r="M242" s="174" t="e">
        <f t="shared" si="45"/>
        <v>#REF!</v>
      </c>
      <c r="N242" s="175" t="e">
        <f t="shared" si="45"/>
        <v>#REF!</v>
      </c>
    </row>
    <row r="243" spans="1:14" s="340" customFormat="1" ht="25.5">
      <c r="A243" s="179" t="s">
        <v>663</v>
      </c>
      <c r="B243" s="168" t="s">
        <v>53</v>
      </c>
      <c r="C243" s="168" t="s">
        <v>390</v>
      </c>
      <c r="D243" s="168" t="s">
        <v>387</v>
      </c>
      <c r="E243" s="168"/>
      <c r="F243" s="168"/>
      <c r="G243" s="164" t="e">
        <f>G244+G249</f>
        <v>#REF!</v>
      </c>
      <c r="H243" s="164" t="e">
        <f>H244+H249</f>
        <v>#REF!</v>
      </c>
      <c r="I243" s="164" t="e">
        <f>I244+I249</f>
        <v>#REF!</v>
      </c>
      <c r="J243" s="161">
        <f>J244</f>
        <v>60</v>
      </c>
      <c r="K243" s="161">
        <f>K244</f>
        <v>-60</v>
      </c>
      <c r="L243" s="161">
        <f>L244</f>
        <v>0</v>
      </c>
      <c r="M243" s="188" t="e">
        <f>M244+M249</f>
        <v>#REF!</v>
      </c>
      <c r="N243" s="209" t="e">
        <f>N244+N249</f>
        <v>#REF!</v>
      </c>
    </row>
    <row r="244" spans="1:14" ht="26.25">
      <c r="A244" s="179" t="s">
        <v>480</v>
      </c>
      <c r="B244" s="159" t="s">
        <v>53</v>
      </c>
      <c r="C244" s="159" t="s">
        <v>390</v>
      </c>
      <c r="D244" s="159" t="s">
        <v>387</v>
      </c>
      <c r="E244" s="159" t="s">
        <v>481</v>
      </c>
      <c r="F244" s="159"/>
      <c r="G244" s="177" t="e">
        <f t="shared" si="45"/>
        <v>#REF!</v>
      </c>
      <c r="H244" s="177" t="e">
        <f t="shared" si="45"/>
        <v>#REF!</v>
      </c>
      <c r="I244" s="177" t="e">
        <f t="shared" si="45"/>
        <v>#REF!</v>
      </c>
      <c r="J244" s="170">
        <f t="shared" si="45"/>
        <v>60</v>
      </c>
      <c r="K244" s="170">
        <f t="shared" si="45"/>
        <v>-60</v>
      </c>
      <c r="L244" s="170">
        <f t="shared" si="45"/>
        <v>0</v>
      </c>
      <c r="M244" s="171" t="e">
        <f t="shared" si="45"/>
        <v>#REF!</v>
      </c>
      <c r="N244" s="172" t="e">
        <f t="shared" si="45"/>
        <v>#REF!</v>
      </c>
    </row>
    <row r="245" spans="1:14" ht="26.25">
      <c r="A245" s="179" t="s">
        <v>497</v>
      </c>
      <c r="B245" s="159" t="s">
        <v>53</v>
      </c>
      <c r="C245" s="159" t="s">
        <v>390</v>
      </c>
      <c r="D245" s="159" t="s">
        <v>387</v>
      </c>
      <c r="E245" s="159" t="s">
        <v>483</v>
      </c>
      <c r="F245" s="159"/>
      <c r="G245" s="177" t="e">
        <f>#REF!</f>
        <v>#REF!</v>
      </c>
      <c r="H245" s="177" t="e">
        <f>#REF!</f>
        <v>#REF!</v>
      </c>
      <c r="I245" s="177" t="e">
        <f>#REF!</f>
        <v>#REF!</v>
      </c>
      <c r="J245" s="170">
        <f>J246+J247+J248</f>
        <v>60</v>
      </c>
      <c r="K245" s="170">
        <f>K246+K247+K248</f>
        <v>-60</v>
      </c>
      <c r="L245" s="170">
        <f>L246+L247+L248</f>
        <v>0</v>
      </c>
      <c r="M245" s="171" t="e">
        <f>#REF!</f>
        <v>#REF!</v>
      </c>
      <c r="N245" s="172" t="e">
        <f>#REF!</f>
        <v>#REF!</v>
      </c>
    </row>
    <row r="246" spans="1:14" ht="26.25" hidden="1">
      <c r="A246" s="219" t="s">
        <v>664</v>
      </c>
      <c r="B246" s="159" t="s">
        <v>53</v>
      </c>
      <c r="C246" s="159" t="s">
        <v>390</v>
      </c>
      <c r="D246" s="159" t="s">
        <v>387</v>
      </c>
      <c r="E246" s="159" t="s">
        <v>483</v>
      </c>
      <c r="F246" s="159" t="s">
        <v>588</v>
      </c>
      <c r="G246" s="177"/>
      <c r="H246" s="169"/>
      <c r="I246" s="177"/>
      <c r="J246" s="170"/>
      <c r="K246" s="170"/>
      <c r="L246" s="170">
        <f>J246+K246</f>
        <v>0</v>
      </c>
      <c r="M246" s="171"/>
      <c r="N246" s="172"/>
    </row>
    <row r="247" spans="1:14" ht="26.25" hidden="1">
      <c r="A247" s="219" t="s">
        <v>665</v>
      </c>
      <c r="B247" s="159" t="s">
        <v>53</v>
      </c>
      <c r="C247" s="159" t="s">
        <v>390</v>
      </c>
      <c r="D247" s="159" t="s">
        <v>387</v>
      </c>
      <c r="E247" s="159" t="s">
        <v>483</v>
      </c>
      <c r="F247" s="159" t="s">
        <v>579</v>
      </c>
      <c r="G247" s="177"/>
      <c r="H247" s="169"/>
      <c r="I247" s="177"/>
      <c r="J247" s="170"/>
      <c r="K247" s="170"/>
      <c r="L247" s="170">
        <f>J247+K247</f>
        <v>0</v>
      </c>
      <c r="M247" s="171"/>
      <c r="N247" s="172"/>
    </row>
    <row r="248" spans="1:14" ht="26.25">
      <c r="A248" s="179" t="s">
        <v>493</v>
      </c>
      <c r="B248" s="159" t="s">
        <v>53</v>
      </c>
      <c r="C248" s="159" t="s">
        <v>390</v>
      </c>
      <c r="D248" s="159" t="s">
        <v>387</v>
      </c>
      <c r="E248" s="159" t="s">
        <v>483</v>
      </c>
      <c r="F248" s="159" t="s">
        <v>485</v>
      </c>
      <c r="G248" s="177">
        <f>-54.4</f>
        <v>-54.4</v>
      </c>
      <c r="H248" s="169">
        <v>44.5</v>
      </c>
      <c r="I248" s="177"/>
      <c r="J248" s="170">
        <v>60</v>
      </c>
      <c r="K248" s="170">
        <v>-60</v>
      </c>
      <c r="L248" s="170">
        <f>J248+K248</f>
        <v>0</v>
      </c>
      <c r="M248" s="171"/>
      <c r="N248" s="172">
        <f>L248+M248</f>
        <v>0</v>
      </c>
    </row>
    <row r="249" spans="1:14" ht="51.75">
      <c r="A249" s="179" t="s">
        <v>509</v>
      </c>
      <c r="B249" s="159" t="s">
        <v>53</v>
      </c>
      <c r="C249" s="159" t="s">
        <v>404</v>
      </c>
      <c r="D249" s="159" t="s">
        <v>382</v>
      </c>
      <c r="E249" s="159" t="s">
        <v>510</v>
      </c>
      <c r="F249" s="159"/>
      <c r="G249" s="177"/>
      <c r="H249" s="169"/>
      <c r="I249" s="177"/>
      <c r="J249" s="170">
        <f>J250</f>
        <v>26573.72</v>
      </c>
      <c r="K249" s="170">
        <f>K250</f>
        <v>-26573.72</v>
      </c>
      <c r="L249" s="170">
        <f>L250</f>
        <v>0</v>
      </c>
      <c r="M249" s="171">
        <f>M250</f>
        <v>741.3</v>
      </c>
      <c r="N249" s="172">
        <f>N250</f>
        <v>741.3</v>
      </c>
    </row>
    <row r="250" spans="1:14" ht="39">
      <c r="A250" s="179" t="s">
        <v>511</v>
      </c>
      <c r="B250" s="159" t="s">
        <v>53</v>
      </c>
      <c r="C250" s="159" t="s">
        <v>404</v>
      </c>
      <c r="D250" s="159" t="s">
        <v>382</v>
      </c>
      <c r="E250" s="159" t="s">
        <v>510</v>
      </c>
      <c r="F250" s="159" t="s">
        <v>512</v>
      </c>
      <c r="G250" s="177"/>
      <c r="H250" s="169"/>
      <c r="I250" s="177"/>
      <c r="J250" s="170">
        <v>26573.72</v>
      </c>
      <c r="K250" s="170">
        <v>-26573.72</v>
      </c>
      <c r="L250" s="170">
        <f>J250+K250</f>
        <v>0</v>
      </c>
      <c r="M250" s="180">
        <v>741.3</v>
      </c>
      <c r="N250" s="181">
        <f>L250+M250</f>
        <v>741.3</v>
      </c>
    </row>
    <row r="251" spans="1:14" ht="15" customHeight="1" hidden="1">
      <c r="A251" s="231" t="s">
        <v>666</v>
      </c>
      <c r="B251" s="168" t="s">
        <v>53</v>
      </c>
      <c r="C251" s="168" t="s">
        <v>392</v>
      </c>
      <c r="D251" s="168"/>
      <c r="E251" s="168"/>
      <c r="F251" s="168"/>
      <c r="G251" s="155" t="e">
        <f>G252+G257+G265+G270</f>
        <v>#REF!</v>
      </c>
      <c r="H251" s="155" t="e">
        <f>H252+H257+H265+H270</f>
        <v>#REF!</v>
      </c>
      <c r="I251" s="155" t="e">
        <f>I252+I257+I265+I270</f>
        <v>#REF!</v>
      </c>
      <c r="J251" s="161">
        <f>J252+J257+J265</f>
        <v>0</v>
      </c>
      <c r="K251" s="161">
        <f>K252+K257+K265</f>
        <v>0</v>
      </c>
      <c r="L251" s="161">
        <f>L252+L257+L265</f>
        <v>0</v>
      </c>
      <c r="M251" s="174" t="e">
        <f>M252+M257+M265+M270</f>
        <v>#REF!</v>
      </c>
      <c r="N251" s="175" t="e">
        <f>N252+N257+N265+N270</f>
        <v>#REF!</v>
      </c>
    </row>
    <row r="252" spans="1:14" s="340" customFormat="1" ht="42.75" customHeight="1" hidden="1">
      <c r="A252" s="231" t="s">
        <v>225</v>
      </c>
      <c r="B252" s="168" t="s">
        <v>53</v>
      </c>
      <c r="C252" s="168" t="s">
        <v>392</v>
      </c>
      <c r="D252" s="168" t="s">
        <v>382</v>
      </c>
      <c r="E252" s="168"/>
      <c r="F252" s="168"/>
      <c r="G252" s="155">
        <f aca="true" t="shared" si="46" ref="G252:M252">G253+G255</f>
        <v>264</v>
      </c>
      <c r="H252" s="155">
        <f t="shared" si="46"/>
        <v>20914.8</v>
      </c>
      <c r="I252" s="155">
        <f t="shared" si="46"/>
        <v>0</v>
      </c>
      <c r="J252" s="161">
        <f t="shared" si="46"/>
        <v>0</v>
      </c>
      <c r="K252" s="161">
        <f t="shared" si="46"/>
        <v>0</v>
      </c>
      <c r="L252" s="161">
        <f t="shared" si="46"/>
        <v>0</v>
      </c>
      <c r="M252" s="188">
        <f t="shared" si="46"/>
        <v>8.4</v>
      </c>
      <c r="N252" s="209">
        <f>N253+N255</f>
        <v>8.4</v>
      </c>
    </row>
    <row r="253" spans="1:14" ht="45" customHeight="1" hidden="1">
      <c r="A253" s="179" t="s">
        <v>667</v>
      </c>
      <c r="B253" s="159" t="s">
        <v>53</v>
      </c>
      <c r="C253" s="159" t="s">
        <v>392</v>
      </c>
      <c r="D253" s="159" t="s">
        <v>382</v>
      </c>
      <c r="E253" s="159" t="s">
        <v>668</v>
      </c>
      <c r="F253" s="159"/>
      <c r="G253" s="177">
        <f aca="true" t="shared" si="47" ref="G253:N253">G254</f>
        <v>0</v>
      </c>
      <c r="H253" s="177">
        <f t="shared" si="47"/>
        <v>3469.8</v>
      </c>
      <c r="I253" s="177">
        <f t="shared" si="47"/>
        <v>0</v>
      </c>
      <c r="J253" s="170">
        <f t="shared" si="47"/>
        <v>0</v>
      </c>
      <c r="K253" s="170">
        <f t="shared" si="47"/>
        <v>0</v>
      </c>
      <c r="L253" s="170">
        <f t="shared" si="47"/>
        <v>0</v>
      </c>
      <c r="M253" s="171">
        <f t="shared" si="47"/>
        <v>0</v>
      </c>
      <c r="N253" s="172">
        <f t="shared" si="47"/>
        <v>0</v>
      </c>
    </row>
    <row r="254" spans="1:14" ht="15" customHeight="1" hidden="1">
      <c r="A254" s="179" t="s">
        <v>669</v>
      </c>
      <c r="B254" s="159" t="s">
        <v>53</v>
      </c>
      <c r="C254" s="159" t="s">
        <v>392</v>
      </c>
      <c r="D254" s="159" t="s">
        <v>382</v>
      </c>
      <c r="E254" s="159" t="s">
        <v>668</v>
      </c>
      <c r="F254" s="159" t="s">
        <v>670</v>
      </c>
      <c r="G254" s="177"/>
      <c r="H254" s="169">
        <v>3469.8</v>
      </c>
      <c r="I254" s="177"/>
      <c r="J254" s="170">
        <v>0</v>
      </c>
      <c r="K254" s="170"/>
      <c r="L254" s="170">
        <f>J254+K254</f>
        <v>0</v>
      </c>
      <c r="M254" s="171"/>
      <c r="N254" s="172">
        <f>L254+M254</f>
        <v>0</v>
      </c>
    </row>
    <row r="255" spans="1:14" ht="45" customHeight="1" hidden="1">
      <c r="A255" s="179" t="s">
        <v>671</v>
      </c>
      <c r="B255" s="159" t="s">
        <v>53</v>
      </c>
      <c r="C255" s="159" t="s">
        <v>392</v>
      </c>
      <c r="D255" s="159" t="s">
        <v>382</v>
      </c>
      <c r="E255" s="159" t="s">
        <v>672</v>
      </c>
      <c r="F255" s="159"/>
      <c r="G255" s="177">
        <f aca="true" t="shared" si="48" ref="G255:N255">G256</f>
        <v>264</v>
      </c>
      <c r="H255" s="177">
        <f t="shared" si="48"/>
        <v>17445</v>
      </c>
      <c r="I255" s="177">
        <f t="shared" si="48"/>
        <v>0</v>
      </c>
      <c r="J255" s="170">
        <f t="shared" si="48"/>
        <v>0</v>
      </c>
      <c r="K255" s="170">
        <f t="shared" si="48"/>
        <v>0</v>
      </c>
      <c r="L255" s="170">
        <f t="shared" si="48"/>
        <v>0</v>
      </c>
      <c r="M255" s="171">
        <f t="shared" si="48"/>
        <v>8.4</v>
      </c>
      <c r="N255" s="172">
        <f t="shared" si="48"/>
        <v>8.4</v>
      </c>
    </row>
    <row r="256" spans="1:14" ht="15" customHeight="1" hidden="1">
      <c r="A256" s="179" t="s">
        <v>669</v>
      </c>
      <c r="B256" s="159" t="s">
        <v>53</v>
      </c>
      <c r="C256" s="159" t="s">
        <v>392</v>
      </c>
      <c r="D256" s="159" t="s">
        <v>382</v>
      </c>
      <c r="E256" s="159" t="s">
        <v>672</v>
      </c>
      <c r="F256" s="159" t="s">
        <v>670</v>
      </c>
      <c r="G256" s="177">
        <v>264</v>
      </c>
      <c r="H256" s="169">
        <v>17445</v>
      </c>
      <c r="I256" s="177"/>
      <c r="J256" s="170">
        <v>0</v>
      </c>
      <c r="K256" s="170"/>
      <c r="L256" s="170">
        <f>J256+K256</f>
        <v>0</v>
      </c>
      <c r="M256" s="171">
        <f>8.4</f>
        <v>8.4</v>
      </c>
      <c r="N256" s="172">
        <f>L256+M256</f>
        <v>8.4</v>
      </c>
    </row>
    <row r="257" spans="1:14" s="340" customFormat="1" ht="57" customHeight="1" hidden="1">
      <c r="A257" s="231" t="s">
        <v>673</v>
      </c>
      <c r="B257" s="168" t="s">
        <v>53</v>
      </c>
      <c r="C257" s="168" t="s">
        <v>392</v>
      </c>
      <c r="D257" s="168" t="s">
        <v>383</v>
      </c>
      <c r="E257" s="168"/>
      <c r="F257" s="168"/>
      <c r="G257" s="155">
        <f aca="true" t="shared" si="49" ref="G257:N257">G258</f>
        <v>0</v>
      </c>
      <c r="H257" s="155">
        <f t="shared" si="49"/>
        <v>9363.8</v>
      </c>
      <c r="I257" s="155">
        <f t="shared" si="49"/>
        <v>0</v>
      </c>
      <c r="J257" s="161">
        <f t="shared" si="49"/>
        <v>0</v>
      </c>
      <c r="K257" s="161">
        <f>K258</f>
        <v>0</v>
      </c>
      <c r="L257" s="161">
        <f t="shared" si="49"/>
        <v>0</v>
      </c>
      <c r="M257" s="188">
        <f t="shared" si="49"/>
        <v>-768</v>
      </c>
      <c r="N257" s="209">
        <f t="shared" si="49"/>
        <v>-768</v>
      </c>
    </row>
    <row r="258" spans="1:14" ht="105" customHeight="1" hidden="1">
      <c r="A258" s="179" t="s">
        <v>674</v>
      </c>
      <c r="B258" s="159" t="s">
        <v>53</v>
      </c>
      <c r="C258" s="159" t="s">
        <v>392</v>
      </c>
      <c r="D258" s="159" t="s">
        <v>383</v>
      </c>
      <c r="E258" s="159" t="s">
        <v>675</v>
      </c>
      <c r="F258" s="159"/>
      <c r="G258" s="177">
        <f aca="true" t="shared" si="50" ref="G258:M258">G261+G263+G259</f>
        <v>0</v>
      </c>
      <c r="H258" s="177">
        <f t="shared" si="50"/>
        <v>9363.8</v>
      </c>
      <c r="I258" s="177">
        <f t="shared" si="50"/>
        <v>0</v>
      </c>
      <c r="J258" s="170">
        <f>J261+J263+J259</f>
        <v>0</v>
      </c>
      <c r="K258" s="170">
        <f t="shared" si="50"/>
        <v>0</v>
      </c>
      <c r="L258" s="170">
        <f t="shared" si="50"/>
        <v>0</v>
      </c>
      <c r="M258" s="171">
        <f t="shared" si="50"/>
        <v>-768</v>
      </c>
      <c r="N258" s="172">
        <f>N261+N263+N259</f>
        <v>-768</v>
      </c>
    </row>
    <row r="259" spans="1:14" ht="18" customHeight="1" hidden="1">
      <c r="A259" s="179" t="s">
        <v>676</v>
      </c>
      <c r="B259" s="159" t="s">
        <v>53</v>
      </c>
      <c r="C259" s="159" t="s">
        <v>392</v>
      </c>
      <c r="D259" s="159" t="s">
        <v>383</v>
      </c>
      <c r="E259" s="159" t="s">
        <v>677</v>
      </c>
      <c r="F259" s="159"/>
      <c r="G259" s="177">
        <f aca="true" t="shared" si="51" ref="G259:N259">G260</f>
        <v>0</v>
      </c>
      <c r="H259" s="177">
        <f t="shared" si="51"/>
        <v>4300</v>
      </c>
      <c r="I259" s="177">
        <f t="shared" si="51"/>
        <v>0</v>
      </c>
      <c r="J259" s="170">
        <f t="shared" si="51"/>
        <v>0</v>
      </c>
      <c r="K259" s="170">
        <f>K260</f>
        <v>0</v>
      </c>
      <c r="L259" s="170">
        <f t="shared" si="51"/>
        <v>0</v>
      </c>
      <c r="M259" s="171">
        <f t="shared" si="51"/>
        <v>-768</v>
      </c>
      <c r="N259" s="172">
        <f t="shared" si="51"/>
        <v>-768</v>
      </c>
    </row>
    <row r="260" spans="1:14" ht="16.5" customHeight="1" hidden="1" thickBot="1">
      <c r="A260" s="179" t="s">
        <v>678</v>
      </c>
      <c r="B260" s="159" t="s">
        <v>53</v>
      </c>
      <c r="C260" s="159" t="s">
        <v>392</v>
      </c>
      <c r="D260" s="159" t="s">
        <v>383</v>
      </c>
      <c r="E260" s="159" t="s">
        <v>677</v>
      </c>
      <c r="F260" s="159" t="s">
        <v>679</v>
      </c>
      <c r="G260" s="177"/>
      <c r="H260" s="169">
        <v>4300</v>
      </c>
      <c r="I260" s="177"/>
      <c r="J260" s="170"/>
      <c r="K260" s="170"/>
      <c r="L260" s="170">
        <f>J260+K260</f>
        <v>0</v>
      </c>
      <c r="M260" s="171">
        <f>-768</f>
        <v>-768</v>
      </c>
      <c r="N260" s="172">
        <f>L260+M260</f>
        <v>-768</v>
      </c>
    </row>
    <row r="261" spans="1:14" ht="19.5" customHeight="1" hidden="1">
      <c r="A261" s="179" t="s">
        <v>680</v>
      </c>
      <c r="B261" s="159" t="s">
        <v>53</v>
      </c>
      <c r="C261" s="159" t="s">
        <v>392</v>
      </c>
      <c r="D261" s="159" t="s">
        <v>383</v>
      </c>
      <c r="E261" s="159" t="s">
        <v>681</v>
      </c>
      <c r="F261" s="159"/>
      <c r="G261" s="177">
        <f aca="true" t="shared" si="52" ref="G261:N261">G262</f>
        <v>0</v>
      </c>
      <c r="H261" s="177">
        <f t="shared" si="52"/>
        <v>3301.5</v>
      </c>
      <c r="I261" s="177">
        <f t="shared" si="52"/>
        <v>0</v>
      </c>
      <c r="J261" s="170">
        <f t="shared" si="52"/>
        <v>0</v>
      </c>
      <c r="K261" s="170">
        <f t="shared" si="52"/>
        <v>0</v>
      </c>
      <c r="L261" s="170">
        <f t="shared" si="52"/>
        <v>0</v>
      </c>
      <c r="M261" s="171">
        <f t="shared" si="52"/>
        <v>0</v>
      </c>
      <c r="N261" s="172">
        <f t="shared" si="52"/>
        <v>0</v>
      </c>
    </row>
    <row r="262" spans="1:14" ht="20.25" customHeight="1" hidden="1">
      <c r="A262" s="179" t="s">
        <v>678</v>
      </c>
      <c r="B262" s="159" t="s">
        <v>53</v>
      </c>
      <c r="C262" s="159" t="s">
        <v>392</v>
      </c>
      <c r="D262" s="159" t="s">
        <v>383</v>
      </c>
      <c r="E262" s="159" t="s">
        <v>681</v>
      </c>
      <c r="F262" s="159" t="s">
        <v>679</v>
      </c>
      <c r="G262" s="177"/>
      <c r="H262" s="177">
        <v>3301.5</v>
      </c>
      <c r="I262" s="177"/>
      <c r="J262" s="170"/>
      <c r="K262" s="170"/>
      <c r="L262" s="170">
        <f>J262+K262</f>
        <v>0</v>
      </c>
      <c r="M262" s="171"/>
      <c r="N262" s="172">
        <f>L262+M262</f>
        <v>0</v>
      </c>
    </row>
    <row r="263" spans="1:14" ht="75" customHeight="1" hidden="1">
      <c r="A263" s="179" t="s">
        <v>682</v>
      </c>
      <c r="B263" s="159" t="s">
        <v>53</v>
      </c>
      <c r="C263" s="159" t="s">
        <v>392</v>
      </c>
      <c r="D263" s="159" t="s">
        <v>383</v>
      </c>
      <c r="E263" s="159" t="s">
        <v>683</v>
      </c>
      <c r="F263" s="159"/>
      <c r="G263" s="177">
        <f aca="true" t="shared" si="53" ref="G263:N263">G264</f>
        <v>0</v>
      </c>
      <c r="H263" s="177">
        <f t="shared" si="53"/>
        <v>1762.3</v>
      </c>
      <c r="I263" s="177">
        <f t="shared" si="53"/>
        <v>0</v>
      </c>
      <c r="J263" s="170">
        <f t="shared" si="53"/>
        <v>0</v>
      </c>
      <c r="K263" s="170">
        <f t="shared" si="53"/>
        <v>0</v>
      </c>
      <c r="L263" s="170">
        <f t="shared" si="53"/>
        <v>0</v>
      </c>
      <c r="M263" s="171">
        <f t="shared" si="53"/>
        <v>0</v>
      </c>
      <c r="N263" s="172">
        <f t="shared" si="53"/>
        <v>0</v>
      </c>
    </row>
    <row r="264" spans="1:14" ht="15" customHeight="1" hidden="1">
      <c r="A264" s="179" t="s">
        <v>678</v>
      </c>
      <c r="B264" s="159" t="s">
        <v>53</v>
      </c>
      <c r="C264" s="159" t="s">
        <v>392</v>
      </c>
      <c r="D264" s="159" t="s">
        <v>383</v>
      </c>
      <c r="E264" s="159" t="s">
        <v>683</v>
      </c>
      <c r="F264" s="159" t="s">
        <v>679</v>
      </c>
      <c r="G264" s="177"/>
      <c r="H264" s="177">
        <v>1762.3</v>
      </c>
      <c r="I264" s="177"/>
      <c r="J264" s="170">
        <v>0</v>
      </c>
      <c r="K264" s="170"/>
      <c r="L264" s="170">
        <f>J264+K264</f>
        <v>0</v>
      </c>
      <c r="M264" s="171"/>
      <c r="N264" s="172">
        <f>L264+M264</f>
        <v>0</v>
      </c>
    </row>
    <row r="265" spans="1:17" s="340" customFormat="1" ht="42.75" customHeight="1" hidden="1">
      <c r="A265" s="231" t="s">
        <v>684</v>
      </c>
      <c r="B265" s="168" t="s">
        <v>53</v>
      </c>
      <c r="C265" s="168" t="s">
        <v>392</v>
      </c>
      <c r="D265" s="168" t="s">
        <v>384</v>
      </c>
      <c r="E265" s="168"/>
      <c r="F265" s="168"/>
      <c r="G265" s="155">
        <f aca="true" t="shared" si="54" ref="G265:N266">G266</f>
        <v>42.8</v>
      </c>
      <c r="H265" s="155">
        <f t="shared" si="54"/>
        <v>573.7</v>
      </c>
      <c r="I265" s="155">
        <f t="shared" si="54"/>
        <v>0</v>
      </c>
      <c r="J265" s="161">
        <f t="shared" si="54"/>
        <v>0</v>
      </c>
      <c r="K265" s="161">
        <f t="shared" si="54"/>
        <v>0</v>
      </c>
      <c r="L265" s="161">
        <f t="shared" si="54"/>
        <v>0</v>
      </c>
      <c r="M265" s="188">
        <f t="shared" si="54"/>
        <v>0</v>
      </c>
      <c r="N265" s="209">
        <f t="shared" si="54"/>
        <v>0</v>
      </c>
      <c r="Q265" s="341"/>
    </row>
    <row r="266" spans="1:14" ht="45" customHeight="1" hidden="1">
      <c r="A266" s="179" t="s">
        <v>685</v>
      </c>
      <c r="B266" s="159" t="s">
        <v>53</v>
      </c>
      <c r="C266" s="159" t="s">
        <v>392</v>
      </c>
      <c r="D266" s="159" t="s">
        <v>384</v>
      </c>
      <c r="E266" s="159" t="s">
        <v>644</v>
      </c>
      <c r="F266" s="159"/>
      <c r="G266" s="177">
        <f t="shared" si="54"/>
        <v>42.8</v>
      </c>
      <c r="H266" s="177">
        <f t="shared" si="54"/>
        <v>573.7</v>
      </c>
      <c r="I266" s="177">
        <f t="shared" si="54"/>
        <v>0</v>
      </c>
      <c r="J266" s="170">
        <f t="shared" si="54"/>
        <v>0</v>
      </c>
      <c r="K266" s="170">
        <f t="shared" si="54"/>
        <v>0</v>
      </c>
      <c r="L266" s="170">
        <f t="shared" si="54"/>
        <v>0</v>
      </c>
      <c r="M266" s="171">
        <f t="shared" si="54"/>
        <v>0</v>
      </c>
      <c r="N266" s="172">
        <f t="shared" si="54"/>
        <v>0</v>
      </c>
    </row>
    <row r="267" spans="1:14" ht="15.75" customHeight="1" hidden="1">
      <c r="A267" s="179" t="s">
        <v>686</v>
      </c>
      <c r="B267" s="159" t="s">
        <v>53</v>
      </c>
      <c r="C267" s="159" t="s">
        <v>392</v>
      </c>
      <c r="D267" s="159" t="s">
        <v>384</v>
      </c>
      <c r="E267" s="159" t="s">
        <v>644</v>
      </c>
      <c r="F267" s="159" t="s">
        <v>646</v>
      </c>
      <c r="G267" s="177">
        <v>42.8</v>
      </c>
      <c r="H267" s="177">
        <v>573.7</v>
      </c>
      <c r="I267" s="177"/>
      <c r="J267" s="170"/>
      <c r="K267" s="170"/>
      <c r="L267" s="170">
        <f>J267+K267</f>
        <v>0</v>
      </c>
      <c r="M267" s="198"/>
      <c r="N267" s="181">
        <f>L267+M267</f>
        <v>0</v>
      </c>
    </row>
    <row r="268" spans="1:14" ht="26.25">
      <c r="A268" s="231" t="s">
        <v>449</v>
      </c>
      <c r="B268" s="168" t="s">
        <v>53</v>
      </c>
      <c r="C268" s="168" t="s">
        <v>394</v>
      </c>
      <c r="D268" s="168"/>
      <c r="E268" s="159"/>
      <c r="F268" s="159"/>
      <c r="G268" s="177" t="e">
        <f>#REF!</f>
        <v>#REF!</v>
      </c>
      <c r="H268" s="169" t="e">
        <f>#REF!+H270</f>
        <v>#REF!</v>
      </c>
      <c r="I268" s="169" t="e">
        <f>#REF!+I270</f>
        <v>#REF!</v>
      </c>
      <c r="J268" s="161">
        <f>J270</f>
        <v>100</v>
      </c>
      <c r="K268" s="161">
        <f>K270</f>
        <v>42.19999999999999</v>
      </c>
      <c r="L268" s="161">
        <f>L270</f>
        <v>142.2</v>
      </c>
      <c r="M268" s="202"/>
      <c r="N268" s="244"/>
    </row>
    <row r="269" spans="1:14" ht="27.75" customHeight="1">
      <c r="A269" s="231" t="s">
        <v>451</v>
      </c>
      <c r="B269" s="168" t="s">
        <v>53</v>
      </c>
      <c r="C269" s="168" t="s">
        <v>394</v>
      </c>
      <c r="D269" s="168" t="s">
        <v>382</v>
      </c>
      <c r="E269" s="159"/>
      <c r="F269" s="159"/>
      <c r="G269" s="177"/>
      <c r="H269" s="169"/>
      <c r="I269" s="169"/>
      <c r="J269" s="161">
        <f aca="true" t="shared" si="55" ref="J269:L270">J270</f>
        <v>100</v>
      </c>
      <c r="K269" s="161">
        <f t="shared" si="55"/>
        <v>42.19999999999999</v>
      </c>
      <c r="L269" s="161">
        <f t="shared" si="55"/>
        <v>142.2</v>
      </c>
      <c r="M269" s="202"/>
      <c r="N269" s="244"/>
    </row>
    <row r="270" spans="1:14" ht="26.25" customHeight="1">
      <c r="A270" s="179" t="s">
        <v>629</v>
      </c>
      <c r="B270" s="159" t="s">
        <v>53</v>
      </c>
      <c r="C270" s="159" t="s">
        <v>394</v>
      </c>
      <c r="D270" s="159" t="s">
        <v>382</v>
      </c>
      <c r="E270" s="159" t="s">
        <v>687</v>
      </c>
      <c r="F270" s="159"/>
      <c r="G270" s="177" t="e">
        <f>#REF!</f>
        <v>#REF!</v>
      </c>
      <c r="H270" s="169" t="e">
        <f>#REF!+H271</f>
        <v>#REF!</v>
      </c>
      <c r="I270" s="169" t="e">
        <f>#REF!+I271</f>
        <v>#REF!</v>
      </c>
      <c r="J270" s="170">
        <f t="shared" si="55"/>
        <v>100</v>
      </c>
      <c r="K270" s="170">
        <f t="shared" si="55"/>
        <v>42.19999999999999</v>
      </c>
      <c r="L270" s="170">
        <f t="shared" si="55"/>
        <v>142.2</v>
      </c>
      <c r="M270" s="238" t="e">
        <f>#REF!+M271</f>
        <v>#REF!</v>
      </c>
      <c r="N270" s="178" t="e">
        <f>#REF!+N271</f>
        <v>#REF!</v>
      </c>
    </row>
    <row r="271" spans="1:14" ht="29.25" customHeight="1">
      <c r="A271" s="179" t="s">
        <v>630</v>
      </c>
      <c r="B271" s="159" t="s">
        <v>53</v>
      </c>
      <c r="C271" s="159" t="s">
        <v>394</v>
      </c>
      <c r="D271" s="159" t="s">
        <v>382</v>
      </c>
      <c r="E271" s="159" t="s">
        <v>688</v>
      </c>
      <c r="F271" s="159"/>
      <c r="G271" s="177"/>
      <c r="H271" s="169">
        <f aca="true" t="shared" si="56" ref="H271:N271">H272</f>
        <v>0</v>
      </c>
      <c r="I271" s="169">
        <f t="shared" si="56"/>
        <v>0</v>
      </c>
      <c r="J271" s="170">
        <f>J272+J273</f>
        <v>100</v>
      </c>
      <c r="K271" s="170">
        <f>K272+K273</f>
        <v>42.19999999999999</v>
      </c>
      <c r="L271" s="170">
        <f>L272+L273</f>
        <v>142.2</v>
      </c>
      <c r="M271" s="171">
        <f t="shared" si="56"/>
        <v>0</v>
      </c>
      <c r="N271" s="178">
        <f t="shared" si="56"/>
        <v>0</v>
      </c>
    </row>
    <row r="272" spans="1:14" ht="15.75" customHeight="1">
      <c r="A272" s="179" t="s">
        <v>631</v>
      </c>
      <c r="B272" s="159" t="s">
        <v>53</v>
      </c>
      <c r="C272" s="159" t="s">
        <v>394</v>
      </c>
      <c r="D272" s="159" t="s">
        <v>382</v>
      </c>
      <c r="E272" s="159" t="s">
        <v>688</v>
      </c>
      <c r="F272" s="159" t="s">
        <v>632</v>
      </c>
      <c r="G272" s="177"/>
      <c r="H272" s="169"/>
      <c r="I272" s="177"/>
      <c r="J272" s="170">
        <v>100</v>
      </c>
      <c r="K272" s="170">
        <v>-100</v>
      </c>
      <c r="L272" s="170">
        <f>J272+K272</f>
        <v>0</v>
      </c>
      <c r="M272" s="171"/>
      <c r="N272" s="172">
        <f>L272+M272</f>
        <v>0</v>
      </c>
    </row>
    <row r="273" spans="1:15" ht="15.75" customHeight="1">
      <c r="A273" s="213" t="s">
        <v>689</v>
      </c>
      <c r="B273" s="159" t="s">
        <v>53</v>
      </c>
      <c r="C273" s="159" t="s">
        <v>394</v>
      </c>
      <c r="D273" s="159" t="s">
        <v>382</v>
      </c>
      <c r="E273" s="159" t="s">
        <v>688</v>
      </c>
      <c r="F273" s="159" t="s">
        <v>690</v>
      </c>
      <c r="G273" s="177"/>
      <c r="H273" s="169"/>
      <c r="I273" s="177"/>
      <c r="J273" s="170"/>
      <c r="K273" s="170">
        <f>100+42.2</f>
        <v>142.2</v>
      </c>
      <c r="L273" s="170">
        <f>J273+K273</f>
        <v>142.2</v>
      </c>
      <c r="M273" s="171"/>
      <c r="N273" s="178"/>
      <c r="O273" s="152">
        <v>7.22</v>
      </c>
    </row>
    <row r="274" spans="1:14" ht="39">
      <c r="A274" s="231" t="s">
        <v>691</v>
      </c>
      <c r="B274" s="168" t="s">
        <v>53</v>
      </c>
      <c r="C274" s="168" t="s">
        <v>396</v>
      </c>
      <c r="D274" s="168" t="s">
        <v>641</v>
      </c>
      <c r="E274" s="168"/>
      <c r="F274" s="168"/>
      <c r="G274" s="155"/>
      <c r="H274" s="164"/>
      <c r="I274" s="155"/>
      <c r="J274" s="161">
        <f>J275+J283</f>
        <v>29126.1</v>
      </c>
      <c r="K274" s="161">
        <f>K275+K283</f>
        <v>1751.000000000001</v>
      </c>
      <c r="L274" s="161">
        <f>L275+L283</f>
        <v>30877.1</v>
      </c>
      <c r="M274" s="171"/>
      <c r="N274" s="178"/>
    </row>
    <row r="275" spans="1:14" ht="39">
      <c r="A275" s="231" t="s">
        <v>692</v>
      </c>
      <c r="B275" s="168" t="s">
        <v>53</v>
      </c>
      <c r="C275" s="168" t="s">
        <v>396</v>
      </c>
      <c r="D275" s="168" t="s">
        <v>382</v>
      </c>
      <c r="E275" s="168"/>
      <c r="F275" s="168"/>
      <c r="G275" s="155"/>
      <c r="H275" s="164"/>
      <c r="I275" s="155"/>
      <c r="J275" s="161">
        <f>J276</f>
        <v>23512.3</v>
      </c>
      <c r="K275" s="161">
        <f>K276</f>
        <v>7364.800000000001</v>
      </c>
      <c r="L275" s="161">
        <f>L276</f>
        <v>30877.1</v>
      </c>
      <c r="M275" s="171"/>
      <c r="N275" s="178"/>
    </row>
    <row r="276" spans="1:14" ht="14.25" customHeight="1">
      <c r="A276" s="173" t="s">
        <v>693</v>
      </c>
      <c r="B276" s="159" t="s">
        <v>53</v>
      </c>
      <c r="C276" s="159" t="s">
        <v>396</v>
      </c>
      <c r="D276" s="159" t="s">
        <v>382</v>
      </c>
      <c r="E276" s="159" t="s">
        <v>694</v>
      </c>
      <c r="F276" s="159"/>
      <c r="G276" s="177"/>
      <c r="H276" s="169"/>
      <c r="I276" s="177"/>
      <c r="J276" s="170">
        <f>J277+J280</f>
        <v>23512.3</v>
      </c>
      <c r="K276" s="170">
        <f>K277+K280</f>
        <v>7364.800000000001</v>
      </c>
      <c r="L276" s="170">
        <f>J276+K276</f>
        <v>30877.1</v>
      </c>
      <c r="M276" s="171"/>
      <c r="N276" s="178"/>
    </row>
    <row r="277" spans="1:14" ht="38.25" customHeight="1">
      <c r="A277" s="173" t="s">
        <v>695</v>
      </c>
      <c r="B277" s="159" t="s">
        <v>53</v>
      </c>
      <c r="C277" s="159" t="s">
        <v>396</v>
      </c>
      <c r="D277" s="159" t="s">
        <v>382</v>
      </c>
      <c r="E277" s="159" t="s">
        <v>668</v>
      </c>
      <c r="F277" s="159"/>
      <c r="G277" s="177"/>
      <c r="H277" s="169"/>
      <c r="I277" s="177"/>
      <c r="J277" s="170">
        <f>J278+J279</f>
        <v>4269.5</v>
      </c>
      <c r="K277" s="170">
        <f>K278+K279</f>
        <v>5613.6</v>
      </c>
      <c r="L277" s="170">
        <f>L278+L279</f>
        <v>9883.1</v>
      </c>
      <c r="M277" s="171"/>
      <c r="N277" s="178"/>
    </row>
    <row r="278" spans="1:14" ht="14.25" customHeight="1">
      <c r="A278" s="173" t="s">
        <v>696</v>
      </c>
      <c r="B278" s="159" t="s">
        <v>53</v>
      </c>
      <c r="C278" s="159" t="s">
        <v>396</v>
      </c>
      <c r="D278" s="159" t="s">
        <v>382</v>
      </c>
      <c r="E278" s="159" t="s">
        <v>668</v>
      </c>
      <c r="F278" s="159" t="s">
        <v>670</v>
      </c>
      <c r="G278" s="177"/>
      <c r="H278" s="169"/>
      <c r="I278" s="177"/>
      <c r="J278" s="170">
        <v>4269.5</v>
      </c>
      <c r="K278" s="170">
        <v>-4269.5</v>
      </c>
      <c r="L278" s="170">
        <f>J278+K278</f>
        <v>0</v>
      </c>
      <c r="M278" s="171"/>
      <c r="N278" s="172"/>
    </row>
    <row r="279" spans="1:14" ht="43.5" customHeight="1">
      <c r="A279" s="213" t="s">
        <v>697</v>
      </c>
      <c r="B279" s="159" t="s">
        <v>53</v>
      </c>
      <c r="C279" s="159" t="s">
        <v>396</v>
      </c>
      <c r="D279" s="159" t="s">
        <v>382</v>
      </c>
      <c r="E279" s="159" t="s">
        <v>668</v>
      </c>
      <c r="F279" s="159" t="s">
        <v>698</v>
      </c>
      <c r="G279" s="177"/>
      <c r="H279" s="169"/>
      <c r="I279" s="177"/>
      <c r="J279" s="170"/>
      <c r="K279" s="170">
        <v>9883.1</v>
      </c>
      <c r="L279" s="170">
        <f>J279+K279</f>
        <v>9883.1</v>
      </c>
      <c r="M279" s="171"/>
      <c r="N279" s="172"/>
    </row>
    <row r="280" spans="1:14" ht="36.75" customHeight="1">
      <c r="A280" s="173" t="s">
        <v>699</v>
      </c>
      <c r="B280" s="159" t="s">
        <v>53</v>
      </c>
      <c r="C280" s="159" t="s">
        <v>396</v>
      </c>
      <c r="D280" s="159" t="s">
        <v>382</v>
      </c>
      <c r="E280" s="159" t="s">
        <v>672</v>
      </c>
      <c r="F280" s="159"/>
      <c r="G280" s="177"/>
      <c r="H280" s="169"/>
      <c r="I280" s="177"/>
      <c r="J280" s="170">
        <f>J281+J282</f>
        <v>19242.8</v>
      </c>
      <c r="K280" s="170">
        <f>K281+K282</f>
        <v>1751.2000000000007</v>
      </c>
      <c r="L280" s="170">
        <f>L281+L282</f>
        <v>20994</v>
      </c>
      <c r="M280" s="171"/>
      <c r="N280" s="172"/>
    </row>
    <row r="281" spans="1:17" ht="16.5" customHeight="1">
      <c r="A281" s="173" t="s">
        <v>696</v>
      </c>
      <c r="B281" s="159" t="s">
        <v>53</v>
      </c>
      <c r="C281" s="159" t="s">
        <v>396</v>
      </c>
      <c r="D281" s="159" t="s">
        <v>382</v>
      </c>
      <c r="E281" s="159" t="s">
        <v>672</v>
      </c>
      <c r="F281" s="159" t="s">
        <v>670</v>
      </c>
      <c r="G281" s="177"/>
      <c r="H281" s="169"/>
      <c r="I281" s="177"/>
      <c r="J281" s="170">
        <v>19242.8</v>
      </c>
      <c r="K281" s="170">
        <v>-19242.8</v>
      </c>
      <c r="L281" s="170">
        <f>J281+K281</f>
        <v>0</v>
      </c>
      <c r="M281" s="171"/>
      <c r="N281" s="172"/>
      <c r="O281" s="152">
        <v>17873.26</v>
      </c>
      <c r="Q281" s="247">
        <f>L281-O281</f>
        <v>-17873.26</v>
      </c>
    </row>
    <row r="282" spans="1:17" ht="16.5" customHeight="1">
      <c r="A282" s="213" t="s">
        <v>697</v>
      </c>
      <c r="B282" s="159" t="s">
        <v>53</v>
      </c>
      <c r="C282" s="159" t="s">
        <v>396</v>
      </c>
      <c r="D282" s="159" t="s">
        <v>382</v>
      </c>
      <c r="E282" s="159" t="s">
        <v>672</v>
      </c>
      <c r="F282" s="159" t="s">
        <v>698</v>
      </c>
      <c r="G282" s="177"/>
      <c r="H282" s="169"/>
      <c r="I282" s="177"/>
      <c r="J282" s="170"/>
      <c r="K282" s="170">
        <f>19242.8+1751.2</f>
        <v>20994</v>
      </c>
      <c r="L282" s="170">
        <f>J282+K282</f>
        <v>20994</v>
      </c>
      <c r="M282" s="171"/>
      <c r="N282" s="172"/>
      <c r="Q282" s="247"/>
    </row>
    <row r="283" spans="1:14" ht="56.25" customHeight="1">
      <c r="A283" s="231" t="s">
        <v>456</v>
      </c>
      <c r="B283" s="168" t="s">
        <v>53</v>
      </c>
      <c r="C283" s="168" t="s">
        <v>396</v>
      </c>
      <c r="D283" s="168" t="s">
        <v>384</v>
      </c>
      <c r="E283" s="168"/>
      <c r="F283" s="168"/>
      <c r="G283" s="155"/>
      <c r="H283" s="164"/>
      <c r="I283" s="155"/>
      <c r="J283" s="161">
        <f aca="true" t="shared" si="57" ref="J283:L285">J284</f>
        <v>5613.8</v>
      </c>
      <c r="K283" s="161">
        <f t="shared" si="57"/>
        <v>-5613.8</v>
      </c>
      <c r="L283" s="161">
        <f t="shared" si="57"/>
        <v>0</v>
      </c>
      <c r="M283" s="171"/>
      <c r="N283" s="172"/>
    </row>
    <row r="284" spans="1:14" ht="58.5" customHeight="1">
      <c r="A284" s="179" t="s">
        <v>674</v>
      </c>
      <c r="B284" s="159" t="s">
        <v>53</v>
      </c>
      <c r="C284" s="159" t="s">
        <v>396</v>
      </c>
      <c r="D284" s="159" t="s">
        <v>384</v>
      </c>
      <c r="E284" s="159" t="s">
        <v>675</v>
      </c>
      <c r="F284" s="159"/>
      <c r="G284" s="177"/>
      <c r="H284" s="169"/>
      <c r="I284" s="177"/>
      <c r="J284" s="170">
        <f t="shared" si="57"/>
        <v>5613.8</v>
      </c>
      <c r="K284" s="170">
        <f t="shared" si="57"/>
        <v>-5613.8</v>
      </c>
      <c r="L284" s="170">
        <f t="shared" si="57"/>
        <v>0</v>
      </c>
      <c r="M284" s="171"/>
      <c r="N284" s="172"/>
    </row>
    <row r="285" spans="1:14" ht="57" customHeight="1">
      <c r="A285" s="179" t="s">
        <v>682</v>
      </c>
      <c r="B285" s="159" t="s">
        <v>53</v>
      </c>
      <c r="C285" s="159" t="s">
        <v>396</v>
      </c>
      <c r="D285" s="159" t="s">
        <v>384</v>
      </c>
      <c r="E285" s="159" t="s">
        <v>683</v>
      </c>
      <c r="F285" s="159"/>
      <c r="G285" s="177"/>
      <c r="H285" s="169"/>
      <c r="I285" s="177"/>
      <c r="J285" s="170">
        <f t="shared" si="57"/>
        <v>5613.8</v>
      </c>
      <c r="K285" s="170">
        <f t="shared" si="57"/>
        <v>-5613.8</v>
      </c>
      <c r="L285" s="170">
        <f t="shared" si="57"/>
        <v>0</v>
      </c>
      <c r="M285" s="202"/>
      <c r="N285" s="245"/>
    </row>
    <row r="286" spans="1:14" ht="18" customHeight="1">
      <c r="A286" s="179" t="s">
        <v>678</v>
      </c>
      <c r="B286" s="159" t="s">
        <v>53</v>
      </c>
      <c r="C286" s="159" t="s">
        <v>396</v>
      </c>
      <c r="D286" s="159" t="s">
        <v>384</v>
      </c>
      <c r="E286" s="159" t="s">
        <v>683</v>
      </c>
      <c r="F286" s="159" t="s">
        <v>679</v>
      </c>
      <c r="G286" s="177"/>
      <c r="H286" s="177">
        <v>1762.3</v>
      </c>
      <c r="I286" s="177"/>
      <c r="J286" s="170">
        <v>5613.8</v>
      </c>
      <c r="K286" s="170">
        <v>-5613.8</v>
      </c>
      <c r="L286" s="170">
        <f>J286+K286</f>
        <v>0</v>
      </c>
      <c r="M286" s="202"/>
      <c r="N286" s="245"/>
    </row>
    <row r="287" spans="1:14" ht="27" thickBot="1">
      <c r="A287" s="204" t="s">
        <v>700</v>
      </c>
      <c r="B287" s="168" t="s">
        <v>701</v>
      </c>
      <c r="C287" s="168"/>
      <c r="D287" s="168"/>
      <c r="E287" s="168"/>
      <c r="F287" s="168"/>
      <c r="G287" s="161" t="e">
        <f>#REF!+G292</f>
        <v>#REF!</v>
      </c>
      <c r="H287" s="161" t="e">
        <f>#REF!+H292</f>
        <v>#REF!</v>
      </c>
      <c r="I287" s="161" t="e">
        <f>#REF!+I292</f>
        <v>#REF!</v>
      </c>
      <c r="J287" s="161">
        <f>J292+J288</f>
        <v>57415.78</v>
      </c>
      <c r="K287" s="161">
        <f>K292+K288</f>
        <v>-57415.78</v>
      </c>
      <c r="L287" s="161">
        <f>L292+L288</f>
        <v>0</v>
      </c>
      <c r="M287" s="225" t="e">
        <f>#REF!+M292</f>
        <v>#REF!</v>
      </c>
      <c r="N287" s="226" t="e">
        <f>#REF!+N292</f>
        <v>#REF!</v>
      </c>
    </row>
    <row r="288" spans="1:14" ht="28.5" customHeight="1">
      <c r="A288" s="167" t="s">
        <v>422</v>
      </c>
      <c r="B288" s="168" t="s">
        <v>701</v>
      </c>
      <c r="C288" s="168" t="s">
        <v>390</v>
      </c>
      <c r="D288" s="168" t="s">
        <v>390</v>
      </c>
      <c r="E288" s="168"/>
      <c r="F288" s="168"/>
      <c r="G288" s="155" t="e">
        <f aca="true" t="shared" si="58" ref="G288:N290">G289</f>
        <v>#REF!</v>
      </c>
      <c r="H288" s="155">
        <f t="shared" si="58"/>
        <v>0</v>
      </c>
      <c r="I288" s="155">
        <f t="shared" si="58"/>
        <v>0</v>
      </c>
      <c r="J288" s="161">
        <f t="shared" si="58"/>
        <v>1699</v>
      </c>
      <c r="K288" s="161">
        <f t="shared" si="58"/>
        <v>-1699</v>
      </c>
      <c r="L288" s="161">
        <f t="shared" si="58"/>
        <v>0</v>
      </c>
      <c r="M288" s="188">
        <f t="shared" si="58"/>
        <v>0</v>
      </c>
      <c r="N288" s="209">
        <f t="shared" si="58"/>
        <v>0</v>
      </c>
    </row>
    <row r="289" spans="1:14" ht="30" customHeight="1">
      <c r="A289" s="173" t="s">
        <v>573</v>
      </c>
      <c r="B289" s="159" t="s">
        <v>701</v>
      </c>
      <c r="C289" s="159" t="s">
        <v>390</v>
      </c>
      <c r="D289" s="159" t="s">
        <v>390</v>
      </c>
      <c r="E289" s="159" t="s">
        <v>574</v>
      </c>
      <c r="F289" s="159"/>
      <c r="G289" s="177" t="e">
        <f t="shared" si="58"/>
        <v>#REF!</v>
      </c>
      <c r="H289" s="177">
        <f t="shared" si="58"/>
        <v>0</v>
      </c>
      <c r="I289" s="177">
        <f t="shared" si="58"/>
        <v>0</v>
      </c>
      <c r="J289" s="170">
        <f t="shared" si="58"/>
        <v>1699</v>
      </c>
      <c r="K289" s="170">
        <f t="shared" si="58"/>
        <v>-1699</v>
      </c>
      <c r="L289" s="170">
        <f t="shared" si="58"/>
        <v>0</v>
      </c>
      <c r="M289" s="171">
        <f t="shared" si="58"/>
        <v>0</v>
      </c>
      <c r="N289" s="172">
        <f t="shared" si="58"/>
        <v>0</v>
      </c>
    </row>
    <row r="290" spans="1:14" ht="15" customHeight="1">
      <c r="A290" s="173" t="s">
        <v>575</v>
      </c>
      <c r="B290" s="159" t="s">
        <v>701</v>
      </c>
      <c r="C290" s="159" t="s">
        <v>390</v>
      </c>
      <c r="D290" s="159" t="s">
        <v>390</v>
      </c>
      <c r="E290" s="159" t="s">
        <v>576</v>
      </c>
      <c r="F290" s="159"/>
      <c r="G290" s="177" t="e">
        <f>G291+#REF!</f>
        <v>#REF!</v>
      </c>
      <c r="H290" s="169">
        <f t="shared" si="58"/>
        <v>0</v>
      </c>
      <c r="I290" s="177">
        <f t="shared" si="58"/>
        <v>0</v>
      </c>
      <c r="J290" s="170">
        <f t="shared" si="58"/>
        <v>1699</v>
      </c>
      <c r="K290" s="170">
        <f t="shared" si="58"/>
        <v>-1699</v>
      </c>
      <c r="L290" s="170">
        <f t="shared" si="58"/>
        <v>0</v>
      </c>
      <c r="M290" s="171">
        <f t="shared" si="58"/>
        <v>0</v>
      </c>
      <c r="N290" s="172">
        <f t="shared" si="58"/>
        <v>0</v>
      </c>
    </row>
    <row r="291" spans="1:15" ht="27.75" customHeight="1">
      <c r="A291" s="173" t="s">
        <v>504</v>
      </c>
      <c r="B291" s="159" t="s">
        <v>701</v>
      </c>
      <c r="C291" s="159" t="s">
        <v>390</v>
      </c>
      <c r="D291" s="159" t="s">
        <v>390</v>
      </c>
      <c r="E291" s="159" t="s">
        <v>576</v>
      </c>
      <c r="F291" s="159" t="s">
        <v>494</v>
      </c>
      <c r="G291" s="177">
        <v>321</v>
      </c>
      <c r="H291" s="169"/>
      <c r="I291" s="177"/>
      <c r="J291" s="170">
        <v>1699</v>
      </c>
      <c r="K291" s="170">
        <v>-1699</v>
      </c>
      <c r="L291" s="170">
        <f>J291+K291</f>
        <v>0</v>
      </c>
      <c r="M291" s="171"/>
      <c r="N291" s="172">
        <f>L291+M291</f>
        <v>0</v>
      </c>
      <c r="O291" s="152">
        <v>1699</v>
      </c>
    </row>
    <row r="292" spans="1:14" ht="15">
      <c r="A292" s="231" t="s">
        <v>438</v>
      </c>
      <c r="B292" s="168" t="s">
        <v>701</v>
      </c>
      <c r="C292" s="168" t="s">
        <v>437</v>
      </c>
      <c r="D292" s="168"/>
      <c r="E292" s="168"/>
      <c r="F292" s="168"/>
      <c r="G292" s="161" t="e">
        <f aca="true" t="shared" si="59" ref="G292:N292">G293+G300+G310+G361</f>
        <v>#REF!</v>
      </c>
      <c r="H292" s="161">
        <f t="shared" si="59"/>
        <v>42153.4</v>
      </c>
      <c r="I292" s="161">
        <f t="shared" si="59"/>
        <v>0</v>
      </c>
      <c r="J292" s="161">
        <f t="shared" si="59"/>
        <v>55716.78</v>
      </c>
      <c r="K292" s="161">
        <f t="shared" si="59"/>
        <v>-55716.78</v>
      </c>
      <c r="L292" s="161">
        <f t="shared" si="59"/>
        <v>0</v>
      </c>
      <c r="M292" s="174">
        <f t="shared" si="59"/>
        <v>135.5</v>
      </c>
      <c r="N292" s="175">
        <f t="shared" si="59"/>
        <v>135.5</v>
      </c>
    </row>
    <row r="293" spans="1:14" ht="15">
      <c r="A293" s="230" t="s">
        <v>440</v>
      </c>
      <c r="B293" s="168" t="s">
        <v>701</v>
      </c>
      <c r="C293" s="168" t="s">
        <v>437</v>
      </c>
      <c r="D293" s="168" t="s">
        <v>382</v>
      </c>
      <c r="E293" s="168"/>
      <c r="F293" s="168"/>
      <c r="G293" s="155" t="e">
        <f aca="true" t="shared" si="60" ref="G293:M293">G294+G296</f>
        <v>#REF!</v>
      </c>
      <c r="H293" s="164">
        <f t="shared" si="60"/>
        <v>1925.2</v>
      </c>
      <c r="I293" s="155">
        <f t="shared" si="60"/>
        <v>0</v>
      </c>
      <c r="J293" s="161">
        <f>J294+J296+J298</f>
        <v>1606.18</v>
      </c>
      <c r="K293" s="161">
        <f>K294+K296+K298</f>
        <v>-1606.18</v>
      </c>
      <c r="L293" s="161">
        <f>L294+L296+L298</f>
        <v>0</v>
      </c>
      <c r="M293" s="188">
        <f t="shared" si="60"/>
        <v>0</v>
      </c>
      <c r="N293" s="209">
        <f>N294+N296</f>
        <v>0</v>
      </c>
    </row>
    <row r="294" spans="1:14" ht="75" customHeight="1" hidden="1">
      <c r="A294" s="230" t="s">
        <v>703</v>
      </c>
      <c r="B294" s="159" t="s">
        <v>701</v>
      </c>
      <c r="C294" s="159" t="s">
        <v>437</v>
      </c>
      <c r="D294" s="159" t="s">
        <v>382</v>
      </c>
      <c r="E294" s="159" t="s">
        <v>704</v>
      </c>
      <c r="F294" s="159"/>
      <c r="G294" s="177">
        <f aca="true" t="shared" si="61" ref="G294:N294">G295</f>
        <v>-227</v>
      </c>
      <c r="H294" s="177">
        <f t="shared" si="61"/>
        <v>1925.2</v>
      </c>
      <c r="I294" s="177">
        <f t="shared" si="61"/>
        <v>0</v>
      </c>
      <c r="J294" s="170">
        <f t="shared" si="61"/>
        <v>0</v>
      </c>
      <c r="K294" s="170">
        <f t="shared" si="61"/>
        <v>0</v>
      </c>
      <c r="L294" s="170">
        <f t="shared" si="61"/>
        <v>0</v>
      </c>
      <c r="M294" s="171">
        <f t="shared" si="61"/>
        <v>0</v>
      </c>
      <c r="N294" s="172">
        <f t="shared" si="61"/>
        <v>0</v>
      </c>
    </row>
    <row r="295" spans="1:14" ht="15" customHeight="1" hidden="1">
      <c r="A295" s="230" t="s">
        <v>602</v>
      </c>
      <c r="B295" s="159" t="s">
        <v>701</v>
      </c>
      <c r="C295" s="159" t="s">
        <v>437</v>
      </c>
      <c r="D295" s="159" t="s">
        <v>382</v>
      </c>
      <c r="E295" s="159" t="s">
        <v>704</v>
      </c>
      <c r="F295" s="159" t="s">
        <v>603</v>
      </c>
      <c r="G295" s="177">
        <f>-227</f>
        <v>-227</v>
      </c>
      <c r="H295" s="169">
        <v>1925.2</v>
      </c>
      <c r="I295" s="177"/>
      <c r="J295" s="170"/>
      <c r="K295" s="170"/>
      <c r="L295" s="170">
        <f>J295+K295</f>
        <v>0</v>
      </c>
      <c r="M295" s="171"/>
      <c r="N295" s="172">
        <f>L295+M295</f>
        <v>0</v>
      </c>
    </row>
    <row r="296" spans="1:14" ht="39">
      <c r="A296" s="230" t="s">
        <v>705</v>
      </c>
      <c r="B296" s="159" t="s">
        <v>701</v>
      </c>
      <c r="C296" s="159" t="s">
        <v>437</v>
      </c>
      <c r="D296" s="159" t="s">
        <v>382</v>
      </c>
      <c r="E296" s="159" t="s">
        <v>706</v>
      </c>
      <c r="F296" s="159"/>
      <c r="G296" s="177" t="e">
        <f aca="true" t="shared" si="62" ref="G296:N296">G297</f>
        <v>#REF!</v>
      </c>
      <c r="H296" s="169">
        <f t="shared" si="62"/>
        <v>0</v>
      </c>
      <c r="I296" s="177">
        <f t="shared" si="62"/>
        <v>0</v>
      </c>
      <c r="J296" s="170">
        <f t="shared" si="62"/>
        <v>83.18</v>
      </c>
      <c r="K296" s="170">
        <f t="shared" si="62"/>
        <v>-83.18</v>
      </c>
      <c r="L296" s="170">
        <f t="shared" si="62"/>
        <v>0</v>
      </c>
      <c r="M296" s="171">
        <f t="shared" si="62"/>
        <v>0</v>
      </c>
      <c r="N296" s="172">
        <f t="shared" si="62"/>
        <v>0</v>
      </c>
    </row>
    <row r="297" spans="1:15" ht="15">
      <c r="A297" s="230" t="s">
        <v>602</v>
      </c>
      <c r="B297" s="159" t="s">
        <v>701</v>
      </c>
      <c r="C297" s="159" t="s">
        <v>437</v>
      </c>
      <c r="D297" s="159" t="s">
        <v>382</v>
      </c>
      <c r="E297" s="159" t="s">
        <v>706</v>
      </c>
      <c r="F297" s="159" t="s">
        <v>603</v>
      </c>
      <c r="G297" s="169" t="e">
        <f>H297-#REF!</f>
        <v>#REF!</v>
      </c>
      <c r="H297" s="169"/>
      <c r="I297" s="169"/>
      <c r="J297" s="170">
        <v>83.18</v>
      </c>
      <c r="K297" s="170">
        <v>-83.18</v>
      </c>
      <c r="L297" s="170">
        <f>J297+K297</f>
        <v>0</v>
      </c>
      <c r="M297" s="171"/>
      <c r="N297" s="172">
        <f>L297+M297</f>
        <v>0</v>
      </c>
      <c r="O297" s="247" t="e">
        <f>L297-#REF!</f>
        <v>#REF!</v>
      </c>
    </row>
    <row r="298" spans="1:14" ht="51.75">
      <c r="A298" s="230" t="s">
        <v>703</v>
      </c>
      <c r="B298" s="159" t="s">
        <v>701</v>
      </c>
      <c r="C298" s="159" t="s">
        <v>437</v>
      </c>
      <c r="D298" s="159" t="s">
        <v>382</v>
      </c>
      <c r="E298" s="159" t="s">
        <v>707</v>
      </c>
      <c r="F298" s="159"/>
      <c r="G298" s="169"/>
      <c r="H298" s="169"/>
      <c r="I298" s="169"/>
      <c r="J298" s="170">
        <f>J299</f>
        <v>1523</v>
      </c>
      <c r="K298" s="170">
        <f>K299</f>
        <v>-1523</v>
      </c>
      <c r="L298" s="170">
        <f>L299</f>
        <v>0</v>
      </c>
      <c r="M298" s="171"/>
      <c r="N298" s="172"/>
    </row>
    <row r="299" spans="1:17" ht="15">
      <c r="A299" s="230" t="s">
        <v>602</v>
      </c>
      <c r="B299" s="159" t="s">
        <v>701</v>
      </c>
      <c r="C299" s="159" t="s">
        <v>437</v>
      </c>
      <c r="D299" s="159" t="s">
        <v>382</v>
      </c>
      <c r="E299" s="159" t="s">
        <v>707</v>
      </c>
      <c r="F299" s="159" t="s">
        <v>603</v>
      </c>
      <c r="G299" s="169"/>
      <c r="H299" s="169"/>
      <c r="I299" s="169"/>
      <c r="J299" s="170">
        <v>1523</v>
      </c>
      <c r="K299" s="170">
        <v>-1523</v>
      </c>
      <c r="L299" s="170">
        <f>J299+K299</f>
        <v>0</v>
      </c>
      <c r="M299" s="171"/>
      <c r="N299" s="172"/>
      <c r="O299" s="448">
        <v>1523</v>
      </c>
      <c r="Q299" s="247">
        <f>L299-O299</f>
        <v>-1523</v>
      </c>
    </row>
    <row r="300" spans="1:14" ht="15">
      <c r="A300" s="231" t="s">
        <v>441</v>
      </c>
      <c r="B300" s="168" t="s">
        <v>701</v>
      </c>
      <c r="C300" s="168" t="s">
        <v>437</v>
      </c>
      <c r="D300" s="168" t="s">
        <v>383</v>
      </c>
      <c r="E300" s="168"/>
      <c r="F300" s="168"/>
      <c r="G300" s="155">
        <f aca="true" t="shared" si="63" ref="G300:M300">G305+G301+G303</f>
        <v>6</v>
      </c>
      <c r="H300" s="155">
        <f t="shared" si="63"/>
        <v>4331.9</v>
      </c>
      <c r="I300" s="155">
        <f t="shared" si="63"/>
        <v>0</v>
      </c>
      <c r="J300" s="161">
        <f>J305+J301+J303+J308</f>
        <v>6938.29</v>
      </c>
      <c r="K300" s="161">
        <f>K305+K301+K303+K308</f>
        <v>-6938.29</v>
      </c>
      <c r="L300" s="161">
        <f>L305+L301+L303+L308</f>
        <v>0</v>
      </c>
      <c r="M300" s="188">
        <f t="shared" si="63"/>
        <v>182.5</v>
      </c>
      <c r="N300" s="248">
        <f>N305+N301+N303</f>
        <v>182.5</v>
      </c>
    </row>
    <row r="301" spans="1:14" ht="63.75">
      <c r="A301" s="208" t="s">
        <v>708</v>
      </c>
      <c r="B301" s="159" t="s">
        <v>701</v>
      </c>
      <c r="C301" s="159" t="s">
        <v>437</v>
      </c>
      <c r="D301" s="159" t="s">
        <v>383</v>
      </c>
      <c r="E301" s="159" t="s">
        <v>709</v>
      </c>
      <c r="F301" s="159"/>
      <c r="G301" s="177">
        <f aca="true" t="shared" si="64" ref="G301:N301">G302</f>
        <v>4570.299999999999</v>
      </c>
      <c r="H301" s="177">
        <f t="shared" si="64"/>
        <v>0</v>
      </c>
      <c r="I301" s="177">
        <f t="shared" si="64"/>
        <v>0</v>
      </c>
      <c r="J301" s="170">
        <f t="shared" si="64"/>
        <v>6587.4</v>
      </c>
      <c r="K301" s="170">
        <f t="shared" si="64"/>
        <v>-6587.4</v>
      </c>
      <c r="L301" s="170">
        <f t="shared" si="64"/>
        <v>0</v>
      </c>
      <c r="M301" s="171">
        <f t="shared" si="64"/>
        <v>250</v>
      </c>
      <c r="N301" s="172">
        <f t="shared" si="64"/>
        <v>250</v>
      </c>
    </row>
    <row r="302" spans="1:14" ht="26.25">
      <c r="A302" s="179" t="s">
        <v>493</v>
      </c>
      <c r="B302" s="159" t="s">
        <v>701</v>
      </c>
      <c r="C302" s="159" t="s">
        <v>437</v>
      </c>
      <c r="D302" s="159" t="s">
        <v>383</v>
      </c>
      <c r="E302" s="159" t="s">
        <v>709</v>
      </c>
      <c r="F302" s="159" t="s">
        <v>494</v>
      </c>
      <c r="G302" s="177">
        <f>4569.9+0.4</f>
        <v>4570.299999999999</v>
      </c>
      <c r="H302" s="169"/>
      <c r="I302" s="177"/>
      <c r="J302" s="170">
        <v>6587.4</v>
      </c>
      <c r="K302" s="170">
        <v>-6587.4</v>
      </c>
      <c r="L302" s="170">
        <f>J302+K302</f>
        <v>0</v>
      </c>
      <c r="M302" s="171">
        <v>250</v>
      </c>
      <c r="N302" s="172">
        <f>L302+M302</f>
        <v>250</v>
      </c>
    </row>
    <row r="303" spans="1:14" ht="80.25" customHeight="1" hidden="1">
      <c r="A303" s="230" t="s">
        <v>703</v>
      </c>
      <c r="B303" s="159" t="s">
        <v>701</v>
      </c>
      <c r="C303" s="159" t="s">
        <v>437</v>
      </c>
      <c r="D303" s="159" t="s">
        <v>383</v>
      </c>
      <c r="E303" s="159" t="s">
        <v>704</v>
      </c>
      <c r="F303" s="159"/>
      <c r="G303" s="177">
        <f aca="true" t="shared" si="65" ref="G303:N303">G304</f>
        <v>0</v>
      </c>
      <c r="H303" s="177">
        <f t="shared" si="65"/>
        <v>0</v>
      </c>
      <c r="I303" s="177">
        <f t="shared" si="65"/>
        <v>0</v>
      </c>
      <c r="J303" s="170">
        <f t="shared" si="65"/>
        <v>0</v>
      </c>
      <c r="K303" s="170">
        <f t="shared" si="65"/>
        <v>0</v>
      </c>
      <c r="L303" s="170">
        <f t="shared" si="65"/>
        <v>0</v>
      </c>
      <c r="M303" s="171">
        <f t="shared" si="65"/>
        <v>0</v>
      </c>
      <c r="N303" s="172">
        <f t="shared" si="65"/>
        <v>0</v>
      </c>
    </row>
    <row r="304" spans="1:14" ht="12.75" customHeight="1" hidden="1">
      <c r="A304" s="230" t="s">
        <v>602</v>
      </c>
      <c r="B304" s="159" t="s">
        <v>701</v>
      </c>
      <c r="C304" s="159" t="s">
        <v>437</v>
      </c>
      <c r="D304" s="159" t="s">
        <v>383</v>
      </c>
      <c r="E304" s="159" t="s">
        <v>704</v>
      </c>
      <c r="F304" s="159" t="s">
        <v>603</v>
      </c>
      <c r="G304" s="177">
        <v>0</v>
      </c>
      <c r="H304" s="169"/>
      <c r="I304" s="177">
        <v>0</v>
      </c>
      <c r="J304" s="170">
        <f>H304+I304</f>
        <v>0</v>
      </c>
      <c r="K304" s="170">
        <v>0</v>
      </c>
      <c r="L304" s="170">
        <f>J304+K304</f>
        <v>0</v>
      </c>
      <c r="M304" s="171">
        <v>0</v>
      </c>
      <c r="N304" s="172">
        <f>L304+M304</f>
        <v>0</v>
      </c>
    </row>
    <row r="305" spans="1:14" ht="30" customHeight="1" hidden="1">
      <c r="A305" s="179" t="s">
        <v>710</v>
      </c>
      <c r="B305" s="159" t="s">
        <v>701</v>
      </c>
      <c r="C305" s="159" t="s">
        <v>437</v>
      </c>
      <c r="D305" s="159" t="s">
        <v>383</v>
      </c>
      <c r="E305" s="159" t="s">
        <v>711</v>
      </c>
      <c r="F305" s="159"/>
      <c r="G305" s="177">
        <f aca="true" t="shared" si="66" ref="G305:N308">G306</f>
        <v>-4564.299999999999</v>
      </c>
      <c r="H305" s="177">
        <f t="shared" si="66"/>
        <v>4331.9</v>
      </c>
      <c r="I305" s="177">
        <f t="shared" si="66"/>
        <v>0</v>
      </c>
      <c r="J305" s="170">
        <f t="shared" si="66"/>
        <v>0</v>
      </c>
      <c r="K305" s="170">
        <f t="shared" si="66"/>
        <v>0</v>
      </c>
      <c r="L305" s="170">
        <f t="shared" si="66"/>
        <v>0</v>
      </c>
      <c r="M305" s="171">
        <f t="shared" si="66"/>
        <v>-67.5</v>
      </c>
      <c r="N305" s="172">
        <f t="shared" si="66"/>
        <v>-67.5</v>
      </c>
    </row>
    <row r="306" spans="1:14" ht="30" customHeight="1" hidden="1">
      <c r="A306" s="179" t="s">
        <v>497</v>
      </c>
      <c r="B306" s="159" t="s">
        <v>701</v>
      </c>
      <c r="C306" s="159" t="s">
        <v>437</v>
      </c>
      <c r="D306" s="159" t="s">
        <v>383</v>
      </c>
      <c r="E306" s="159" t="s">
        <v>712</v>
      </c>
      <c r="F306" s="159"/>
      <c r="G306" s="177">
        <f t="shared" si="66"/>
        <v>-4564.299999999999</v>
      </c>
      <c r="H306" s="177">
        <f t="shared" si="66"/>
        <v>4331.9</v>
      </c>
      <c r="I306" s="177">
        <f t="shared" si="66"/>
        <v>0</v>
      </c>
      <c r="J306" s="170">
        <f t="shared" si="66"/>
        <v>0</v>
      </c>
      <c r="K306" s="170">
        <f t="shared" si="66"/>
        <v>0</v>
      </c>
      <c r="L306" s="170">
        <f t="shared" si="66"/>
        <v>0</v>
      </c>
      <c r="M306" s="171">
        <f t="shared" si="66"/>
        <v>-67.5</v>
      </c>
      <c r="N306" s="172">
        <f t="shared" si="66"/>
        <v>-67.5</v>
      </c>
    </row>
    <row r="307" spans="1:14" ht="30" customHeight="1" hidden="1">
      <c r="A307" s="179" t="s">
        <v>493</v>
      </c>
      <c r="B307" s="159" t="s">
        <v>701</v>
      </c>
      <c r="C307" s="159" t="s">
        <v>437</v>
      </c>
      <c r="D307" s="159" t="s">
        <v>383</v>
      </c>
      <c r="E307" s="159" t="s">
        <v>712</v>
      </c>
      <c r="F307" s="159" t="s">
        <v>494</v>
      </c>
      <c r="G307" s="177">
        <f>6-15.4-4569.9+15</f>
        <v>-4564.299999999999</v>
      </c>
      <c r="H307" s="169">
        <v>4331.9</v>
      </c>
      <c r="I307" s="177"/>
      <c r="J307" s="170"/>
      <c r="K307" s="170"/>
      <c r="L307" s="170">
        <f>J307+K307</f>
        <v>0</v>
      </c>
      <c r="M307" s="171">
        <f>-17.5-50</f>
        <v>-67.5</v>
      </c>
      <c r="N307" s="172">
        <f>L307+M307</f>
        <v>-67.5</v>
      </c>
    </row>
    <row r="308" spans="1:14" ht="26.25">
      <c r="A308" s="179" t="s">
        <v>497</v>
      </c>
      <c r="B308" s="159" t="s">
        <v>701</v>
      </c>
      <c r="C308" s="159" t="s">
        <v>437</v>
      </c>
      <c r="D308" s="159" t="s">
        <v>383</v>
      </c>
      <c r="E308" s="159" t="s">
        <v>713</v>
      </c>
      <c r="F308" s="159"/>
      <c r="G308" s="177"/>
      <c r="H308" s="169"/>
      <c r="I308" s="177"/>
      <c r="J308" s="170">
        <f t="shared" si="66"/>
        <v>350.89</v>
      </c>
      <c r="K308" s="170">
        <f t="shared" si="66"/>
        <v>-350.89</v>
      </c>
      <c r="L308" s="170">
        <f t="shared" si="66"/>
        <v>0</v>
      </c>
      <c r="M308" s="171"/>
      <c r="N308" s="172"/>
    </row>
    <row r="309" spans="1:14" ht="26.25">
      <c r="A309" s="179" t="s">
        <v>493</v>
      </c>
      <c r="B309" s="159" t="s">
        <v>701</v>
      </c>
      <c r="C309" s="159" t="s">
        <v>437</v>
      </c>
      <c r="D309" s="159" t="s">
        <v>383</v>
      </c>
      <c r="E309" s="159" t="s">
        <v>713</v>
      </c>
      <c r="F309" s="159" t="s">
        <v>494</v>
      </c>
      <c r="G309" s="177"/>
      <c r="H309" s="169"/>
      <c r="I309" s="177"/>
      <c r="J309" s="170">
        <v>350.89</v>
      </c>
      <c r="K309" s="170">
        <v>-350.89</v>
      </c>
      <c r="L309" s="170">
        <f>J309+K309</f>
        <v>0</v>
      </c>
      <c r="M309" s="171"/>
      <c r="N309" s="172"/>
    </row>
    <row r="310" spans="1:14" ht="15">
      <c r="A310" s="231" t="s">
        <v>599</v>
      </c>
      <c r="B310" s="168" t="s">
        <v>701</v>
      </c>
      <c r="C310" s="168" t="s">
        <v>437</v>
      </c>
      <c r="D310" s="168" t="s">
        <v>384</v>
      </c>
      <c r="E310" s="168"/>
      <c r="F310" s="168"/>
      <c r="G310" s="161">
        <f aca="true" t="shared" si="67" ref="G310:M310">G313+G358+G311</f>
        <v>3317.9229300000006</v>
      </c>
      <c r="H310" s="161">
        <f t="shared" si="67"/>
        <v>34738.200000000004</v>
      </c>
      <c r="I310" s="161">
        <f t="shared" si="67"/>
        <v>0</v>
      </c>
      <c r="J310" s="161">
        <f>J313+J358+J311</f>
        <v>45245.2</v>
      </c>
      <c r="K310" s="161">
        <f t="shared" si="67"/>
        <v>-45245.2</v>
      </c>
      <c r="L310" s="161">
        <f t="shared" si="67"/>
        <v>0</v>
      </c>
      <c r="M310" s="188">
        <f t="shared" si="67"/>
        <v>122</v>
      </c>
      <c r="N310" s="209">
        <f>N313+N358+N311</f>
        <v>122</v>
      </c>
    </row>
    <row r="311" spans="1:14" ht="75" customHeight="1" hidden="1">
      <c r="A311" s="176" t="s">
        <v>489</v>
      </c>
      <c r="B311" s="168" t="s">
        <v>701</v>
      </c>
      <c r="C311" s="168" t="s">
        <v>437</v>
      </c>
      <c r="D311" s="168" t="s">
        <v>384</v>
      </c>
      <c r="E311" s="168" t="s">
        <v>490</v>
      </c>
      <c r="F311" s="168"/>
      <c r="G311" s="155">
        <f aca="true" t="shared" si="68" ref="G311:N311">G312</f>
        <v>3</v>
      </c>
      <c r="H311" s="155">
        <f t="shared" si="68"/>
        <v>0</v>
      </c>
      <c r="I311" s="155">
        <f t="shared" si="68"/>
        <v>0</v>
      </c>
      <c r="J311" s="161">
        <f t="shared" si="68"/>
        <v>0</v>
      </c>
      <c r="K311" s="161">
        <f t="shared" si="68"/>
        <v>0</v>
      </c>
      <c r="L311" s="161">
        <f t="shared" si="68"/>
        <v>0</v>
      </c>
      <c r="M311" s="188">
        <f t="shared" si="68"/>
        <v>0</v>
      </c>
      <c r="N311" s="209">
        <f t="shared" si="68"/>
        <v>0</v>
      </c>
    </row>
    <row r="312" spans="1:14" ht="15" customHeight="1" hidden="1">
      <c r="A312" s="230" t="s">
        <v>602</v>
      </c>
      <c r="B312" s="168" t="s">
        <v>701</v>
      </c>
      <c r="C312" s="168" t="s">
        <v>437</v>
      </c>
      <c r="D312" s="168" t="s">
        <v>384</v>
      </c>
      <c r="E312" s="168" t="s">
        <v>490</v>
      </c>
      <c r="F312" s="168" t="s">
        <v>603</v>
      </c>
      <c r="G312" s="155">
        <v>3</v>
      </c>
      <c r="H312" s="169"/>
      <c r="I312" s="155"/>
      <c r="J312" s="170">
        <f>H312+I312</f>
        <v>0</v>
      </c>
      <c r="K312" s="161"/>
      <c r="L312" s="170">
        <f>J312+K312</f>
        <v>0</v>
      </c>
      <c r="M312" s="188"/>
      <c r="N312" s="172">
        <f>L312+M312</f>
        <v>0</v>
      </c>
    </row>
    <row r="313" spans="1:14" ht="15">
      <c r="A313" s="179" t="s">
        <v>714</v>
      </c>
      <c r="B313" s="159" t="s">
        <v>701</v>
      </c>
      <c r="C313" s="159" t="s">
        <v>437</v>
      </c>
      <c r="D313" s="159" t="s">
        <v>384</v>
      </c>
      <c r="E313" s="159" t="s">
        <v>715</v>
      </c>
      <c r="F313" s="159"/>
      <c r="G313" s="170">
        <f aca="true" t="shared" si="69" ref="G313:M313">G314+G316+G319++G321+G323+G325+G328+G330+G332+G334++G337+G350+G352+G354+G356+G348</f>
        <v>6827.922930000001</v>
      </c>
      <c r="H313" s="170">
        <f t="shared" si="69"/>
        <v>31056.600000000002</v>
      </c>
      <c r="I313" s="170">
        <f t="shared" si="69"/>
        <v>0</v>
      </c>
      <c r="J313" s="170">
        <f>J314+J316+J319++J321+J323+J325+J328+J330+J332+J334++J337+J350+J352+J354+J356+J348+J341+J343+J345</f>
        <v>45245.2</v>
      </c>
      <c r="K313" s="170">
        <f>K314+K316+K319++K321+K323+K325+K328+K330+K332+K334++K337+K350+K352+K354+K356+K348+K341+K343+K345</f>
        <v>-45245.2</v>
      </c>
      <c r="L313" s="170">
        <f>L314+L316+L319++L321+L323+L325+L328+L330+L332+L334++L337+L350+L352+L354+L356+L348+L341+L343+L345</f>
        <v>0</v>
      </c>
      <c r="M313" s="171">
        <f t="shared" si="69"/>
        <v>122</v>
      </c>
      <c r="N313" s="178">
        <f>N314+N316+N319++N321+N323+N325+N328+N330+N332+N334++N337+N350+N352+N354+N356+N348</f>
        <v>122</v>
      </c>
    </row>
    <row r="314" spans="1:14" ht="90" customHeight="1" hidden="1">
      <c r="A314" s="230" t="s">
        <v>716</v>
      </c>
      <c r="B314" s="159" t="s">
        <v>701</v>
      </c>
      <c r="C314" s="159" t="s">
        <v>437</v>
      </c>
      <c r="D314" s="159" t="s">
        <v>384</v>
      </c>
      <c r="E314" s="159" t="s">
        <v>717</v>
      </c>
      <c r="F314" s="159"/>
      <c r="G314" s="177">
        <f aca="true" t="shared" si="70" ref="G314:N314">G315</f>
        <v>-206</v>
      </c>
      <c r="H314" s="177">
        <f t="shared" si="70"/>
        <v>215.9</v>
      </c>
      <c r="I314" s="177">
        <f t="shared" si="70"/>
        <v>0</v>
      </c>
      <c r="J314" s="170">
        <f t="shared" si="70"/>
        <v>0</v>
      </c>
      <c r="K314" s="170">
        <f t="shared" si="70"/>
        <v>0</v>
      </c>
      <c r="L314" s="170">
        <f t="shared" si="70"/>
        <v>0</v>
      </c>
      <c r="M314" s="171">
        <f t="shared" si="70"/>
        <v>0</v>
      </c>
      <c r="N314" s="172">
        <f t="shared" si="70"/>
        <v>0</v>
      </c>
    </row>
    <row r="315" spans="1:14" ht="15" customHeight="1" hidden="1">
      <c r="A315" s="230" t="s">
        <v>602</v>
      </c>
      <c r="B315" s="159" t="s">
        <v>701</v>
      </c>
      <c r="C315" s="159" t="s">
        <v>437</v>
      </c>
      <c r="D315" s="159" t="s">
        <v>384</v>
      </c>
      <c r="E315" s="159" t="s">
        <v>717</v>
      </c>
      <c r="F315" s="159" t="s">
        <v>603</v>
      </c>
      <c r="G315" s="177">
        <v>-206</v>
      </c>
      <c r="H315" s="169">
        <v>215.9</v>
      </c>
      <c r="I315" s="177"/>
      <c r="J315" s="170"/>
      <c r="K315" s="170"/>
      <c r="L315" s="170">
        <f>J315+K315</f>
        <v>0</v>
      </c>
      <c r="M315" s="171"/>
      <c r="N315" s="172">
        <f>L315+M315</f>
        <v>0</v>
      </c>
    </row>
    <row r="316" spans="1:14" ht="39">
      <c r="A316" s="230" t="s">
        <v>718</v>
      </c>
      <c r="B316" s="159" t="s">
        <v>701</v>
      </c>
      <c r="C316" s="159" t="s">
        <v>437</v>
      </c>
      <c r="D316" s="159" t="s">
        <v>384</v>
      </c>
      <c r="E316" s="159" t="s">
        <v>719</v>
      </c>
      <c r="F316" s="159"/>
      <c r="G316" s="170">
        <f aca="true" t="shared" si="71" ref="G316:M316">G317+G318</f>
        <v>27.99813</v>
      </c>
      <c r="H316" s="170">
        <f t="shared" si="71"/>
        <v>87.7</v>
      </c>
      <c r="I316" s="170">
        <f t="shared" si="71"/>
        <v>0</v>
      </c>
      <c r="J316" s="170">
        <f t="shared" si="71"/>
        <v>125</v>
      </c>
      <c r="K316" s="170">
        <f t="shared" si="71"/>
        <v>-125</v>
      </c>
      <c r="L316" s="170">
        <f t="shared" si="71"/>
        <v>0</v>
      </c>
      <c r="M316" s="171">
        <f t="shared" si="71"/>
        <v>0</v>
      </c>
      <c r="N316" s="172">
        <f>N317+N318</f>
        <v>0</v>
      </c>
    </row>
    <row r="317" spans="1:14" ht="30" customHeight="1" hidden="1">
      <c r="A317" s="230" t="s">
        <v>493</v>
      </c>
      <c r="B317" s="159" t="s">
        <v>701</v>
      </c>
      <c r="C317" s="159" t="s">
        <v>437</v>
      </c>
      <c r="D317" s="159" t="s">
        <v>384</v>
      </c>
      <c r="E317" s="159" t="s">
        <v>719</v>
      </c>
      <c r="F317" s="159" t="s">
        <v>494</v>
      </c>
      <c r="G317" s="177"/>
      <c r="H317" s="169">
        <v>87.7</v>
      </c>
      <c r="I317" s="177"/>
      <c r="J317" s="170"/>
      <c r="K317" s="170"/>
      <c r="L317" s="170">
        <f>J317+K317</f>
        <v>0</v>
      </c>
      <c r="M317" s="171"/>
      <c r="N317" s="172">
        <f>L317+M317</f>
        <v>0</v>
      </c>
    </row>
    <row r="318" spans="1:15" ht="15">
      <c r="A318" s="230" t="s">
        <v>602</v>
      </c>
      <c r="B318" s="159" t="s">
        <v>701</v>
      </c>
      <c r="C318" s="159" t="s">
        <v>437</v>
      </c>
      <c r="D318" s="159" t="s">
        <v>384</v>
      </c>
      <c r="E318" s="159" t="s">
        <v>719</v>
      </c>
      <c r="F318" s="159" t="s">
        <v>603</v>
      </c>
      <c r="G318" s="177">
        <v>27.99813</v>
      </c>
      <c r="H318" s="169"/>
      <c r="I318" s="177"/>
      <c r="J318" s="170">
        <v>125</v>
      </c>
      <c r="K318" s="170">
        <v>-125</v>
      </c>
      <c r="L318" s="170">
        <f>J318+K318</f>
        <v>0</v>
      </c>
      <c r="M318" s="171"/>
      <c r="N318" s="172">
        <f>L318+M318</f>
        <v>0</v>
      </c>
      <c r="O318" s="152">
        <v>125</v>
      </c>
    </row>
    <row r="319" spans="1:14" ht="30" customHeight="1" hidden="1">
      <c r="A319" s="230" t="s">
        <v>720</v>
      </c>
      <c r="B319" s="159" t="s">
        <v>701</v>
      </c>
      <c r="C319" s="159" t="s">
        <v>437</v>
      </c>
      <c r="D319" s="159" t="s">
        <v>384</v>
      </c>
      <c r="E319" s="159" t="s">
        <v>721</v>
      </c>
      <c r="F319" s="159"/>
      <c r="G319" s="177">
        <f aca="true" t="shared" si="72" ref="G319:N319">G320</f>
        <v>0</v>
      </c>
      <c r="H319" s="177">
        <f t="shared" si="72"/>
        <v>7457.6</v>
      </c>
      <c r="I319" s="177">
        <f t="shared" si="72"/>
        <v>0</v>
      </c>
      <c r="J319" s="170">
        <f t="shared" si="72"/>
        <v>0</v>
      </c>
      <c r="K319" s="170">
        <f t="shared" si="72"/>
        <v>0</v>
      </c>
      <c r="L319" s="170">
        <f t="shared" si="72"/>
        <v>0</v>
      </c>
      <c r="M319" s="171">
        <f t="shared" si="72"/>
        <v>0</v>
      </c>
      <c r="N319" s="172">
        <f t="shared" si="72"/>
        <v>0</v>
      </c>
    </row>
    <row r="320" spans="1:14" ht="15" customHeight="1" hidden="1">
      <c r="A320" s="230" t="s">
        <v>722</v>
      </c>
      <c r="B320" s="159" t="s">
        <v>701</v>
      </c>
      <c r="C320" s="159" t="s">
        <v>437</v>
      </c>
      <c r="D320" s="159" t="s">
        <v>384</v>
      </c>
      <c r="E320" s="159" t="s">
        <v>721</v>
      </c>
      <c r="F320" s="159" t="s">
        <v>603</v>
      </c>
      <c r="G320" s="177">
        <f>-2752.3+2752.3</f>
        <v>0</v>
      </c>
      <c r="H320" s="169">
        <v>7457.6</v>
      </c>
      <c r="I320" s="177"/>
      <c r="J320" s="170"/>
      <c r="K320" s="170"/>
      <c r="L320" s="170">
        <f>J320+K320</f>
        <v>0</v>
      </c>
      <c r="M320" s="171"/>
      <c r="N320" s="172">
        <f>L320+M320</f>
        <v>0</v>
      </c>
    </row>
    <row r="321" spans="1:14" ht="15" customHeight="1" hidden="1">
      <c r="A321" s="208" t="s">
        <v>722</v>
      </c>
      <c r="B321" s="159" t="s">
        <v>701</v>
      </c>
      <c r="C321" s="159" t="s">
        <v>437</v>
      </c>
      <c r="D321" s="159" t="s">
        <v>384</v>
      </c>
      <c r="E321" s="159" t="s">
        <v>723</v>
      </c>
      <c r="F321" s="159"/>
      <c r="G321" s="170">
        <f aca="true" t="shared" si="73" ref="G321:N321">G322</f>
        <v>353.22045</v>
      </c>
      <c r="H321" s="170">
        <f t="shared" si="73"/>
        <v>0</v>
      </c>
      <c r="I321" s="170">
        <f t="shared" si="73"/>
        <v>0</v>
      </c>
      <c r="J321" s="170">
        <f t="shared" si="73"/>
        <v>0</v>
      </c>
      <c r="K321" s="170">
        <f t="shared" si="73"/>
        <v>0</v>
      </c>
      <c r="L321" s="170">
        <f t="shared" si="73"/>
        <v>0</v>
      </c>
      <c r="M321" s="171">
        <f t="shared" si="73"/>
        <v>0</v>
      </c>
      <c r="N321" s="172">
        <f t="shared" si="73"/>
        <v>0</v>
      </c>
    </row>
    <row r="322" spans="1:14" ht="15" customHeight="1" hidden="1">
      <c r="A322" s="230" t="s">
        <v>602</v>
      </c>
      <c r="B322" s="159" t="s">
        <v>701</v>
      </c>
      <c r="C322" s="159" t="s">
        <v>437</v>
      </c>
      <c r="D322" s="159" t="s">
        <v>384</v>
      </c>
      <c r="E322" s="159" t="s">
        <v>723</v>
      </c>
      <c r="F322" s="159" t="s">
        <v>603</v>
      </c>
      <c r="G322" s="170">
        <v>353.22045</v>
      </c>
      <c r="H322" s="169"/>
      <c r="I322" s="170"/>
      <c r="J322" s="170">
        <f>H322+I322</f>
        <v>0</v>
      </c>
      <c r="K322" s="170"/>
      <c r="L322" s="170">
        <f>J322+K322</f>
        <v>0</v>
      </c>
      <c r="M322" s="171"/>
      <c r="N322" s="172">
        <f>L322+M322</f>
        <v>0</v>
      </c>
    </row>
    <row r="323" spans="1:14" ht="45" customHeight="1" hidden="1">
      <c r="A323" s="208" t="s">
        <v>724</v>
      </c>
      <c r="B323" s="159" t="s">
        <v>701</v>
      </c>
      <c r="C323" s="159" t="s">
        <v>437</v>
      </c>
      <c r="D323" s="159" t="s">
        <v>384</v>
      </c>
      <c r="E323" s="159" t="s">
        <v>725</v>
      </c>
      <c r="F323" s="159"/>
      <c r="G323" s="170">
        <f aca="true" t="shared" si="74" ref="G323:N323">G324</f>
        <v>909.37545</v>
      </c>
      <c r="H323" s="177">
        <f t="shared" si="74"/>
        <v>0</v>
      </c>
      <c r="I323" s="170">
        <f t="shared" si="74"/>
        <v>0</v>
      </c>
      <c r="J323" s="170">
        <f t="shared" si="74"/>
        <v>0</v>
      </c>
      <c r="K323" s="170">
        <f t="shared" si="74"/>
        <v>0</v>
      </c>
      <c r="L323" s="170">
        <f t="shared" si="74"/>
        <v>0</v>
      </c>
      <c r="M323" s="171">
        <f t="shared" si="74"/>
        <v>0</v>
      </c>
      <c r="N323" s="172">
        <f t="shared" si="74"/>
        <v>0</v>
      </c>
    </row>
    <row r="324" spans="1:14" ht="15" customHeight="1" hidden="1">
      <c r="A324" s="230" t="s">
        <v>602</v>
      </c>
      <c r="B324" s="159" t="s">
        <v>701</v>
      </c>
      <c r="C324" s="159" t="s">
        <v>437</v>
      </c>
      <c r="D324" s="159" t="s">
        <v>384</v>
      </c>
      <c r="E324" s="159" t="s">
        <v>725</v>
      </c>
      <c r="F324" s="159" t="s">
        <v>603</v>
      </c>
      <c r="G324" s="170">
        <f>0.17545+909.2</f>
        <v>909.37545</v>
      </c>
      <c r="H324" s="169"/>
      <c r="I324" s="170"/>
      <c r="J324" s="170">
        <f>H324+I324</f>
        <v>0</v>
      </c>
      <c r="K324" s="170"/>
      <c r="L324" s="170">
        <f>J324+K324</f>
        <v>0</v>
      </c>
      <c r="M324" s="171"/>
      <c r="N324" s="172">
        <f>L324+M324</f>
        <v>0</v>
      </c>
    </row>
    <row r="325" spans="1:14" ht="45" customHeight="1" hidden="1">
      <c r="A325" s="230" t="s">
        <v>724</v>
      </c>
      <c r="B325" s="159" t="s">
        <v>701</v>
      </c>
      <c r="C325" s="159" t="s">
        <v>437</v>
      </c>
      <c r="D325" s="159" t="s">
        <v>384</v>
      </c>
      <c r="E325" s="159" t="s">
        <v>726</v>
      </c>
      <c r="F325" s="159"/>
      <c r="G325" s="170">
        <f aca="true" t="shared" si="75" ref="G325:M325">G326+G327</f>
        <v>-997.68505</v>
      </c>
      <c r="H325" s="170">
        <f t="shared" si="75"/>
        <v>1557.3</v>
      </c>
      <c r="I325" s="170">
        <f t="shared" si="75"/>
        <v>0</v>
      </c>
      <c r="J325" s="170">
        <f t="shared" si="75"/>
        <v>0</v>
      </c>
      <c r="K325" s="170">
        <f t="shared" si="75"/>
        <v>0</v>
      </c>
      <c r="L325" s="170">
        <f t="shared" si="75"/>
        <v>0</v>
      </c>
      <c r="M325" s="171">
        <f t="shared" si="75"/>
        <v>0</v>
      </c>
      <c r="N325" s="172">
        <f>N326+N327</f>
        <v>0</v>
      </c>
    </row>
    <row r="326" spans="1:14" ht="30" customHeight="1" hidden="1">
      <c r="A326" s="230" t="s">
        <v>727</v>
      </c>
      <c r="B326" s="159" t="s">
        <v>701</v>
      </c>
      <c r="C326" s="159" t="s">
        <v>437</v>
      </c>
      <c r="D326" s="159" t="s">
        <v>384</v>
      </c>
      <c r="E326" s="159" t="s">
        <v>728</v>
      </c>
      <c r="F326" s="159" t="s">
        <v>603</v>
      </c>
      <c r="G326" s="170">
        <f>1.51495-90+486.8</f>
        <v>398.31495</v>
      </c>
      <c r="H326" s="169">
        <v>1557.3</v>
      </c>
      <c r="I326" s="170"/>
      <c r="J326" s="170"/>
      <c r="K326" s="170"/>
      <c r="L326" s="170">
        <f>J326+K326</f>
        <v>0</v>
      </c>
      <c r="M326" s="171"/>
      <c r="N326" s="172">
        <f>L326+M326</f>
        <v>0</v>
      </c>
    </row>
    <row r="327" spans="1:14" ht="30" customHeight="1" hidden="1">
      <c r="A327" s="230" t="s">
        <v>729</v>
      </c>
      <c r="B327" s="159" t="s">
        <v>701</v>
      </c>
      <c r="C327" s="159" t="s">
        <v>437</v>
      </c>
      <c r="D327" s="159" t="s">
        <v>384</v>
      </c>
      <c r="E327" s="159" t="s">
        <v>728</v>
      </c>
      <c r="F327" s="159" t="s">
        <v>603</v>
      </c>
      <c r="G327" s="177">
        <v>-1396</v>
      </c>
      <c r="H327" s="169"/>
      <c r="I327" s="177"/>
      <c r="J327" s="170">
        <f>H327+I327</f>
        <v>0</v>
      </c>
      <c r="K327" s="170"/>
      <c r="L327" s="170">
        <f>J327+K327</f>
        <v>0</v>
      </c>
      <c r="M327" s="171"/>
      <c r="N327" s="172">
        <f>L327+M327</f>
        <v>0</v>
      </c>
    </row>
    <row r="328" spans="1:14" ht="135" customHeight="1" hidden="1">
      <c r="A328" s="230" t="s">
        <v>730</v>
      </c>
      <c r="B328" s="159" t="s">
        <v>701</v>
      </c>
      <c r="C328" s="159" t="s">
        <v>437</v>
      </c>
      <c r="D328" s="159" t="s">
        <v>384</v>
      </c>
      <c r="E328" s="159" t="s">
        <v>731</v>
      </c>
      <c r="F328" s="159"/>
      <c r="G328" s="177">
        <f aca="true" t="shared" si="76" ref="G328:N328">G329</f>
        <v>0</v>
      </c>
      <c r="H328" s="177">
        <f t="shared" si="76"/>
        <v>809.6</v>
      </c>
      <c r="I328" s="177">
        <f t="shared" si="76"/>
        <v>0</v>
      </c>
      <c r="J328" s="170">
        <f t="shared" si="76"/>
        <v>0</v>
      </c>
      <c r="K328" s="170">
        <f t="shared" si="76"/>
        <v>0</v>
      </c>
      <c r="L328" s="170">
        <f t="shared" si="76"/>
        <v>0</v>
      </c>
      <c r="M328" s="171">
        <f t="shared" si="76"/>
        <v>0</v>
      </c>
      <c r="N328" s="172">
        <f t="shared" si="76"/>
        <v>0</v>
      </c>
    </row>
    <row r="329" spans="1:14" ht="15" customHeight="1" hidden="1">
      <c r="A329" s="230" t="s">
        <v>602</v>
      </c>
      <c r="B329" s="159" t="s">
        <v>701</v>
      </c>
      <c r="C329" s="159" t="s">
        <v>437</v>
      </c>
      <c r="D329" s="159" t="s">
        <v>384</v>
      </c>
      <c r="E329" s="159" t="s">
        <v>732</v>
      </c>
      <c r="F329" s="159" t="s">
        <v>603</v>
      </c>
      <c r="G329" s="177"/>
      <c r="H329" s="169">
        <v>809.6</v>
      </c>
      <c r="I329" s="177"/>
      <c r="J329" s="170"/>
      <c r="K329" s="170"/>
      <c r="L329" s="170">
        <f>J329+K329</f>
        <v>0</v>
      </c>
      <c r="M329" s="171"/>
      <c r="N329" s="172">
        <f>L329+M329</f>
        <v>0</v>
      </c>
    </row>
    <row r="330" spans="1:14" ht="12" customHeight="1" hidden="1">
      <c r="A330" s="230" t="s">
        <v>733</v>
      </c>
      <c r="B330" s="159" t="s">
        <v>701</v>
      </c>
      <c r="C330" s="159" t="s">
        <v>437</v>
      </c>
      <c r="D330" s="159" t="s">
        <v>384</v>
      </c>
      <c r="E330" s="159" t="s">
        <v>734</v>
      </c>
      <c r="F330" s="159"/>
      <c r="G330" s="170">
        <f aca="true" t="shared" si="77" ref="G330:N330">G331</f>
        <v>12.43358</v>
      </c>
      <c r="H330" s="170">
        <f t="shared" si="77"/>
        <v>63.5</v>
      </c>
      <c r="I330" s="170">
        <f t="shared" si="77"/>
        <v>0</v>
      </c>
      <c r="J330" s="170">
        <f t="shared" si="77"/>
        <v>0</v>
      </c>
      <c r="K330" s="170">
        <f t="shared" si="77"/>
        <v>0</v>
      </c>
      <c r="L330" s="170">
        <f t="shared" si="77"/>
        <v>0</v>
      </c>
      <c r="M330" s="171">
        <f t="shared" si="77"/>
        <v>0</v>
      </c>
      <c r="N330" s="172">
        <f t="shared" si="77"/>
        <v>0</v>
      </c>
    </row>
    <row r="331" spans="1:14" ht="17.25" customHeight="1" hidden="1">
      <c r="A331" s="230" t="s">
        <v>602</v>
      </c>
      <c r="B331" s="159" t="s">
        <v>701</v>
      </c>
      <c r="C331" s="159" t="s">
        <v>437</v>
      </c>
      <c r="D331" s="159" t="s">
        <v>384</v>
      </c>
      <c r="E331" s="159" t="s">
        <v>734</v>
      </c>
      <c r="F331" s="159" t="s">
        <v>603</v>
      </c>
      <c r="G331" s="170">
        <v>12.43358</v>
      </c>
      <c r="H331" s="169">
        <v>63.5</v>
      </c>
      <c r="I331" s="170"/>
      <c r="J331" s="170"/>
      <c r="K331" s="170"/>
      <c r="L331" s="170">
        <f>J331+K331</f>
        <v>0</v>
      </c>
      <c r="M331" s="171"/>
      <c r="N331" s="172">
        <f>L331+M331</f>
        <v>0</v>
      </c>
    </row>
    <row r="332" spans="1:14" ht="32.25" customHeight="1">
      <c r="A332" s="230" t="s">
        <v>735</v>
      </c>
      <c r="B332" s="159" t="s">
        <v>701</v>
      </c>
      <c r="C332" s="159" t="s">
        <v>437</v>
      </c>
      <c r="D332" s="159" t="s">
        <v>384</v>
      </c>
      <c r="E332" s="159" t="s">
        <v>736</v>
      </c>
      <c r="F332" s="159"/>
      <c r="G332" s="169">
        <f aca="true" t="shared" si="78" ref="G332:N332">G333</f>
        <v>2180.98653</v>
      </c>
      <c r="H332" s="169">
        <f t="shared" si="78"/>
        <v>19158.8</v>
      </c>
      <c r="I332" s="169">
        <f t="shared" si="78"/>
        <v>0</v>
      </c>
      <c r="J332" s="170">
        <f t="shared" si="78"/>
        <v>11606.4</v>
      </c>
      <c r="K332" s="170">
        <f t="shared" si="78"/>
        <v>-11606.4</v>
      </c>
      <c r="L332" s="170">
        <f t="shared" si="78"/>
        <v>0</v>
      </c>
      <c r="M332" s="171">
        <f t="shared" si="78"/>
        <v>0</v>
      </c>
      <c r="N332" s="172">
        <f t="shared" si="78"/>
        <v>0</v>
      </c>
    </row>
    <row r="333" spans="1:15" ht="15">
      <c r="A333" s="230" t="s">
        <v>602</v>
      </c>
      <c r="B333" s="159" t="s">
        <v>701</v>
      </c>
      <c r="C333" s="159" t="s">
        <v>437</v>
      </c>
      <c r="D333" s="159" t="s">
        <v>384</v>
      </c>
      <c r="E333" s="159" t="s">
        <v>736</v>
      </c>
      <c r="F333" s="159" t="s">
        <v>603</v>
      </c>
      <c r="G333" s="169">
        <f>2180.98653</f>
        <v>2180.98653</v>
      </c>
      <c r="H333" s="169">
        <v>19158.8</v>
      </c>
      <c r="I333" s="169"/>
      <c r="J333" s="170">
        <v>11606.4</v>
      </c>
      <c r="K333" s="170">
        <v>-11606.4</v>
      </c>
      <c r="L333" s="170">
        <f>J333+K333</f>
        <v>0</v>
      </c>
      <c r="M333" s="171"/>
      <c r="N333" s="172">
        <f>L333+M333</f>
        <v>0</v>
      </c>
      <c r="O333" s="152">
        <v>11606.4</v>
      </c>
    </row>
    <row r="334" spans="1:14" ht="60" customHeight="1" hidden="1">
      <c r="A334" s="230" t="s">
        <v>737</v>
      </c>
      <c r="B334" s="159" t="s">
        <v>701</v>
      </c>
      <c r="C334" s="159" t="s">
        <v>437</v>
      </c>
      <c r="D334" s="159" t="s">
        <v>384</v>
      </c>
      <c r="E334" s="159" t="s">
        <v>738</v>
      </c>
      <c r="F334" s="159"/>
      <c r="G334" s="170">
        <f aca="true" t="shared" si="79" ref="G334:M334">G335+G336</f>
        <v>13.745500000000002</v>
      </c>
      <c r="H334" s="170">
        <f t="shared" si="79"/>
        <v>95.4</v>
      </c>
      <c r="I334" s="170">
        <f t="shared" si="79"/>
        <v>0</v>
      </c>
      <c r="J334" s="170">
        <f t="shared" si="79"/>
        <v>0</v>
      </c>
      <c r="K334" s="170">
        <f t="shared" si="79"/>
        <v>0</v>
      </c>
      <c r="L334" s="170">
        <f t="shared" si="79"/>
        <v>0</v>
      </c>
      <c r="M334" s="171">
        <f t="shared" si="79"/>
        <v>0</v>
      </c>
      <c r="N334" s="172">
        <f>N335+N336</f>
        <v>0</v>
      </c>
    </row>
    <row r="335" spans="1:14" ht="15" customHeight="1" hidden="1">
      <c r="A335" s="230" t="s">
        <v>602</v>
      </c>
      <c r="B335" s="159" t="s">
        <v>701</v>
      </c>
      <c r="C335" s="159" t="s">
        <v>437</v>
      </c>
      <c r="D335" s="159" t="s">
        <v>384</v>
      </c>
      <c r="E335" s="159" t="s">
        <v>738</v>
      </c>
      <c r="F335" s="159" t="s">
        <v>603</v>
      </c>
      <c r="G335" s="170">
        <f>5.3945-47.9+47.9</f>
        <v>5.394500000000001</v>
      </c>
      <c r="H335" s="169">
        <v>95.4</v>
      </c>
      <c r="I335" s="170"/>
      <c r="J335" s="170"/>
      <c r="K335" s="170"/>
      <c r="L335" s="170">
        <f>J335+K335</f>
        <v>0</v>
      </c>
      <c r="M335" s="171"/>
      <c r="N335" s="172">
        <f>L335+M335</f>
        <v>0</v>
      </c>
    </row>
    <row r="336" spans="1:14" ht="15" customHeight="1" hidden="1">
      <c r="A336" s="230" t="s">
        <v>602</v>
      </c>
      <c r="B336" s="159" t="s">
        <v>701</v>
      </c>
      <c r="C336" s="159" t="s">
        <v>437</v>
      </c>
      <c r="D336" s="159" t="s">
        <v>384</v>
      </c>
      <c r="E336" s="159" t="s">
        <v>739</v>
      </c>
      <c r="F336" s="159" t="s">
        <v>603</v>
      </c>
      <c r="G336" s="177">
        <f>8.351</f>
        <v>8.351</v>
      </c>
      <c r="H336" s="169"/>
      <c r="I336" s="177"/>
      <c r="J336" s="170">
        <f>H336+I336</f>
        <v>0</v>
      </c>
      <c r="K336" s="170"/>
      <c r="L336" s="170">
        <f>J336+K336</f>
        <v>0</v>
      </c>
      <c r="M336" s="171"/>
      <c r="N336" s="172">
        <f>L336+M336</f>
        <v>0</v>
      </c>
    </row>
    <row r="337" spans="1:14" ht="39">
      <c r="A337" s="230" t="s">
        <v>740</v>
      </c>
      <c r="B337" s="159" t="s">
        <v>701</v>
      </c>
      <c r="C337" s="159" t="s">
        <v>437</v>
      </c>
      <c r="D337" s="159" t="s">
        <v>384</v>
      </c>
      <c r="E337" s="159" t="s">
        <v>741</v>
      </c>
      <c r="F337" s="159"/>
      <c r="G337" s="170">
        <f aca="true" t="shared" si="80" ref="G337:M337">G338+G339</f>
        <v>701.88177</v>
      </c>
      <c r="H337" s="169">
        <f t="shared" si="80"/>
        <v>556.5</v>
      </c>
      <c r="I337" s="170">
        <f t="shared" si="80"/>
        <v>0</v>
      </c>
      <c r="J337" s="170">
        <f t="shared" si="80"/>
        <v>9139.8</v>
      </c>
      <c r="K337" s="170">
        <f t="shared" si="80"/>
        <v>-9139.8</v>
      </c>
      <c r="L337" s="170">
        <f t="shared" si="80"/>
        <v>0</v>
      </c>
      <c r="M337" s="171">
        <f t="shared" si="80"/>
        <v>0</v>
      </c>
      <c r="N337" s="172">
        <f>N338+N339</f>
        <v>0</v>
      </c>
    </row>
    <row r="338" spans="1:14" ht="15" customHeight="1" hidden="1">
      <c r="A338" s="230" t="s">
        <v>602</v>
      </c>
      <c r="B338" s="159" t="s">
        <v>701</v>
      </c>
      <c r="C338" s="159" t="s">
        <v>437</v>
      </c>
      <c r="D338" s="159" t="s">
        <v>384</v>
      </c>
      <c r="E338" s="159" t="s">
        <v>741</v>
      </c>
      <c r="F338" s="159" t="s">
        <v>603</v>
      </c>
      <c r="G338" s="170">
        <f>561.12977+140.752-531</f>
        <v>170.88176999999996</v>
      </c>
      <c r="H338" s="169">
        <v>556.5</v>
      </c>
      <c r="I338" s="170"/>
      <c r="J338" s="170"/>
      <c r="K338" s="170"/>
      <c r="L338" s="170">
        <f>J338+K338</f>
        <v>0</v>
      </c>
      <c r="M338" s="171"/>
      <c r="N338" s="172">
        <f>L338+M338</f>
        <v>0</v>
      </c>
    </row>
    <row r="339" spans="1:14" ht="38.25">
      <c r="A339" s="208" t="s">
        <v>740</v>
      </c>
      <c r="B339" s="159" t="s">
        <v>701</v>
      </c>
      <c r="C339" s="159" t="s">
        <v>437</v>
      </c>
      <c r="D339" s="159" t="s">
        <v>384</v>
      </c>
      <c r="E339" s="159" t="s">
        <v>742</v>
      </c>
      <c r="F339" s="159"/>
      <c r="G339" s="177">
        <f aca="true" t="shared" si="81" ref="G339:N339">G340</f>
        <v>531</v>
      </c>
      <c r="H339" s="177">
        <f t="shared" si="81"/>
        <v>0</v>
      </c>
      <c r="I339" s="177">
        <f t="shared" si="81"/>
        <v>0</v>
      </c>
      <c r="J339" s="170">
        <f t="shared" si="81"/>
        <v>9139.8</v>
      </c>
      <c r="K339" s="170">
        <f t="shared" si="81"/>
        <v>-9139.8</v>
      </c>
      <c r="L339" s="170">
        <f t="shared" si="81"/>
        <v>0</v>
      </c>
      <c r="M339" s="171">
        <f t="shared" si="81"/>
        <v>0</v>
      </c>
      <c r="N339" s="172">
        <f t="shared" si="81"/>
        <v>0</v>
      </c>
    </row>
    <row r="340" spans="1:17" ht="15">
      <c r="A340" s="230" t="s">
        <v>602</v>
      </c>
      <c r="B340" s="159" t="s">
        <v>701</v>
      </c>
      <c r="C340" s="159" t="s">
        <v>437</v>
      </c>
      <c r="D340" s="159" t="s">
        <v>384</v>
      </c>
      <c r="E340" s="159" t="s">
        <v>742</v>
      </c>
      <c r="F340" s="159" t="s">
        <v>603</v>
      </c>
      <c r="G340" s="177">
        <v>531</v>
      </c>
      <c r="H340" s="169"/>
      <c r="I340" s="177"/>
      <c r="J340" s="170">
        <v>9139.8</v>
      </c>
      <c r="K340" s="170">
        <v>-9139.8</v>
      </c>
      <c r="L340" s="170">
        <f>J340+K340</f>
        <v>0</v>
      </c>
      <c r="M340" s="171"/>
      <c r="N340" s="172">
        <f>L340+M340</f>
        <v>0</v>
      </c>
      <c r="O340" s="448">
        <v>9139.8</v>
      </c>
      <c r="Q340" s="247">
        <f>O340-L340</f>
        <v>9139.8</v>
      </c>
    </row>
    <row r="341" spans="1:14" ht="26.25">
      <c r="A341" s="230" t="s">
        <v>720</v>
      </c>
      <c r="B341" s="159" t="s">
        <v>701</v>
      </c>
      <c r="C341" s="159" t="s">
        <v>437</v>
      </c>
      <c r="D341" s="159" t="s">
        <v>384</v>
      </c>
      <c r="E341" s="159" t="s">
        <v>743</v>
      </c>
      <c r="F341" s="159"/>
      <c r="G341" s="177"/>
      <c r="H341" s="169"/>
      <c r="I341" s="177"/>
      <c r="J341" s="170">
        <f>J342</f>
        <v>6979</v>
      </c>
      <c r="K341" s="170">
        <f>K342</f>
        <v>-6979</v>
      </c>
      <c r="L341" s="170">
        <f>L342</f>
        <v>0</v>
      </c>
      <c r="M341" s="171"/>
      <c r="N341" s="172"/>
    </row>
    <row r="342" spans="1:17" ht="15">
      <c r="A342" s="230" t="s">
        <v>722</v>
      </c>
      <c r="B342" s="159" t="s">
        <v>701</v>
      </c>
      <c r="C342" s="159" t="s">
        <v>437</v>
      </c>
      <c r="D342" s="159" t="s">
        <v>384</v>
      </c>
      <c r="E342" s="159" t="s">
        <v>743</v>
      </c>
      <c r="F342" s="159" t="s">
        <v>603</v>
      </c>
      <c r="G342" s="177"/>
      <c r="H342" s="169"/>
      <c r="I342" s="177"/>
      <c r="J342" s="170">
        <v>6979</v>
      </c>
      <c r="K342" s="170">
        <v>-6979</v>
      </c>
      <c r="L342" s="170">
        <f>J342+K342</f>
        <v>0</v>
      </c>
      <c r="M342" s="171"/>
      <c r="N342" s="172"/>
      <c r="O342" s="448">
        <v>6979</v>
      </c>
      <c r="Q342" s="247">
        <f>L342-O342</f>
        <v>-6979</v>
      </c>
    </row>
    <row r="343" spans="1:14" ht="25.5">
      <c r="A343" s="208" t="s">
        <v>724</v>
      </c>
      <c r="B343" s="159" t="s">
        <v>701</v>
      </c>
      <c r="C343" s="159" t="s">
        <v>437</v>
      </c>
      <c r="D343" s="159" t="s">
        <v>384</v>
      </c>
      <c r="E343" s="159" t="s">
        <v>744</v>
      </c>
      <c r="F343" s="159"/>
      <c r="G343" s="177"/>
      <c r="H343" s="169"/>
      <c r="I343" s="177"/>
      <c r="J343" s="170">
        <f>J344</f>
        <v>4056</v>
      </c>
      <c r="K343" s="170">
        <f>K344</f>
        <v>-4056</v>
      </c>
      <c r="L343" s="170">
        <f>L344</f>
        <v>0</v>
      </c>
      <c r="M343" s="171"/>
      <c r="N343" s="172"/>
    </row>
    <row r="344" spans="1:17" ht="15">
      <c r="A344" s="230" t="s">
        <v>602</v>
      </c>
      <c r="B344" s="159" t="s">
        <v>701</v>
      </c>
      <c r="C344" s="159" t="s">
        <v>437</v>
      </c>
      <c r="D344" s="159" t="s">
        <v>384</v>
      </c>
      <c r="E344" s="159" t="s">
        <v>744</v>
      </c>
      <c r="F344" s="159" t="s">
        <v>603</v>
      </c>
      <c r="G344" s="177"/>
      <c r="H344" s="169"/>
      <c r="I344" s="177"/>
      <c r="J344" s="170">
        <v>4056</v>
      </c>
      <c r="K344" s="170">
        <v>-4056</v>
      </c>
      <c r="L344" s="170">
        <f>J344+K344</f>
        <v>0</v>
      </c>
      <c r="M344" s="171"/>
      <c r="N344" s="172"/>
      <c r="O344" s="448">
        <v>4056</v>
      </c>
      <c r="Q344" s="247">
        <f>L344-O344</f>
        <v>-4056</v>
      </c>
    </row>
    <row r="345" spans="1:14" ht="42.75" customHeight="1">
      <c r="A345" s="230" t="s">
        <v>737</v>
      </c>
      <c r="B345" s="159" t="s">
        <v>701</v>
      </c>
      <c r="C345" s="159" t="s">
        <v>437</v>
      </c>
      <c r="D345" s="159" t="s">
        <v>384</v>
      </c>
      <c r="E345" s="159" t="s">
        <v>745</v>
      </c>
      <c r="F345" s="159"/>
      <c r="G345" s="177"/>
      <c r="H345" s="169"/>
      <c r="I345" s="177"/>
      <c r="J345" s="170">
        <f>J347+J346</f>
        <v>241</v>
      </c>
      <c r="K345" s="170">
        <f>K347+K346</f>
        <v>-241</v>
      </c>
      <c r="L345" s="170">
        <f>L347+L346</f>
        <v>0</v>
      </c>
      <c r="M345" s="171"/>
      <c r="N345" s="172"/>
    </row>
    <row r="346" spans="1:14" ht="15" customHeight="1">
      <c r="A346" s="230" t="s">
        <v>602</v>
      </c>
      <c r="B346" s="159" t="s">
        <v>701</v>
      </c>
      <c r="C346" s="159" t="s">
        <v>437</v>
      </c>
      <c r="D346" s="159" t="s">
        <v>384</v>
      </c>
      <c r="E346" s="159" t="s">
        <v>745</v>
      </c>
      <c r="F346" s="159" t="s">
        <v>603</v>
      </c>
      <c r="G346" s="177"/>
      <c r="H346" s="169"/>
      <c r="I346" s="177"/>
      <c r="J346" s="170">
        <f>I346+H346</f>
        <v>0</v>
      </c>
      <c r="K346" s="170"/>
      <c r="L346" s="170">
        <f>K346+J346</f>
        <v>0</v>
      </c>
      <c r="M346" s="171"/>
      <c r="N346" s="172"/>
    </row>
    <row r="347" spans="1:17" ht="15">
      <c r="A347" s="230" t="s">
        <v>602</v>
      </c>
      <c r="B347" s="159" t="s">
        <v>701</v>
      </c>
      <c r="C347" s="159" t="s">
        <v>437</v>
      </c>
      <c r="D347" s="159" t="s">
        <v>384</v>
      </c>
      <c r="E347" s="159" t="s">
        <v>746</v>
      </c>
      <c r="F347" s="159" t="s">
        <v>603</v>
      </c>
      <c r="G347" s="177"/>
      <c r="H347" s="169"/>
      <c r="I347" s="177"/>
      <c r="J347" s="170">
        <v>241</v>
      </c>
      <c r="K347" s="170">
        <v>-241</v>
      </c>
      <c r="L347" s="170">
        <f>J347+K347</f>
        <v>0</v>
      </c>
      <c r="M347" s="171"/>
      <c r="N347" s="172"/>
      <c r="O347" s="152">
        <v>241</v>
      </c>
      <c r="Q347" s="247">
        <f>L347-O347</f>
        <v>-241</v>
      </c>
    </row>
    <row r="348" spans="1:14" ht="25.5">
      <c r="A348" s="208" t="s">
        <v>747</v>
      </c>
      <c r="B348" s="159" t="s">
        <v>701</v>
      </c>
      <c r="C348" s="159" t="s">
        <v>437</v>
      </c>
      <c r="D348" s="159" t="s">
        <v>384</v>
      </c>
      <c r="E348" s="159" t="s">
        <v>748</v>
      </c>
      <c r="F348" s="159"/>
      <c r="G348" s="177">
        <f aca="true" t="shared" si="82" ref="G348:N348">G349</f>
        <v>206</v>
      </c>
      <c r="H348" s="177">
        <f t="shared" si="82"/>
        <v>0</v>
      </c>
      <c r="I348" s="177">
        <f t="shared" si="82"/>
        <v>0</v>
      </c>
      <c r="J348" s="170">
        <f t="shared" si="82"/>
        <v>327</v>
      </c>
      <c r="K348" s="170">
        <f t="shared" si="82"/>
        <v>-327</v>
      </c>
      <c r="L348" s="170">
        <f t="shared" si="82"/>
        <v>0</v>
      </c>
      <c r="M348" s="171">
        <f t="shared" si="82"/>
        <v>0</v>
      </c>
      <c r="N348" s="172">
        <f t="shared" si="82"/>
        <v>0</v>
      </c>
    </row>
    <row r="349" spans="1:17" ht="15">
      <c r="A349" s="230" t="s">
        <v>602</v>
      </c>
      <c r="B349" s="159" t="s">
        <v>701</v>
      </c>
      <c r="C349" s="159" t="s">
        <v>437</v>
      </c>
      <c r="D349" s="159" t="s">
        <v>384</v>
      </c>
      <c r="E349" s="159" t="s">
        <v>748</v>
      </c>
      <c r="F349" s="159" t="s">
        <v>603</v>
      </c>
      <c r="G349" s="177">
        <f>206</f>
        <v>206</v>
      </c>
      <c r="H349" s="169"/>
      <c r="I349" s="177"/>
      <c r="J349" s="170">
        <v>327</v>
      </c>
      <c r="K349" s="170">
        <v>-327</v>
      </c>
      <c r="L349" s="170">
        <f>J349+K349</f>
        <v>0</v>
      </c>
      <c r="M349" s="171"/>
      <c r="N349" s="172">
        <f>L349+M349</f>
        <v>0</v>
      </c>
      <c r="O349" s="448">
        <v>327</v>
      </c>
      <c r="Q349" s="247">
        <f>O349-L349</f>
        <v>327</v>
      </c>
    </row>
    <row r="350" spans="1:14" ht="42" customHeight="1">
      <c r="A350" s="173" t="s">
        <v>749</v>
      </c>
      <c r="B350" s="159" t="s">
        <v>701</v>
      </c>
      <c r="C350" s="159" t="s">
        <v>437</v>
      </c>
      <c r="D350" s="159" t="s">
        <v>384</v>
      </c>
      <c r="E350" s="159" t="s">
        <v>750</v>
      </c>
      <c r="F350" s="159"/>
      <c r="G350" s="170">
        <f aca="true" t="shared" si="83" ref="G350:N350">G351</f>
        <v>99.15607</v>
      </c>
      <c r="H350" s="170">
        <f t="shared" si="83"/>
        <v>0</v>
      </c>
      <c r="I350" s="170">
        <f t="shared" si="83"/>
        <v>0</v>
      </c>
      <c r="J350" s="170">
        <f t="shared" si="83"/>
        <v>1008</v>
      </c>
      <c r="K350" s="170">
        <f t="shared" si="83"/>
        <v>-1008</v>
      </c>
      <c r="L350" s="170">
        <f t="shared" si="83"/>
        <v>0</v>
      </c>
      <c r="M350" s="171">
        <f t="shared" si="83"/>
        <v>0</v>
      </c>
      <c r="N350" s="172">
        <f t="shared" si="83"/>
        <v>0</v>
      </c>
    </row>
    <row r="351" spans="1:17" ht="16.5" customHeight="1">
      <c r="A351" s="230" t="s">
        <v>602</v>
      </c>
      <c r="B351" s="159" t="s">
        <v>701</v>
      </c>
      <c r="C351" s="159" t="s">
        <v>437</v>
      </c>
      <c r="D351" s="159" t="s">
        <v>384</v>
      </c>
      <c r="E351" s="159" t="s">
        <v>750</v>
      </c>
      <c r="F351" s="159" t="s">
        <v>603</v>
      </c>
      <c r="G351" s="170">
        <f>9.15607+90</f>
        <v>99.15607</v>
      </c>
      <c r="H351" s="169"/>
      <c r="I351" s="170"/>
      <c r="J351" s="170">
        <v>1008</v>
      </c>
      <c r="K351" s="170">
        <v>-1008</v>
      </c>
      <c r="L351" s="170">
        <f>J351+K351</f>
        <v>0</v>
      </c>
      <c r="M351" s="171"/>
      <c r="N351" s="172">
        <f>L351+M351</f>
        <v>0</v>
      </c>
      <c r="O351" s="448">
        <v>1008</v>
      </c>
      <c r="Q351" s="247">
        <f>L351-O351</f>
        <v>-1008</v>
      </c>
    </row>
    <row r="352" spans="1:14" ht="51.75">
      <c r="A352" s="176" t="s">
        <v>751</v>
      </c>
      <c r="B352" s="159" t="s">
        <v>701</v>
      </c>
      <c r="C352" s="159" t="s">
        <v>437</v>
      </c>
      <c r="D352" s="159" t="s">
        <v>384</v>
      </c>
      <c r="E352" s="159" t="s">
        <v>752</v>
      </c>
      <c r="F352" s="159"/>
      <c r="G352" s="169">
        <f aca="true" t="shared" si="84" ref="G352:N352">G353</f>
        <v>3526.34117</v>
      </c>
      <c r="H352" s="169">
        <f t="shared" si="84"/>
        <v>0</v>
      </c>
      <c r="I352" s="169">
        <f t="shared" si="84"/>
        <v>0</v>
      </c>
      <c r="J352" s="170">
        <f t="shared" si="84"/>
        <v>7903</v>
      </c>
      <c r="K352" s="170">
        <f t="shared" si="84"/>
        <v>-7903</v>
      </c>
      <c r="L352" s="170">
        <f t="shared" si="84"/>
        <v>0</v>
      </c>
      <c r="M352" s="171">
        <f t="shared" si="84"/>
        <v>0</v>
      </c>
      <c r="N352" s="172">
        <f t="shared" si="84"/>
        <v>0</v>
      </c>
    </row>
    <row r="353" spans="1:17" ht="16.5" customHeight="1">
      <c r="A353" s="230" t="s">
        <v>602</v>
      </c>
      <c r="B353" s="159" t="s">
        <v>701</v>
      </c>
      <c r="C353" s="159" t="s">
        <v>437</v>
      </c>
      <c r="D353" s="159" t="s">
        <v>384</v>
      </c>
      <c r="E353" s="159" t="s">
        <v>752</v>
      </c>
      <c r="F353" s="159" t="s">
        <v>603</v>
      </c>
      <c r="G353" s="169">
        <f>13.34117+3513</f>
        <v>3526.34117</v>
      </c>
      <c r="H353" s="169"/>
      <c r="I353" s="169"/>
      <c r="J353" s="170">
        <v>7903</v>
      </c>
      <c r="K353" s="170">
        <v>-7903</v>
      </c>
      <c r="L353" s="170">
        <f>J353+K353</f>
        <v>0</v>
      </c>
      <c r="M353" s="171"/>
      <c r="N353" s="172">
        <f>L353+M353</f>
        <v>0</v>
      </c>
      <c r="O353" s="448">
        <v>7903</v>
      </c>
      <c r="Q353" s="247">
        <f>L353-O353</f>
        <v>-7903</v>
      </c>
    </row>
    <row r="354" spans="1:14" ht="29.25" customHeight="1">
      <c r="A354" s="173" t="s">
        <v>753</v>
      </c>
      <c r="B354" s="159" t="s">
        <v>701</v>
      </c>
      <c r="C354" s="159" t="s">
        <v>437</v>
      </c>
      <c r="D354" s="159" t="s">
        <v>384</v>
      </c>
      <c r="E354" s="159" t="s">
        <v>754</v>
      </c>
      <c r="F354" s="159"/>
      <c r="G354" s="170">
        <f aca="true" t="shared" si="85" ref="G354:N354">G355</f>
        <v>796.46933</v>
      </c>
      <c r="H354" s="170">
        <f t="shared" si="85"/>
        <v>0</v>
      </c>
      <c r="I354" s="170">
        <f t="shared" si="85"/>
        <v>0</v>
      </c>
      <c r="J354" s="170">
        <f t="shared" si="85"/>
        <v>3452</v>
      </c>
      <c r="K354" s="170">
        <f t="shared" si="85"/>
        <v>-3452</v>
      </c>
      <c r="L354" s="170">
        <f t="shared" si="85"/>
        <v>0</v>
      </c>
      <c r="M354" s="171">
        <f t="shared" si="85"/>
        <v>0</v>
      </c>
      <c r="N354" s="172">
        <f t="shared" si="85"/>
        <v>0</v>
      </c>
    </row>
    <row r="355" spans="1:17" ht="15">
      <c r="A355" s="230" t="s">
        <v>602</v>
      </c>
      <c r="B355" s="159" t="s">
        <v>701</v>
      </c>
      <c r="C355" s="159" t="s">
        <v>437</v>
      </c>
      <c r="D355" s="159" t="s">
        <v>384</v>
      </c>
      <c r="E355" s="159" t="s">
        <v>754</v>
      </c>
      <c r="F355" s="159" t="s">
        <v>603</v>
      </c>
      <c r="G355" s="170">
        <f>0.46933+796</f>
        <v>796.46933</v>
      </c>
      <c r="H355" s="169"/>
      <c r="I355" s="170"/>
      <c r="J355" s="170">
        <v>3452</v>
      </c>
      <c r="K355" s="170">
        <v>-3452</v>
      </c>
      <c r="L355" s="170">
        <f>J355+K355</f>
        <v>0</v>
      </c>
      <c r="M355" s="171"/>
      <c r="N355" s="172">
        <f>L355+M355</f>
        <v>0</v>
      </c>
      <c r="O355" s="448">
        <v>3452</v>
      </c>
      <c r="Q355" s="247">
        <f>L355-O355</f>
        <v>-3452</v>
      </c>
    </row>
    <row r="356" spans="1:14" ht="23.25" customHeight="1">
      <c r="A356" s="230" t="s">
        <v>755</v>
      </c>
      <c r="B356" s="159" t="s">
        <v>701</v>
      </c>
      <c r="C356" s="159" t="s">
        <v>437</v>
      </c>
      <c r="D356" s="159" t="s">
        <v>384</v>
      </c>
      <c r="E356" s="159" t="s">
        <v>756</v>
      </c>
      <c r="F356" s="159"/>
      <c r="G356" s="177">
        <f aca="true" t="shared" si="86" ref="G356:N356">G357</f>
        <v>-796</v>
      </c>
      <c r="H356" s="177">
        <f t="shared" si="86"/>
        <v>1054.3</v>
      </c>
      <c r="I356" s="177">
        <f t="shared" si="86"/>
        <v>0</v>
      </c>
      <c r="J356" s="170">
        <f t="shared" si="86"/>
        <v>408</v>
      </c>
      <c r="K356" s="170">
        <f t="shared" si="86"/>
        <v>-408</v>
      </c>
      <c r="L356" s="170">
        <f t="shared" si="86"/>
        <v>0</v>
      </c>
      <c r="M356" s="171">
        <f t="shared" si="86"/>
        <v>122</v>
      </c>
      <c r="N356" s="172">
        <f t="shared" si="86"/>
        <v>122</v>
      </c>
    </row>
    <row r="357" spans="1:14" ht="15">
      <c r="A357" s="230" t="s">
        <v>602</v>
      </c>
      <c r="B357" s="159" t="s">
        <v>701</v>
      </c>
      <c r="C357" s="159" t="s">
        <v>437</v>
      </c>
      <c r="D357" s="159" t="s">
        <v>384</v>
      </c>
      <c r="E357" s="159" t="s">
        <v>756</v>
      </c>
      <c r="F357" s="159" t="s">
        <v>603</v>
      </c>
      <c r="G357" s="177">
        <v>-796</v>
      </c>
      <c r="H357" s="169">
        <v>1054.3</v>
      </c>
      <c r="I357" s="177"/>
      <c r="J357" s="170">
        <v>408</v>
      </c>
      <c r="K357" s="170">
        <v>-408</v>
      </c>
      <c r="L357" s="170">
        <f>J357+K357</f>
        <v>0</v>
      </c>
      <c r="M357" s="171">
        <f>122</f>
        <v>122</v>
      </c>
      <c r="N357" s="172">
        <f>L357+M357</f>
        <v>122</v>
      </c>
    </row>
    <row r="358" spans="1:14" ht="30" customHeight="1" hidden="1">
      <c r="A358" s="230" t="s">
        <v>757</v>
      </c>
      <c r="B358" s="159" t="s">
        <v>701</v>
      </c>
      <c r="C358" s="159" t="s">
        <v>437</v>
      </c>
      <c r="D358" s="159" t="s">
        <v>384</v>
      </c>
      <c r="E358" s="159" t="s">
        <v>756</v>
      </c>
      <c r="F358" s="159"/>
      <c r="G358" s="177">
        <f aca="true" t="shared" si="87" ref="G358:N359">G359</f>
        <v>-3513</v>
      </c>
      <c r="H358" s="177">
        <f t="shared" si="87"/>
        <v>3681.6</v>
      </c>
      <c r="I358" s="177">
        <f t="shared" si="87"/>
        <v>0</v>
      </c>
      <c r="J358" s="170">
        <f t="shared" si="87"/>
        <v>0</v>
      </c>
      <c r="K358" s="170">
        <f t="shared" si="87"/>
        <v>0</v>
      </c>
      <c r="L358" s="170">
        <f t="shared" si="87"/>
        <v>0</v>
      </c>
      <c r="M358" s="171">
        <f t="shared" si="87"/>
        <v>0</v>
      </c>
      <c r="N358" s="172">
        <f t="shared" si="87"/>
        <v>0</v>
      </c>
    </row>
    <row r="359" spans="1:14" ht="30" customHeight="1" hidden="1">
      <c r="A359" s="230" t="s">
        <v>758</v>
      </c>
      <c r="B359" s="159" t="s">
        <v>701</v>
      </c>
      <c r="C359" s="159" t="s">
        <v>437</v>
      </c>
      <c r="D359" s="159" t="s">
        <v>384</v>
      </c>
      <c r="E359" s="159" t="s">
        <v>756</v>
      </c>
      <c r="F359" s="159"/>
      <c r="G359" s="177">
        <f t="shared" si="87"/>
        <v>-3513</v>
      </c>
      <c r="H359" s="177">
        <f t="shared" si="87"/>
        <v>3681.6</v>
      </c>
      <c r="I359" s="177">
        <f t="shared" si="87"/>
        <v>0</v>
      </c>
      <c r="J359" s="170">
        <f t="shared" si="87"/>
        <v>0</v>
      </c>
      <c r="K359" s="170">
        <f t="shared" si="87"/>
        <v>0</v>
      </c>
      <c r="L359" s="170">
        <f t="shared" si="87"/>
        <v>0</v>
      </c>
      <c r="M359" s="171">
        <f t="shared" si="87"/>
        <v>0</v>
      </c>
      <c r="N359" s="172">
        <f t="shared" si="87"/>
        <v>0</v>
      </c>
    </row>
    <row r="360" spans="1:14" ht="15" customHeight="1" hidden="1">
      <c r="A360" s="230" t="s">
        <v>602</v>
      </c>
      <c r="B360" s="159" t="s">
        <v>701</v>
      </c>
      <c r="C360" s="159" t="s">
        <v>437</v>
      </c>
      <c r="D360" s="159" t="s">
        <v>384</v>
      </c>
      <c r="E360" s="159" t="s">
        <v>756</v>
      </c>
      <c r="F360" s="159" t="s">
        <v>603</v>
      </c>
      <c r="G360" s="177">
        <v>-3513</v>
      </c>
      <c r="H360" s="169">
        <v>3681.6</v>
      </c>
      <c r="I360" s="177"/>
      <c r="J360" s="170"/>
      <c r="K360" s="170"/>
      <c r="L360" s="170">
        <f>J360+K360</f>
        <v>0</v>
      </c>
      <c r="M360" s="171"/>
      <c r="N360" s="172">
        <f>L360+M360</f>
        <v>0</v>
      </c>
    </row>
    <row r="361" spans="1:14" s="340" customFormat="1" ht="25.5">
      <c r="A361" s="229" t="s">
        <v>444</v>
      </c>
      <c r="B361" s="168" t="s">
        <v>701</v>
      </c>
      <c r="C361" s="168" t="s">
        <v>437</v>
      </c>
      <c r="D361" s="168" t="s">
        <v>388</v>
      </c>
      <c r="E361" s="168"/>
      <c r="F361" s="168"/>
      <c r="G361" s="155">
        <f aca="true" t="shared" si="88" ref="G361:M361">G364+G368+G362</f>
        <v>75</v>
      </c>
      <c r="H361" s="155">
        <f t="shared" si="88"/>
        <v>1158.1000000000001</v>
      </c>
      <c r="I361" s="155">
        <f t="shared" si="88"/>
        <v>0</v>
      </c>
      <c r="J361" s="161">
        <f t="shared" si="88"/>
        <v>1927.1100000000001</v>
      </c>
      <c r="K361" s="161">
        <f t="shared" si="88"/>
        <v>-1927.1100000000001</v>
      </c>
      <c r="L361" s="161">
        <f t="shared" si="88"/>
        <v>0</v>
      </c>
      <c r="M361" s="188">
        <f t="shared" si="88"/>
        <v>-169</v>
      </c>
      <c r="N361" s="209">
        <f>N364+N368+N362</f>
        <v>-169</v>
      </c>
    </row>
    <row r="362" spans="1:14" s="340" customFormat="1" ht="64.5">
      <c r="A362" s="173" t="s">
        <v>708</v>
      </c>
      <c r="B362" s="159" t="s">
        <v>701</v>
      </c>
      <c r="C362" s="159" t="s">
        <v>437</v>
      </c>
      <c r="D362" s="159" t="s">
        <v>388</v>
      </c>
      <c r="E362" s="159" t="s">
        <v>709</v>
      </c>
      <c r="F362" s="159"/>
      <c r="G362" s="177">
        <f aca="true" t="shared" si="89" ref="G362:N362">G363</f>
        <v>912</v>
      </c>
      <c r="H362" s="177">
        <f t="shared" si="89"/>
        <v>0</v>
      </c>
      <c r="I362" s="177">
        <f t="shared" si="89"/>
        <v>0</v>
      </c>
      <c r="J362" s="170">
        <f t="shared" si="89"/>
        <v>1417</v>
      </c>
      <c r="K362" s="170">
        <f t="shared" si="89"/>
        <v>-1417</v>
      </c>
      <c r="L362" s="170">
        <f t="shared" si="89"/>
        <v>0</v>
      </c>
      <c r="M362" s="171">
        <f t="shared" si="89"/>
        <v>-250</v>
      </c>
      <c r="N362" s="172">
        <f t="shared" si="89"/>
        <v>-250</v>
      </c>
    </row>
    <row r="363" spans="1:18" s="340" customFormat="1" ht="26.25">
      <c r="A363" s="173" t="s">
        <v>487</v>
      </c>
      <c r="B363" s="159" t="s">
        <v>701</v>
      </c>
      <c r="C363" s="159" t="s">
        <v>437</v>
      </c>
      <c r="D363" s="159" t="s">
        <v>388</v>
      </c>
      <c r="E363" s="159" t="s">
        <v>709</v>
      </c>
      <c r="F363" s="159" t="s">
        <v>485</v>
      </c>
      <c r="G363" s="177">
        <f>950-38</f>
        <v>912</v>
      </c>
      <c r="H363" s="169"/>
      <c r="I363" s="177"/>
      <c r="J363" s="170">
        <v>1417</v>
      </c>
      <c r="K363" s="170">
        <v>-1417</v>
      </c>
      <c r="L363" s="170">
        <f>J363+K363</f>
        <v>0</v>
      </c>
      <c r="M363" s="171">
        <f>-250</f>
        <v>-250</v>
      </c>
      <c r="N363" s="172">
        <f>L363+M363</f>
        <v>-250</v>
      </c>
      <c r="O363" s="459">
        <f>L363+L302</f>
        <v>0</v>
      </c>
      <c r="P363" s="459">
        <f>M363+M302</f>
        <v>0</v>
      </c>
      <c r="Q363" s="459">
        <f>N363+N302</f>
        <v>0</v>
      </c>
      <c r="R363" s="459" t="e">
        <f>#REF!+#REF!</f>
        <v>#REF!</v>
      </c>
    </row>
    <row r="364" spans="1:14" ht="26.25">
      <c r="A364" s="230" t="s">
        <v>759</v>
      </c>
      <c r="B364" s="159" t="s">
        <v>701</v>
      </c>
      <c r="C364" s="159" t="s">
        <v>437</v>
      </c>
      <c r="D364" s="159" t="s">
        <v>388</v>
      </c>
      <c r="E364" s="159" t="s">
        <v>543</v>
      </c>
      <c r="F364" s="159"/>
      <c r="G364" s="177">
        <f aca="true" t="shared" si="90" ref="G364:N365">G365</f>
        <v>-912</v>
      </c>
      <c r="H364" s="177">
        <f t="shared" si="90"/>
        <v>1095.22</v>
      </c>
      <c r="I364" s="177">
        <f t="shared" si="90"/>
        <v>0</v>
      </c>
      <c r="J364" s="170">
        <f t="shared" si="90"/>
        <v>174.11</v>
      </c>
      <c r="K364" s="170">
        <f t="shared" si="90"/>
        <v>-174.11</v>
      </c>
      <c r="L364" s="170">
        <f t="shared" si="90"/>
        <v>0</v>
      </c>
      <c r="M364" s="171">
        <f t="shared" si="90"/>
        <v>41</v>
      </c>
      <c r="N364" s="172">
        <f t="shared" si="90"/>
        <v>41</v>
      </c>
    </row>
    <row r="365" spans="1:14" ht="15">
      <c r="A365" s="230" t="s">
        <v>544</v>
      </c>
      <c r="B365" s="159" t="s">
        <v>701</v>
      </c>
      <c r="C365" s="159" t="s">
        <v>437</v>
      </c>
      <c r="D365" s="159" t="s">
        <v>388</v>
      </c>
      <c r="E365" s="159" t="s">
        <v>545</v>
      </c>
      <c r="F365" s="159"/>
      <c r="G365" s="177">
        <f t="shared" si="90"/>
        <v>-912</v>
      </c>
      <c r="H365" s="177">
        <f t="shared" si="90"/>
        <v>1095.22</v>
      </c>
      <c r="I365" s="177">
        <f t="shared" si="90"/>
        <v>0</v>
      </c>
      <c r="J365" s="170">
        <f>J366+J367</f>
        <v>174.11</v>
      </c>
      <c r="K365" s="170">
        <f>K366+K367</f>
        <v>-174.11</v>
      </c>
      <c r="L365" s="170">
        <f>L366+L367</f>
        <v>0</v>
      </c>
      <c r="M365" s="171">
        <f t="shared" si="90"/>
        <v>41</v>
      </c>
      <c r="N365" s="172">
        <f t="shared" si="90"/>
        <v>41</v>
      </c>
    </row>
    <row r="366" spans="1:14" ht="30" customHeight="1" hidden="1" thickBot="1">
      <c r="A366" s="230" t="s">
        <v>493</v>
      </c>
      <c r="B366" s="159" t="s">
        <v>701</v>
      </c>
      <c r="C366" s="159" t="s">
        <v>437</v>
      </c>
      <c r="D366" s="159" t="s">
        <v>388</v>
      </c>
      <c r="E366" s="159" t="s">
        <v>545</v>
      </c>
      <c r="F366" s="159" t="s">
        <v>583</v>
      </c>
      <c r="G366" s="177">
        <f>-950+38</f>
        <v>-912</v>
      </c>
      <c r="H366" s="169">
        <v>1095.22</v>
      </c>
      <c r="I366" s="177"/>
      <c r="J366" s="170"/>
      <c r="K366" s="170"/>
      <c r="L366" s="170">
        <f>J366+K366</f>
        <v>0</v>
      </c>
      <c r="M366" s="171">
        <f>-9+50</f>
        <v>41</v>
      </c>
      <c r="N366" s="172">
        <f>L366+M366</f>
        <v>41</v>
      </c>
    </row>
    <row r="367" spans="1:15" ht="26.25">
      <c r="A367" s="173" t="s">
        <v>487</v>
      </c>
      <c r="B367" s="159" t="s">
        <v>701</v>
      </c>
      <c r="C367" s="159" t="s">
        <v>437</v>
      </c>
      <c r="D367" s="159" t="s">
        <v>388</v>
      </c>
      <c r="E367" s="159" t="s">
        <v>545</v>
      </c>
      <c r="F367" s="159" t="s">
        <v>485</v>
      </c>
      <c r="G367" s="177"/>
      <c r="H367" s="169"/>
      <c r="I367" s="177"/>
      <c r="J367" s="170">
        <v>174.11</v>
      </c>
      <c r="K367" s="170">
        <v>-174.11</v>
      </c>
      <c r="L367" s="170">
        <f>J367+K367</f>
        <v>0</v>
      </c>
      <c r="M367" s="171"/>
      <c r="N367" s="172"/>
      <c r="O367" s="247"/>
    </row>
    <row r="368" spans="1:14" ht="26.25">
      <c r="A368" s="230" t="s">
        <v>760</v>
      </c>
      <c r="B368" s="159" t="s">
        <v>701</v>
      </c>
      <c r="C368" s="159" t="s">
        <v>437</v>
      </c>
      <c r="D368" s="159" t="s">
        <v>388</v>
      </c>
      <c r="E368" s="159" t="s">
        <v>761</v>
      </c>
      <c r="F368" s="159"/>
      <c r="G368" s="177">
        <f aca="true" t="shared" si="91" ref="G368:M368">G369+G371</f>
        <v>75</v>
      </c>
      <c r="H368" s="177">
        <f t="shared" si="91"/>
        <v>62.88</v>
      </c>
      <c r="I368" s="177">
        <f t="shared" si="91"/>
        <v>0</v>
      </c>
      <c r="J368" s="170">
        <f t="shared" si="91"/>
        <v>336</v>
      </c>
      <c r="K368" s="170">
        <f t="shared" si="91"/>
        <v>-336</v>
      </c>
      <c r="L368" s="170">
        <f t="shared" si="91"/>
        <v>0</v>
      </c>
      <c r="M368" s="171">
        <f t="shared" si="91"/>
        <v>40</v>
      </c>
      <c r="N368" s="172">
        <f>N369+N371</f>
        <v>40</v>
      </c>
    </row>
    <row r="369" spans="1:14" ht="39">
      <c r="A369" s="173" t="s">
        <v>762</v>
      </c>
      <c r="B369" s="159" t="s">
        <v>701</v>
      </c>
      <c r="C369" s="159" t="s">
        <v>437</v>
      </c>
      <c r="D369" s="159" t="s">
        <v>388</v>
      </c>
      <c r="E369" s="159" t="s">
        <v>763</v>
      </c>
      <c r="F369" s="159"/>
      <c r="G369" s="177">
        <f aca="true" t="shared" si="92" ref="G369:N369">G370</f>
        <v>35</v>
      </c>
      <c r="H369" s="177">
        <f t="shared" si="92"/>
        <v>62.88</v>
      </c>
      <c r="I369" s="177">
        <f t="shared" si="92"/>
        <v>0</v>
      </c>
      <c r="J369" s="170">
        <f t="shared" si="92"/>
        <v>271</v>
      </c>
      <c r="K369" s="170">
        <f t="shared" si="92"/>
        <v>-271</v>
      </c>
      <c r="L369" s="170">
        <f t="shared" si="92"/>
        <v>0</v>
      </c>
      <c r="M369" s="171">
        <f t="shared" si="92"/>
        <v>40</v>
      </c>
      <c r="N369" s="172">
        <f t="shared" si="92"/>
        <v>40</v>
      </c>
    </row>
    <row r="370" spans="1:14" ht="26.25">
      <c r="A370" s="230" t="s">
        <v>758</v>
      </c>
      <c r="B370" s="159" t="s">
        <v>701</v>
      </c>
      <c r="C370" s="159" t="s">
        <v>437</v>
      </c>
      <c r="D370" s="159" t="s">
        <v>388</v>
      </c>
      <c r="E370" s="159" t="s">
        <v>763</v>
      </c>
      <c r="F370" s="159" t="s">
        <v>764</v>
      </c>
      <c r="G370" s="177">
        <f>15.4+19.6</f>
        <v>35</v>
      </c>
      <c r="H370" s="169">
        <v>62.88</v>
      </c>
      <c r="I370" s="177"/>
      <c r="J370" s="170">
        <v>271</v>
      </c>
      <c r="K370" s="170">
        <v>-271</v>
      </c>
      <c r="L370" s="170">
        <f>J370+K370</f>
        <v>0</v>
      </c>
      <c r="M370" s="171">
        <f>40</f>
        <v>40</v>
      </c>
      <c r="N370" s="172">
        <f>L370+M370</f>
        <v>40</v>
      </c>
    </row>
    <row r="371" spans="1:14" ht="27.75" customHeight="1">
      <c r="A371" s="230" t="s">
        <v>765</v>
      </c>
      <c r="B371" s="159" t="s">
        <v>701</v>
      </c>
      <c r="C371" s="159" t="s">
        <v>437</v>
      </c>
      <c r="D371" s="159" t="s">
        <v>388</v>
      </c>
      <c r="E371" s="159" t="s">
        <v>766</v>
      </c>
      <c r="F371" s="159"/>
      <c r="G371" s="177">
        <f aca="true" t="shared" si="93" ref="G371:N371">G372</f>
        <v>40</v>
      </c>
      <c r="H371" s="169">
        <f t="shared" si="93"/>
        <v>0</v>
      </c>
      <c r="I371" s="177">
        <f t="shared" si="93"/>
        <v>0</v>
      </c>
      <c r="J371" s="170">
        <f t="shared" si="93"/>
        <v>65</v>
      </c>
      <c r="K371" s="170">
        <f t="shared" si="93"/>
        <v>-65</v>
      </c>
      <c r="L371" s="170">
        <f t="shared" si="93"/>
        <v>0</v>
      </c>
      <c r="M371" s="171">
        <f t="shared" si="93"/>
        <v>0</v>
      </c>
      <c r="N371" s="172">
        <f t="shared" si="93"/>
        <v>0</v>
      </c>
    </row>
    <row r="372" spans="1:14" ht="27" thickBot="1">
      <c r="A372" s="230" t="s">
        <v>758</v>
      </c>
      <c r="B372" s="159" t="s">
        <v>701</v>
      </c>
      <c r="C372" s="159" t="s">
        <v>437</v>
      </c>
      <c r="D372" s="159" t="s">
        <v>388</v>
      </c>
      <c r="E372" s="159" t="s">
        <v>766</v>
      </c>
      <c r="F372" s="159" t="s">
        <v>764</v>
      </c>
      <c r="G372" s="177">
        <v>40</v>
      </c>
      <c r="H372" s="169"/>
      <c r="I372" s="177"/>
      <c r="J372" s="170">
        <v>65</v>
      </c>
      <c r="K372" s="170">
        <v>-65</v>
      </c>
      <c r="L372" s="170">
        <f>J372+K372</f>
        <v>0</v>
      </c>
      <c r="M372" s="171"/>
      <c r="N372" s="172">
        <f>L372+M372</f>
        <v>0</v>
      </c>
    </row>
    <row r="373" spans="1:14" ht="15.75" customHeight="1" hidden="1" thickBot="1">
      <c r="A373" s="204" t="s">
        <v>767</v>
      </c>
      <c r="B373" s="168" t="s">
        <v>768</v>
      </c>
      <c r="C373" s="168"/>
      <c r="D373" s="168"/>
      <c r="E373" s="168"/>
      <c r="F373" s="168"/>
      <c r="G373" s="161">
        <f aca="true" t="shared" si="94" ref="G373:N374">G374</f>
        <v>0</v>
      </c>
      <c r="H373" s="161">
        <f t="shared" si="94"/>
        <v>526.1</v>
      </c>
      <c r="I373" s="161">
        <f t="shared" si="94"/>
        <v>0</v>
      </c>
      <c r="J373" s="161">
        <f t="shared" si="94"/>
        <v>0</v>
      </c>
      <c r="K373" s="161">
        <f t="shared" si="94"/>
        <v>0</v>
      </c>
      <c r="L373" s="161">
        <f t="shared" si="94"/>
        <v>0</v>
      </c>
      <c r="M373" s="225">
        <f t="shared" si="94"/>
        <v>0</v>
      </c>
      <c r="N373" s="226">
        <f t="shared" si="94"/>
        <v>0</v>
      </c>
    </row>
    <row r="374" spans="1:14" ht="44.25" customHeight="1" hidden="1">
      <c r="A374" s="229" t="s">
        <v>400</v>
      </c>
      <c r="B374" s="168" t="s">
        <v>768</v>
      </c>
      <c r="C374" s="168" t="s">
        <v>384</v>
      </c>
      <c r="D374" s="159"/>
      <c r="E374" s="159"/>
      <c r="F374" s="159"/>
      <c r="G374" s="155">
        <f t="shared" si="94"/>
        <v>0</v>
      </c>
      <c r="H374" s="155">
        <f t="shared" si="94"/>
        <v>526.1</v>
      </c>
      <c r="I374" s="155">
        <f t="shared" si="94"/>
        <v>0</v>
      </c>
      <c r="J374" s="161">
        <f t="shared" si="94"/>
        <v>0</v>
      </c>
      <c r="K374" s="161">
        <f t="shared" si="94"/>
        <v>0</v>
      </c>
      <c r="L374" s="161">
        <f t="shared" si="94"/>
        <v>0</v>
      </c>
      <c r="M374" s="165">
        <f t="shared" si="94"/>
        <v>0</v>
      </c>
      <c r="N374" s="166">
        <f t="shared" si="94"/>
        <v>0</v>
      </c>
    </row>
    <row r="375" spans="1:14" s="340" customFormat="1" ht="15" customHeight="1" hidden="1">
      <c r="A375" s="229" t="s">
        <v>402</v>
      </c>
      <c r="B375" s="168" t="s">
        <v>768</v>
      </c>
      <c r="C375" s="168" t="s">
        <v>384</v>
      </c>
      <c r="D375" s="168" t="s">
        <v>383</v>
      </c>
      <c r="E375" s="168"/>
      <c r="F375" s="168"/>
      <c r="G375" s="155">
        <f aca="true" t="shared" si="95" ref="G375:M375">G376+G378</f>
        <v>0</v>
      </c>
      <c r="H375" s="155">
        <f t="shared" si="95"/>
        <v>526.1</v>
      </c>
      <c r="I375" s="155">
        <f t="shared" si="95"/>
        <v>0</v>
      </c>
      <c r="J375" s="161">
        <f t="shared" si="95"/>
        <v>0</v>
      </c>
      <c r="K375" s="161">
        <f t="shared" si="95"/>
        <v>0</v>
      </c>
      <c r="L375" s="161">
        <f t="shared" si="95"/>
        <v>0</v>
      </c>
      <c r="M375" s="188">
        <f t="shared" si="95"/>
        <v>0</v>
      </c>
      <c r="N375" s="209">
        <f>N376+N378</f>
        <v>0</v>
      </c>
    </row>
    <row r="376" spans="1:14" ht="60.75" customHeight="1" hidden="1">
      <c r="A376" s="230" t="s">
        <v>769</v>
      </c>
      <c r="B376" s="159" t="s">
        <v>768</v>
      </c>
      <c r="C376" s="159" t="s">
        <v>384</v>
      </c>
      <c r="D376" s="159" t="s">
        <v>383</v>
      </c>
      <c r="E376" s="159" t="s">
        <v>649</v>
      </c>
      <c r="F376" s="159"/>
      <c r="G376" s="177">
        <f aca="true" t="shared" si="96" ref="G376:N376">G377</f>
        <v>0</v>
      </c>
      <c r="H376" s="177">
        <f t="shared" si="96"/>
        <v>316.5</v>
      </c>
      <c r="I376" s="177">
        <f t="shared" si="96"/>
        <v>0</v>
      </c>
      <c r="J376" s="170">
        <f t="shared" si="96"/>
        <v>0</v>
      </c>
      <c r="K376" s="170">
        <f t="shared" si="96"/>
        <v>0</v>
      </c>
      <c r="L376" s="170">
        <f t="shared" si="96"/>
        <v>0</v>
      </c>
      <c r="M376" s="171">
        <f t="shared" si="96"/>
        <v>0</v>
      </c>
      <c r="N376" s="172">
        <f t="shared" si="96"/>
        <v>0</v>
      </c>
    </row>
    <row r="377" spans="1:14" ht="30.75" customHeight="1" hidden="1">
      <c r="A377" s="230" t="s">
        <v>487</v>
      </c>
      <c r="B377" s="159" t="s">
        <v>768</v>
      </c>
      <c r="C377" s="159" t="s">
        <v>384</v>
      </c>
      <c r="D377" s="159" t="s">
        <v>383</v>
      </c>
      <c r="E377" s="159" t="s">
        <v>649</v>
      </c>
      <c r="F377" s="159" t="s">
        <v>485</v>
      </c>
      <c r="G377" s="177"/>
      <c r="H377" s="169">
        <v>316.5</v>
      </c>
      <c r="I377" s="177"/>
      <c r="J377" s="170"/>
      <c r="K377" s="170"/>
      <c r="L377" s="170">
        <f>J377+K377</f>
        <v>0</v>
      </c>
      <c r="M377" s="171"/>
      <c r="N377" s="172">
        <f>L377+M377</f>
        <v>0</v>
      </c>
    </row>
    <row r="378" spans="1:14" ht="60.75" customHeight="1" hidden="1">
      <c r="A378" s="230" t="s">
        <v>770</v>
      </c>
      <c r="B378" s="159" t="s">
        <v>768</v>
      </c>
      <c r="C378" s="159" t="s">
        <v>384</v>
      </c>
      <c r="D378" s="159" t="s">
        <v>383</v>
      </c>
      <c r="E378" s="159" t="s">
        <v>651</v>
      </c>
      <c r="F378" s="159"/>
      <c r="G378" s="177">
        <f aca="true" t="shared" si="97" ref="G378:N378">G379</f>
        <v>0</v>
      </c>
      <c r="H378" s="177">
        <f t="shared" si="97"/>
        <v>209.6</v>
      </c>
      <c r="I378" s="177">
        <f t="shared" si="97"/>
        <v>0</v>
      </c>
      <c r="J378" s="170">
        <f t="shared" si="97"/>
        <v>0</v>
      </c>
      <c r="K378" s="170">
        <f t="shared" si="97"/>
        <v>0</v>
      </c>
      <c r="L378" s="170">
        <f t="shared" si="97"/>
        <v>0</v>
      </c>
      <c r="M378" s="171">
        <f t="shared" si="97"/>
        <v>0</v>
      </c>
      <c r="N378" s="172">
        <f t="shared" si="97"/>
        <v>0</v>
      </c>
    </row>
    <row r="379" spans="1:14" ht="30.75" customHeight="1" hidden="1">
      <c r="A379" s="230" t="s">
        <v>487</v>
      </c>
      <c r="B379" s="159" t="s">
        <v>768</v>
      </c>
      <c r="C379" s="159" t="s">
        <v>384</v>
      </c>
      <c r="D379" s="159" t="s">
        <v>383</v>
      </c>
      <c r="E379" s="159" t="s">
        <v>651</v>
      </c>
      <c r="F379" s="159" t="s">
        <v>485</v>
      </c>
      <c r="G379" s="177"/>
      <c r="H379" s="169">
        <v>209.6</v>
      </c>
      <c r="I379" s="177"/>
      <c r="J379" s="170"/>
      <c r="K379" s="170"/>
      <c r="L379" s="170">
        <f>J379+K379</f>
        <v>0</v>
      </c>
      <c r="M379" s="180"/>
      <c r="N379" s="181">
        <f>L379+M379</f>
        <v>0</v>
      </c>
    </row>
    <row r="380" spans="1:17" ht="27" thickBot="1">
      <c r="A380" s="204" t="s">
        <v>771</v>
      </c>
      <c r="B380" s="168" t="s">
        <v>772</v>
      </c>
      <c r="C380" s="168"/>
      <c r="D380" s="168"/>
      <c r="E380" s="168"/>
      <c r="F380" s="168"/>
      <c r="G380" s="161" t="e">
        <f>G381+G456+G472+G494+G528+#REF!+#REF!+G444</f>
        <v>#REF!</v>
      </c>
      <c r="H380" s="161" t="e">
        <f>H381+H456+H472+H494+H528+#REF!+#REF!+H444</f>
        <v>#REF!</v>
      </c>
      <c r="I380" s="250" t="e">
        <f>I381+I456+I472+I494+I528+#REF!+#REF!+I444</f>
        <v>#REF!</v>
      </c>
      <c r="J380" s="251">
        <f>J381+J444+J456+J472+J494+J528+J542+J565+J537</f>
        <v>42432.99999999999</v>
      </c>
      <c r="K380" s="251">
        <f>K381+K444+K456+K472+K494+K528+K542+K565+K537</f>
        <v>19037.285</v>
      </c>
      <c r="L380" s="251">
        <f>L381+L444+L456+L472+L494+L528+L542+L565+L537</f>
        <v>61470.284999999996</v>
      </c>
      <c r="M380" s="460" t="e">
        <f>M381+M456+M472+M494+M528+#REF!+#REF!+M444+M565+M542</f>
        <v>#REF!</v>
      </c>
      <c r="N380" s="460" t="e">
        <f>N381+N456+N472+N494+N528+#REF!+#REF!+N444+N565+N542</f>
        <v>#REF!</v>
      </c>
      <c r="O380" s="448">
        <f>L385+L386+L390+L391+L392+L393+L395+L396+L408+L409+L410+L411+L412+L413+L414+L421+L424+L441+L443+L449+L453+L455+L461+L465+L467+L471+L475+L478+L481+L484+L489+L493+L498+L502+L505+L509+L527+L531+L536+L541+L545+L548+L558+L560+L564+L570</f>
        <v>34924.884999999995</v>
      </c>
      <c r="Q380" s="448"/>
    </row>
    <row r="381" spans="1:15" s="462" customFormat="1" ht="14.25">
      <c r="A381" s="229" t="s">
        <v>380</v>
      </c>
      <c r="B381" s="168" t="s">
        <v>772</v>
      </c>
      <c r="C381" s="168" t="s">
        <v>382</v>
      </c>
      <c r="D381" s="168"/>
      <c r="E381" s="168"/>
      <c r="F381" s="168"/>
      <c r="G381" s="161" t="e">
        <f>G382+G387+G397+#REF!+G425+#REF!</f>
        <v>#REF!</v>
      </c>
      <c r="H381" s="161" t="e">
        <f>H382+H387+H397+H425+#REF!+H417</f>
        <v>#REF!</v>
      </c>
      <c r="I381" s="161" t="e">
        <f>I382+I387+I397+I425+#REF!+I417</f>
        <v>#REF!</v>
      </c>
      <c r="J381" s="161">
        <f>J382+J387+J397+J415+J425+J430+J419</f>
        <v>18582.329999999998</v>
      </c>
      <c r="K381" s="161">
        <f>K382+K387+K397+K415+K425+K430+K419</f>
        <v>-202.19500000000016</v>
      </c>
      <c r="L381" s="161">
        <f>L382+L387+L397+L415+L425+L430+L419</f>
        <v>18380.135000000002</v>
      </c>
      <c r="M381" s="165" t="e">
        <f>M382+M387+M397+M425+#REF!+M417</f>
        <v>#REF!</v>
      </c>
      <c r="N381" s="166" t="e">
        <f>N382+N387+N397+N425+#REF!+N417</f>
        <v>#REF!</v>
      </c>
      <c r="O381" s="461"/>
    </row>
    <row r="382" spans="1:14" s="340" customFormat="1" ht="51">
      <c r="A382" s="229" t="s">
        <v>773</v>
      </c>
      <c r="B382" s="168" t="s">
        <v>772</v>
      </c>
      <c r="C382" s="168" t="s">
        <v>382</v>
      </c>
      <c r="D382" s="168" t="s">
        <v>383</v>
      </c>
      <c r="E382" s="168"/>
      <c r="F382" s="168"/>
      <c r="G382" s="155" t="e">
        <f aca="true" t="shared" si="98" ref="G382:N383">G383</f>
        <v>#REF!</v>
      </c>
      <c r="H382" s="155" t="e">
        <f t="shared" si="98"/>
        <v>#REF!</v>
      </c>
      <c r="I382" s="155" t="e">
        <f t="shared" si="98"/>
        <v>#REF!</v>
      </c>
      <c r="J382" s="251">
        <f t="shared" si="98"/>
        <v>1012.93</v>
      </c>
      <c r="K382" s="161">
        <f>K383</f>
        <v>-30.191999999999894</v>
      </c>
      <c r="L382" s="161">
        <f t="shared" si="98"/>
        <v>982.738</v>
      </c>
      <c r="M382" s="188" t="e">
        <f t="shared" si="98"/>
        <v>#REF!</v>
      </c>
      <c r="N382" s="209" t="e">
        <f t="shared" si="98"/>
        <v>#REF!</v>
      </c>
    </row>
    <row r="383" spans="1:14" ht="26.25">
      <c r="A383" s="230" t="s">
        <v>759</v>
      </c>
      <c r="B383" s="159" t="s">
        <v>772</v>
      </c>
      <c r="C383" s="159" t="s">
        <v>382</v>
      </c>
      <c r="D383" s="159" t="s">
        <v>383</v>
      </c>
      <c r="E383" s="159" t="s">
        <v>543</v>
      </c>
      <c r="F383" s="159"/>
      <c r="G383" s="177" t="e">
        <f t="shared" si="98"/>
        <v>#REF!</v>
      </c>
      <c r="H383" s="177" t="e">
        <f t="shared" si="98"/>
        <v>#REF!</v>
      </c>
      <c r="I383" s="177" t="e">
        <f t="shared" si="98"/>
        <v>#REF!</v>
      </c>
      <c r="J383" s="253">
        <f t="shared" si="98"/>
        <v>1012.93</v>
      </c>
      <c r="K383" s="170">
        <f>K384</f>
        <v>-30.191999999999894</v>
      </c>
      <c r="L383" s="170">
        <f t="shared" si="98"/>
        <v>982.738</v>
      </c>
      <c r="M383" s="171" t="e">
        <f t="shared" si="98"/>
        <v>#REF!</v>
      </c>
      <c r="N383" s="172" t="e">
        <f t="shared" si="98"/>
        <v>#REF!</v>
      </c>
    </row>
    <row r="384" spans="1:14" ht="15">
      <c r="A384" s="230" t="s">
        <v>774</v>
      </c>
      <c r="B384" s="159" t="s">
        <v>772</v>
      </c>
      <c r="C384" s="159" t="s">
        <v>382</v>
      </c>
      <c r="D384" s="159" t="s">
        <v>383</v>
      </c>
      <c r="E384" s="159" t="s">
        <v>775</v>
      </c>
      <c r="F384" s="159"/>
      <c r="G384" s="177" t="e">
        <f>#REF!</f>
        <v>#REF!</v>
      </c>
      <c r="H384" s="177" t="e">
        <f>#REF!</f>
        <v>#REF!</v>
      </c>
      <c r="I384" s="177" t="e">
        <f>#REF!</f>
        <v>#REF!</v>
      </c>
      <c r="J384" s="170">
        <f>J385+J386</f>
        <v>1012.93</v>
      </c>
      <c r="K384" s="170">
        <f>K385+K386</f>
        <v>-30.191999999999894</v>
      </c>
      <c r="L384" s="170">
        <f>L385+L386</f>
        <v>982.738</v>
      </c>
      <c r="M384" s="171" t="e">
        <f>#REF!</f>
        <v>#REF!</v>
      </c>
      <c r="N384" s="172" t="e">
        <f>#REF!</f>
        <v>#REF!</v>
      </c>
    </row>
    <row r="385" spans="1:15" ht="25.5">
      <c r="A385" s="213" t="s">
        <v>584</v>
      </c>
      <c r="B385" s="159" t="s">
        <v>772</v>
      </c>
      <c r="C385" s="159" t="s">
        <v>382</v>
      </c>
      <c r="D385" s="159" t="s">
        <v>383</v>
      </c>
      <c r="E385" s="159" t="s">
        <v>775</v>
      </c>
      <c r="F385" s="159" t="s">
        <v>585</v>
      </c>
      <c r="G385" s="177"/>
      <c r="H385" s="169"/>
      <c r="I385" s="177"/>
      <c r="J385" s="253"/>
      <c r="K385" s="170">
        <f>754.788+227.95</f>
        <v>982.738</v>
      </c>
      <c r="L385" s="170">
        <f>J385+K385</f>
        <v>982.738</v>
      </c>
      <c r="M385" s="171"/>
      <c r="N385" s="172"/>
      <c r="O385" s="247"/>
    </row>
    <row r="386" spans="1:15" ht="26.25">
      <c r="A386" s="230" t="s">
        <v>487</v>
      </c>
      <c r="B386" s="159" t="s">
        <v>772</v>
      </c>
      <c r="C386" s="159" t="s">
        <v>382</v>
      </c>
      <c r="D386" s="159" t="s">
        <v>383</v>
      </c>
      <c r="E386" s="159" t="s">
        <v>775</v>
      </c>
      <c r="F386" s="159" t="s">
        <v>485</v>
      </c>
      <c r="G386" s="177"/>
      <c r="H386" s="169">
        <v>861</v>
      </c>
      <c r="I386" s="177"/>
      <c r="J386" s="253">
        <v>1012.93</v>
      </c>
      <c r="K386" s="170">
        <v>-1012.93</v>
      </c>
      <c r="L386" s="170">
        <f>J386+K386</f>
        <v>0</v>
      </c>
      <c r="M386" s="171"/>
      <c r="N386" s="172">
        <f>L386+M386</f>
        <v>0</v>
      </c>
      <c r="O386" s="247"/>
    </row>
    <row r="387" spans="1:14" s="340" customFormat="1" ht="63.75">
      <c r="A387" s="229" t="s">
        <v>776</v>
      </c>
      <c r="B387" s="168" t="s">
        <v>772</v>
      </c>
      <c r="C387" s="168" t="s">
        <v>382</v>
      </c>
      <c r="D387" s="168" t="s">
        <v>384</v>
      </c>
      <c r="E387" s="168"/>
      <c r="F387" s="168"/>
      <c r="G387" s="155" t="e">
        <f aca="true" t="shared" si="99" ref="G387:N387">G388</f>
        <v>#REF!</v>
      </c>
      <c r="H387" s="155" t="e">
        <f t="shared" si="99"/>
        <v>#REF!</v>
      </c>
      <c r="I387" s="155" t="e">
        <f t="shared" si="99"/>
        <v>#REF!</v>
      </c>
      <c r="J387" s="251">
        <f>J388</f>
        <v>1589.6999999999998</v>
      </c>
      <c r="K387" s="161">
        <f t="shared" si="99"/>
        <v>-373.2529999999998</v>
      </c>
      <c r="L387" s="161">
        <f t="shared" si="99"/>
        <v>1216.4470000000001</v>
      </c>
      <c r="M387" s="188" t="e">
        <f t="shared" si="99"/>
        <v>#REF!</v>
      </c>
      <c r="N387" s="209" t="e">
        <f t="shared" si="99"/>
        <v>#REF!</v>
      </c>
    </row>
    <row r="388" spans="1:14" ht="26.25">
      <c r="A388" s="230" t="s">
        <v>759</v>
      </c>
      <c r="B388" s="159" t="s">
        <v>772</v>
      </c>
      <c r="C388" s="159" t="s">
        <v>382</v>
      </c>
      <c r="D388" s="159" t="s">
        <v>384</v>
      </c>
      <c r="E388" s="159" t="s">
        <v>543</v>
      </c>
      <c r="F388" s="159"/>
      <c r="G388" s="177" t="e">
        <f aca="true" t="shared" si="100" ref="G388:N388">G389+G394</f>
        <v>#REF!</v>
      </c>
      <c r="H388" s="169" t="e">
        <f t="shared" si="100"/>
        <v>#REF!</v>
      </c>
      <c r="I388" s="177" t="e">
        <f t="shared" si="100"/>
        <v>#REF!</v>
      </c>
      <c r="J388" s="253">
        <f t="shared" si="100"/>
        <v>1589.6999999999998</v>
      </c>
      <c r="K388" s="170">
        <f t="shared" si="100"/>
        <v>-373.2529999999998</v>
      </c>
      <c r="L388" s="170">
        <f t="shared" si="100"/>
        <v>1216.4470000000001</v>
      </c>
      <c r="M388" s="171" t="e">
        <f t="shared" si="100"/>
        <v>#REF!</v>
      </c>
      <c r="N388" s="172" t="e">
        <f t="shared" si="100"/>
        <v>#REF!</v>
      </c>
    </row>
    <row r="389" spans="1:14" ht="15">
      <c r="A389" s="230" t="s">
        <v>544</v>
      </c>
      <c r="B389" s="159" t="s">
        <v>772</v>
      </c>
      <c r="C389" s="159" t="s">
        <v>382</v>
      </c>
      <c r="D389" s="159" t="s">
        <v>384</v>
      </c>
      <c r="E389" s="159" t="s">
        <v>545</v>
      </c>
      <c r="F389" s="159"/>
      <c r="G389" s="177" t="e">
        <f>#REF!</f>
        <v>#REF!</v>
      </c>
      <c r="H389" s="177" t="e">
        <f>#REF!</f>
        <v>#REF!</v>
      </c>
      <c r="I389" s="177" t="e">
        <f>#REF!</f>
        <v>#REF!</v>
      </c>
      <c r="J389" s="170">
        <f>J390+J391+J392+J393</f>
        <v>885.05</v>
      </c>
      <c r="K389" s="170">
        <f>K390+K391+K392+K393</f>
        <v>-352.2449999999999</v>
      </c>
      <c r="L389" s="170">
        <f>L390+L391+L392+L393</f>
        <v>532.8050000000001</v>
      </c>
      <c r="M389" s="171" t="e">
        <f>#REF!</f>
        <v>#REF!</v>
      </c>
      <c r="N389" s="172" t="e">
        <f>#REF!</f>
        <v>#REF!</v>
      </c>
    </row>
    <row r="390" spans="1:15" ht="25.5">
      <c r="A390" s="213" t="s">
        <v>584</v>
      </c>
      <c r="B390" s="159" t="s">
        <v>772</v>
      </c>
      <c r="C390" s="159" t="s">
        <v>382</v>
      </c>
      <c r="D390" s="159" t="s">
        <v>384</v>
      </c>
      <c r="E390" s="159" t="s">
        <v>545</v>
      </c>
      <c r="F390" s="159" t="s">
        <v>585</v>
      </c>
      <c r="G390" s="177"/>
      <c r="H390" s="169"/>
      <c r="I390" s="177"/>
      <c r="J390" s="253"/>
      <c r="K390" s="170">
        <f>311.675+94.13</f>
        <v>405.805</v>
      </c>
      <c r="L390" s="170">
        <f>J390+K390</f>
        <v>405.805</v>
      </c>
      <c r="M390" s="171"/>
      <c r="N390" s="172"/>
      <c r="O390" s="247"/>
    </row>
    <row r="391" spans="1:15" ht="38.25">
      <c r="A391" s="213" t="s">
        <v>587</v>
      </c>
      <c r="B391" s="159" t="s">
        <v>772</v>
      </c>
      <c r="C391" s="159" t="s">
        <v>382</v>
      </c>
      <c r="D391" s="159" t="s">
        <v>384</v>
      </c>
      <c r="E391" s="159" t="s">
        <v>545</v>
      </c>
      <c r="F391" s="159" t="s">
        <v>588</v>
      </c>
      <c r="G391" s="177"/>
      <c r="H391" s="169"/>
      <c r="I391" s="177"/>
      <c r="J391" s="253"/>
      <c r="K391" s="170">
        <v>27</v>
      </c>
      <c r="L391" s="170">
        <f>J391+K391</f>
        <v>27</v>
      </c>
      <c r="M391" s="171"/>
      <c r="N391" s="172"/>
      <c r="O391" s="247"/>
    </row>
    <row r="392" spans="1:15" ht="38.25">
      <c r="A392" s="213" t="s">
        <v>577</v>
      </c>
      <c r="B392" s="159" t="s">
        <v>772</v>
      </c>
      <c r="C392" s="159" t="s">
        <v>382</v>
      </c>
      <c r="D392" s="159" t="s">
        <v>384</v>
      </c>
      <c r="E392" s="159" t="s">
        <v>545</v>
      </c>
      <c r="F392" s="159" t="s">
        <v>579</v>
      </c>
      <c r="G392" s="177"/>
      <c r="H392" s="169"/>
      <c r="I392" s="177"/>
      <c r="J392" s="253"/>
      <c r="K392" s="170">
        <v>100</v>
      </c>
      <c r="L392" s="170">
        <f>J392+K392</f>
        <v>100</v>
      </c>
      <c r="M392" s="171"/>
      <c r="N392" s="172"/>
      <c r="O392" s="247"/>
    </row>
    <row r="393" spans="1:15" ht="26.25">
      <c r="A393" s="230" t="s">
        <v>487</v>
      </c>
      <c r="B393" s="159" t="s">
        <v>772</v>
      </c>
      <c r="C393" s="159" t="s">
        <v>382</v>
      </c>
      <c r="D393" s="159" t="s">
        <v>384</v>
      </c>
      <c r="E393" s="159" t="s">
        <v>545</v>
      </c>
      <c r="F393" s="159" t="s">
        <v>485</v>
      </c>
      <c r="G393" s="177">
        <v>30</v>
      </c>
      <c r="H393" s="169">
        <v>615</v>
      </c>
      <c r="I393" s="177"/>
      <c r="J393" s="253">
        <v>885.05</v>
      </c>
      <c r="K393" s="170">
        <v>-885.05</v>
      </c>
      <c r="L393" s="170">
        <f>J393+K393</f>
        <v>0</v>
      </c>
      <c r="M393" s="171"/>
      <c r="N393" s="172">
        <f>L393+M393</f>
        <v>0</v>
      </c>
      <c r="O393" s="247"/>
    </row>
    <row r="394" spans="1:14" ht="26.25">
      <c r="A394" s="230" t="s">
        <v>777</v>
      </c>
      <c r="B394" s="159" t="s">
        <v>772</v>
      </c>
      <c r="C394" s="159" t="s">
        <v>382</v>
      </c>
      <c r="D394" s="159" t="s">
        <v>384</v>
      </c>
      <c r="E394" s="159" t="s">
        <v>778</v>
      </c>
      <c r="F394" s="159"/>
      <c r="G394" s="177" t="e">
        <f>#REF!</f>
        <v>#REF!</v>
      </c>
      <c r="H394" s="169" t="e">
        <f>#REF!</f>
        <v>#REF!</v>
      </c>
      <c r="I394" s="177" t="e">
        <f>#REF!</f>
        <v>#REF!</v>
      </c>
      <c r="J394" s="170">
        <f>J395+J396</f>
        <v>704.65</v>
      </c>
      <c r="K394" s="170">
        <f>K395+K396</f>
        <v>-21.007999999999925</v>
      </c>
      <c r="L394" s="170">
        <f>L395+L396</f>
        <v>683.642</v>
      </c>
      <c r="M394" s="171" t="e">
        <f>#REF!</f>
        <v>#REF!</v>
      </c>
      <c r="N394" s="172" t="e">
        <f>#REF!</f>
        <v>#REF!</v>
      </c>
    </row>
    <row r="395" spans="1:15" ht="25.5">
      <c r="A395" s="213" t="s">
        <v>584</v>
      </c>
      <c r="B395" s="159" t="s">
        <v>772</v>
      </c>
      <c r="C395" s="159" t="s">
        <v>382</v>
      </c>
      <c r="D395" s="159" t="s">
        <v>384</v>
      </c>
      <c r="E395" s="159" t="s">
        <v>778</v>
      </c>
      <c r="F395" s="159" t="s">
        <v>585</v>
      </c>
      <c r="G395" s="177"/>
      <c r="H395" s="169"/>
      <c r="I395" s="177"/>
      <c r="J395" s="253"/>
      <c r="K395" s="170">
        <f>525.072+158.57</f>
        <v>683.642</v>
      </c>
      <c r="L395" s="170">
        <f>J395+K395</f>
        <v>683.642</v>
      </c>
      <c r="M395" s="171"/>
      <c r="N395" s="172"/>
      <c r="O395" s="247"/>
    </row>
    <row r="396" spans="1:15" ht="26.25">
      <c r="A396" s="230" t="s">
        <v>487</v>
      </c>
      <c r="B396" s="159" t="s">
        <v>772</v>
      </c>
      <c r="C396" s="159" t="s">
        <v>382</v>
      </c>
      <c r="D396" s="159" t="s">
        <v>384</v>
      </c>
      <c r="E396" s="159" t="s">
        <v>778</v>
      </c>
      <c r="F396" s="159" t="s">
        <v>485</v>
      </c>
      <c r="G396" s="177"/>
      <c r="H396" s="169">
        <v>738</v>
      </c>
      <c r="I396" s="177"/>
      <c r="J396" s="253">
        <v>704.65</v>
      </c>
      <c r="K396" s="170">
        <v>-704.65</v>
      </c>
      <c r="L396" s="170">
        <f>J396+K396</f>
        <v>0</v>
      </c>
      <c r="M396" s="171"/>
      <c r="N396" s="172">
        <f>L396+M396</f>
        <v>0</v>
      </c>
      <c r="O396" s="247"/>
    </row>
    <row r="397" spans="1:14" s="340" customFormat="1" ht="63.75">
      <c r="A397" s="229" t="s">
        <v>623</v>
      </c>
      <c r="B397" s="168" t="s">
        <v>772</v>
      </c>
      <c r="C397" s="168" t="s">
        <v>382</v>
      </c>
      <c r="D397" s="168" t="s">
        <v>385</v>
      </c>
      <c r="E397" s="168"/>
      <c r="F397" s="168"/>
      <c r="G397" s="155" t="e">
        <f>G406+G399+G401</f>
        <v>#REF!</v>
      </c>
      <c r="H397" s="161" t="e">
        <f>H406+H399+H401+#REF!+#REF!</f>
        <v>#REF!</v>
      </c>
      <c r="I397" s="161" t="e">
        <f>I406+I399+I401+#REF!+#REF!</f>
        <v>#REF!</v>
      </c>
      <c r="J397" s="251">
        <f>J398+J406</f>
        <v>15254.17</v>
      </c>
      <c r="K397" s="251">
        <f>K398+K406</f>
        <v>-809.4200000000004</v>
      </c>
      <c r="L397" s="251">
        <f>L398+L406</f>
        <v>14444.75</v>
      </c>
      <c r="M397" s="188" t="e">
        <f>M406+M399+M401+#REF!+#REF!</f>
        <v>#REF!</v>
      </c>
      <c r="N397" s="209" t="e">
        <f>N406+N399+N401+#REF!+#REF!</f>
        <v>#REF!</v>
      </c>
    </row>
    <row r="398" spans="1:14" ht="25.5">
      <c r="A398" s="456" t="s">
        <v>759</v>
      </c>
      <c r="B398" s="159" t="s">
        <v>772</v>
      </c>
      <c r="C398" s="159" t="s">
        <v>382</v>
      </c>
      <c r="D398" s="159" t="s">
        <v>385</v>
      </c>
      <c r="E398" s="159" t="s">
        <v>979</v>
      </c>
      <c r="F398" s="159"/>
      <c r="G398" s="177"/>
      <c r="H398" s="170"/>
      <c r="I398" s="170"/>
      <c r="J398" s="253">
        <f>J399+J401</f>
        <v>646.3</v>
      </c>
      <c r="K398" s="253">
        <f>K399+K401</f>
        <v>-41.3</v>
      </c>
      <c r="L398" s="253">
        <f>L399+L401</f>
        <v>605</v>
      </c>
      <c r="M398" s="171"/>
      <c r="N398" s="172"/>
    </row>
    <row r="399" spans="1:14" s="340" customFormat="1" ht="45.75" customHeight="1">
      <c r="A399" s="208" t="s">
        <v>779</v>
      </c>
      <c r="B399" s="159" t="s">
        <v>772</v>
      </c>
      <c r="C399" s="159" t="s">
        <v>382</v>
      </c>
      <c r="D399" s="159" t="s">
        <v>385</v>
      </c>
      <c r="E399" s="159" t="s">
        <v>780</v>
      </c>
      <c r="F399" s="159"/>
      <c r="G399" s="177">
        <f aca="true" t="shared" si="101" ref="G399:N399">G400</f>
        <v>47.3</v>
      </c>
      <c r="H399" s="177">
        <f t="shared" si="101"/>
        <v>0</v>
      </c>
      <c r="I399" s="177">
        <f t="shared" si="101"/>
        <v>0</v>
      </c>
      <c r="J399" s="253">
        <f t="shared" si="101"/>
        <v>54.3</v>
      </c>
      <c r="K399" s="170">
        <f t="shared" si="101"/>
        <v>-54.3</v>
      </c>
      <c r="L399" s="170">
        <f t="shared" si="101"/>
        <v>0</v>
      </c>
      <c r="M399" s="171">
        <f t="shared" si="101"/>
        <v>0</v>
      </c>
      <c r="N399" s="172">
        <f t="shared" si="101"/>
        <v>0</v>
      </c>
    </row>
    <row r="400" spans="1:14" s="340" customFormat="1" ht="31.5" customHeight="1">
      <c r="A400" s="230" t="s">
        <v>628</v>
      </c>
      <c r="B400" s="159" t="s">
        <v>772</v>
      </c>
      <c r="C400" s="159" t="s">
        <v>382</v>
      </c>
      <c r="D400" s="159" t="s">
        <v>385</v>
      </c>
      <c r="E400" s="159" t="s">
        <v>780</v>
      </c>
      <c r="F400" s="159" t="s">
        <v>583</v>
      </c>
      <c r="G400" s="177">
        <v>47.3</v>
      </c>
      <c r="H400" s="169"/>
      <c r="I400" s="177"/>
      <c r="J400" s="253">
        <v>54.3</v>
      </c>
      <c r="K400" s="170">
        <v>-54.3</v>
      </c>
      <c r="L400" s="170">
        <f>J400+K400</f>
        <v>0</v>
      </c>
      <c r="M400" s="171">
        <f>49.6-49.6</f>
        <v>0</v>
      </c>
      <c r="N400" s="172">
        <f>L400+M400</f>
        <v>0</v>
      </c>
    </row>
    <row r="401" spans="1:14" s="340" customFormat="1" ht="51">
      <c r="A401" s="208" t="s">
        <v>540</v>
      </c>
      <c r="B401" s="159" t="s">
        <v>772</v>
      </c>
      <c r="C401" s="159" t="s">
        <v>382</v>
      </c>
      <c r="D401" s="159" t="s">
        <v>385</v>
      </c>
      <c r="E401" s="159" t="s">
        <v>541</v>
      </c>
      <c r="F401" s="159"/>
      <c r="G401" s="161" t="e">
        <f>#REF!</f>
        <v>#REF!</v>
      </c>
      <c r="H401" s="170" t="e">
        <f>#REF!</f>
        <v>#REF!</v>
      </c>
      <c r="I401" s="161" t="e">
        <f>#REF!</f>
        <v>#REF!</v>
      </c>
      <c r="J401" s="170">
        <f>J402+J403+J404+J405</f>
        <v>592</v>
      </c>
      <c r="K401" s="170">
        <f>K402+K403+K404+K405</f>
        <v>13</v>
      </c>
      <c r="L401" s="170">
        <f>L402+L403+L404+L405</f>
        <v>605</v>
      </c>
      <c r="M401" s="188" t="e">
        <f>#REF!</f>
        <v>#REF!</v>
      </c>
      <c r="N401" s="172" t="e">
        <f>#REF!</f>
        <v>#REF!</v>
      </c>
    </row>
    <row r="402" spans="1:17" s="340" customFormat="1" ht="18.75" customHeight="1">
      <c r="A402" s="213" t="s">
        <v>584</v>
      </c>
      <c r="B402" s="159" t="s">
        <v>772</v>
      </c>
      <c r="C402" s="159" t="s">
        <v>382</v>
      </c>
      <c r="D402" s="159" t="s">
        <v>385</v>
      </c>
      <c r="E402" s="159" t="s">
        <v>541</v>
      </c>
      <c r="F402" s="159" t="s">
        <v>585</v>
      </c>
      <c r="G402" s="161"/>
      <c r="H402" s="170"/>
      <c r="I402" s="161"/>
      <c r="J402" s="253"/>
      <c r="K402" s="170">
        <f>238.008+81.399+13</f>
        <v>332.40700000000004</v>
      </c>
      <c r="L402" s="170">
        <f>J402+K402</f>
        <v>332.40700000000004</v>
      </c>
      <c r="M402" s="188"/>
      <c r="N402" s="172"/>
      <c r="O402" s="341"/>
      <c r="Q402" s="459"/>
    </row>
    <row r="403" spans="1:17" s="340" customFormat="1" ht="32.25" customHeight="1">
      <c r="A403" s="213" t="s">
        <v>587</v>
      </c>
      <c r="B403" s="159" t="s">
        <v>772</v>
      </c>
      <c r="C403" s="159" t="s">
        <v>382</v>
      </c>
      <c r="D403" s="159" t="s">
        <v>385</v>
      </c>
      <c r="E403" s="159" t="s">
        <v>541</v>
      </c>
      <c r="F403" s="159" t="s">
        <v>588</v>
      </c>
      <c r="G403" s="161"/>
      <c r="H403" s="170"/>
      <c r="I403" s="161"/>
      <c r="J403" s="253"/>
      <c r="K403" s="170">
        <f>1</f>
        <v>1</v>
      </c>
      <c r="L403" s="170">
        <f>J403+K403</f>
        <v>1</v>
      </c>
      <c r="M403" s="188"/>
      <c r="N403" s="172"/>
      <c r="O403" s="341"/>
      <c r="Q403" s="459"/>
    </row>
    <row r="404" spans="1:17" s="340" customFormat="1" ht="31.5" customHeight="1">
      <c r="A404" s="213" t="s">
        <v>577</v>
      </c>
      <c r="B404" s="159" t="s">
        <v>772</v>
      </c>
      <c r="C404" s="159" t="s">
        <v>382</v>
      </c>
      <c r="D404" s="159" t="s">
        <v>385</v>
      </c>
      <c r="E404" s="159" t="s">
        <v>541</v>
      </c>
      <c r="F404" s="159" t="s">
        <v>579</v>
      </c>
      <c r="G404" s="161"/>
      <c r="H404" s="170"/>
      <c r="I404" s="161"/>
      <c r="J404" s="253"/>
      <c r="K404" s="170">
        <f>30+232+6.593+2+1</f>
        <v>271.593</v>
      </c>
      <c r="L404" s="170">
        <f>J404+K404</f>
        <v>271.593</v>
      </c>
      <c r="M404" s="188"/>
      <c r="N404" s="172"/>
      <c r="O404" s="341"/>
      <c r="Q404" s="459"/>
    </row>
    <row r="405" spans="1:17" s="340" customFormat="1" ht="26.25">
      <c r="A405" s="173" t="s">
        <v>487</v>
      </c>
      <c r="B405" s="159" t="s">
        <v>772</v>
      </c>
      <c r="C405" s="159" t="s">
        <v>382</v>
      </c>
      <c r="D405" s="159" t="s">
        <v>385</v>
      </c>
      <c r="E405" s="159" t="s">
        <v>541</v>
      </c>
      <c r="F405" s="159" t="s">
        <v>485</v>
      </c>
      <c r="G405" s="161" t="e">
        <f>H405-#REF!</f>
        <v>#REF!</v>
      </c>
      <c r="H405" s="170"/>
      <c r="I405" s="161"/>
      <c r="J405" s="253">
        <v>592</v>
      </c>
      <c r="K405" s="170">
        <v>-592</v>
      </c>
      <c r="L405" s="170">
        <f>J405+K405</f>
        <v>0</v>
      </c>
      <c r="M405" s="188"/>
      <c r="N405" s="172">
        <f>L405+M405</f>
        <v>0</v>
      </c>
      <c r="O405" s="341"/>
      <c r="Q405" s="459"/>
    </row>
    <row r="406" spans="1:14" ht="26.25">
      <c r="A406" s="230" t="s">
        <v>759</v>
      </c>
      <c r="B406" s="159" t="s">
        <v>772</v>
      </c>
      <c r="C406" s="159" t="s">
        <v>382</v>
      </c>
      <c r="D406" s="159" t="s">
        <v>385</v>
      </c>
      <c r="E406" s="159" t="s">
        <v>543</v>
      </c>
      <c r="F406" s="159"/>
      <c r="G406" s="177" t="e">
        <f aca="true" t="shared" si="102" ref="G406:N406">G407</f>
        <v>#REF!</v>
      </c>
      <c r="H406" s="177" t="e">
        <f t="shared" si="102"/>
        <v>#REF!</v>
      </c>
      <c r="I406" s="177" t="e">
        <f t="shared" si="102"/>
        <v>#REF!</v>
      </c>
      <c r="J406" s="253">
        <f t="shared" si="102"/>
        <v>14607.87</v>
      </c>
      <c r="K406" s="170">
        <f t="shared" si="102"/>
        <v>-768.1200000000005</v>
      </c>
      <c r="L406" s="170">
        <f t="shared" si="102"/>
        <v>13839.75</v>
      </c>
      <c r="M406" s="171" t="e">
        <f t="shared" si="102"/>
        <v>#REF!</v>
      </c>
      <c r="N406" s="172" t="e">
        <f t="shared" si="102"/>
        <v>#REF!</v>
      </c>
    </row>
    <row r="407" spans="1:14" ht="15">
      <c r="A407" s="230" t="s">
        <v>544</v>
      </c>
      <c r="B407" s="159" t="s">
        <v>772</v>
      </c>
      <c r="C407" s="159" t="s">
        <v>382</v>
      </c>
      <c r="D407" s="159" t="s">
        <v>385</v>
      </c>
      <c r="E407" s="159" t="s">
        <v>545</v>
      </c>
      <c r="F407" s="159"/>
      <c r="G407" s="177" t="e">
        <f>#REF!+#REF!</f>
        <v>#REF!</v>
      </c>
      <c r="H407" s="177" t="e">
        <f>#REF!+#REF!</f>
        <v>#REF!</v>
      </c>
      <c r="I407" s="177" t="e">
        <f>#REF!+#REF!</f>
        <v>#REF!</v>
      </c>
      <c r="J407" s="170">
        <f>J408+J409+J410+J411+J412+J413+J414</f>
        <v>14607.87</v>
      </c>
      <c r="K407" s="170">
        <f>K408+K409+K410+K411+K412+K413+K414</f>
        <v>-768.1200000000005</v>
      </c>
      <c r="L407" s="170">
        <f>L408+L409+L410+L411+L412+L413+L414</f>
        <v>13839.75</v>
      </c>
      <c r="M407" s="171" t="e">
        <f>#REF!+#REF!+M408+M409+M411+M413+M414+M410</f>
        <v>#REF!</v>
      </c>
      <c r="N407" s="171" t="e">
        <f>#REF!+#REF!+N408+N409+N411+N413+N414+N410</f>
        <v>#REF!</v>
      </c>
    </row>
    <row r="408" spans="1:14" ht="20.25" customHeight="1">
      <c r="A408" s="213" t="s">
        <v>584</v>
      </c>
      <c r="B408" s="159" t="s">
        <v>772</v>
      </c>
      <c r="C408" s="159" t="s">
        <v>382</v>
      </c>
      <c r="D408" s="159" t="s">
        <v>385</v>
      </c>
      <c r="E408" s="159" t="s">
        <v>545</v>
      </c>
      <c r="F408" s="159" t="s">
        <v>585</v>
      </c>
      <c r="G408" s="155"/>
      <c r="H408" s="169"/>
      <c r="I408" s="155"/>
      <c r="J408" s="253"/>
      <c r="K408" s="170">
        <f>6669.975+2014.33</f>
        <v>8684.305</v>
      </c>
      <c r="L408" s="170">
        <f aca="true" t="shared" si="103" ref="L408:L414">J408+K408</f>
        <v>8684.305</v>
      </c>
      <c r="M408" s="254"/>
      <c r="N408" s="181"/>
    </row>
    <row r="409" spans="1:14" ht="30" customHeight="1">
      <c r="A409" s="213" t="s">
        <v>587</v>
      </c>
      <c r="B409" s="159" t="s">
        <v>772</v>
      </c>
      <c r="C409" s="159" t="s">
        <v>382</v>
      </c>
      <c r="D409" s="159" t="s">
        <v>385</v>
      </c>
      <c r="E409" s="159" t="s">
        <v>545</v>
      </c>
      <c r="F409" s="159" t="s">
        <v>588</v>
      </c>
      <c r="G409" s="155"/>
      <c r="H409" s="169"/>
      <c r="I409" s="155"/>
      <c r="J409" s="253"/>
      <c r="K409" s="170">
        <v>76</v>
      </c>
      <c r="L409" s="170">
        <f t="shared" si="103"/>
        <v>76</v>
      </c>
      <c r="M409" s="254"/>
      <c r="N409" s="181"/>
    </row>
    <row r="410" spans="1:14" ht="30" customHeight="1">
      <c r="A410" s="213" t="s">
        <v>591</v>
      </c>
      <c r="B410" s="159" t="s">
        <v>772</v>
      </c>
      <c r="C410" s="159" t="s">
        <v>382</v>
      </c>
      <c r="D410" s="159" t="s">
        <v>385</v>
      </c>
      <c r="E410" s="159" t="s">
        <v>545</v>
      </c>
      <c r="F410" s="159" t="s">
        <v>592</v>
      </c>
      <c r="G410" s="155"/>
      <c r="H410" s="169"/>
      <c r="I410" s="155"/>
      <c r="J410" s="253"/>
      <c r="K410" s="170">
        <f>44.8</f>
        <v>44.8</v>
      </c>
      <c r="L410" s="170">
        <f t="shared" si="103"/>
        <v>44.8</v>
      </c>
      <c r="M410" s="254"/>
      <c r="N410" s="181"/>
    </row>
    <row r="411" spans="1:14" ht="30" customHeight="1">
      <c r="A411" s="213" t="s">
        <v>577</v>
      </c>
      <c r="B411" s="159" t="s">
        <v>772</v>
      </c>
      <c r="C411" s="159" t="s">
        <v>382</v>
      </c>
      <c r="D411" s="159" t="s">
        <v>385</v>
      </c>
      <c r="E411" s="159" t="s">
        <v>545</v>
      </c>
      <c r="F411" s="159" t="s">
        <v>579</v>
      </c>
      <c r="G411" s="155"/>
      <c r="H411" s="169"/>
      <c r="I411" s="155"/>
      <c r="J411" s="253"/>
      <c r="K411" s="170">
        <f>4610.825-100+115</f>
        <v>4625.825</v>
      </c>
      <c r="L411" s="170">
        <f t="shared" si="103"/>
        <v>4625.825</v>
      </c>
      <c r="M411" s="254"/>
      <c r="N411" s="181"/>
    </row>
    <row r="412" spans="1:15" ht="26.25">
      <c r="A412" s="230" t="s">
        <v>487</v>
      </c>
      <c r="B412" s="159" t="s">
        <v>772</v>
      </c>
      <c r="C412" s="159" t="s">
        <v>382</v>
      </c>
      <c r="D412" s="159" t="s">
        <v>385</v>
      </c>
      <c r="E412" s="159" t="s">
        <v>545</v>
      </c>
      <c r="F412" s="159" t="s">
        <v>485</v>
      </c>
      <c r="G412" s="177">
        <f>10-200+200+80.47+1300-0.47-80+50</f>
        <v>1360</v>
      </c>
      <c r="H412" s="177">
        <f>49.6+117.4+10087.47-203.91-49.6</f>
        <v>10000.96</v>
      </c>
      <c r="I412" s="177"/>
      <c r="J412" s="253">
        <v>14607.87</v>
      </c>
      <c r="K412" s="170">
        <v>-14607.87</v>
      </c>
      <c r="L412" s="170">
        <f>J412+K412</f>
        <v>0</v>
      </c>
      <c r="M412" s="171">
        <f>-176.62+88</f>
        <v>-88.62</v>
      </c>
      <c r="N412" s="172">
        <f>L412+M412</f>
        <v>-88.62</v>
      </c>
      <c r="O412" s="289"/>
    </row>
    <row r="413" spans="1:14" ht="30" customHeight="1">
      <c r="A413" s="213" t="s">
        <v>781</v>
      </c>
      <c r="B413" s="159" t="s">
        <v>772</v>
      </c>
      <c r="C413" s="159" t="s">
        <v>382</v>
      </c>
      <c r="D413" s="159" t="s">
        <v>385</v>
      </c>
      <c r="E413" s="159" t="s">
        <v>545</v>
      </c>
      <c r="F413" s="159" t="s">
        <v>594</v>
      </c>
      <c r="G413" s="155"/>
      <c r="H413" s="169"/>
      <c r="I413" s="155"/>
      <c r="J413" s="253"/>
      <c r="K413" s="170">
        <v>284.6</v>
      </c>
      <c r="L413" s="170">
        <f t="shared" si="103"/>
        <v>284.6</v>
      </c>
      <c r="M413" s="254"/>
      <c r="N413" s="181"/>
    </row>
    <row r="414" spans="1:14" s="511" customFormat="1" ht="33.75" customHeight="1">
      <c r="A414" s="219" t="s">
        <v>595</v>
      </c>
      <c r="B414" s="524" t="s">
        <v>772</v>
      </c>
      <c r="C414" s="524" t="s">
        <v>382</v>
      </c>
      <c r="D414" s="524" t="s">
        <v>385</v>
      </c>
      <c r="E414" s="524" t="s">
        <v>545</v>
      </c>
      <c r="F414" s="524" t="s">
        <v>596</v>
      </c>
      <c r="G414" s="525"/>
      <c r="H414" s="526"/>
      <c r="I414" s="525"/>
      <c r="J414" s="537"/>
      <c r="K414" s="538">
        <f>125.45-1.23</f>
        <v>124.22</v>
      </c>
      <c r="L414" s="538">
        <f t="shared" si="103"/>
        <v>124.22</v>
      </c>
      <c r="M414" s="527"/>
      <c r="N414" s="528"/>
    </row>
    <row r="415" spans="1:14" s="340" customFormat="1" ht="14.25" customHeight="1">
      <c r="A415" s="167" t="s">
        <v>386</v>
      </c>
      <c r="B415" s="168" t="s">
        <v>772</v>
      </c>
      <c r="C415" s="168" t="s">
        <v>382</v>
      </c>
      <c r="D415" s="168" t="s">
        <v>387</v>
      </c>
      <c r="E415" s="168"/>
      <c r="F415" s="168"/>
      <c r="G415" s="155"/>
      <c r="H415" s="164">
        <f>H416</f>
        <v>0</v>
      </c>
      <c r="I415" s="164">
        <f aca="true" t="shared" si="104" ref="I415:N416">I416</f>
        <v>0</v>
      </c>
      <c r="J415" s="251">
        <f t="shared" si="104"/>
        <v>6.8</v>
      </c>
      <c r="K415" s="161">
        <f t="shared" si="104"/>
        <v>4.8999999999999995</v>
      </c>
      <c r="L415" s="161">
        <f t="shared" si="104"/>
        <v>11.7</v>
      </c>
      <c r="M415" s="444">
        <f t="shared" si="104"/>
        <v>0</v>
      </c>
      <c r="N415" s="445">
        <f t="shared" si="104"/>
        <v>0</v>
      </c>
    </row>
    <row r="416" spans="1:14" ht="51.75">
      <c r="A416" s="173" t="s">
        <v>783</v>
      </c>
      <c r="B416" s="159" t="s">
        <v>772</v>
      </c>
      <c r="C416" s="159" t="s">
        <v>382</v>
      </c>
      <c r="D416" s="159" t="s">
        <v>387</v>
      </c>
      <c r="E416" s="159" t="s">
        <v>784</v>
      </c>
      <c r="F416" s="159"/>
      <c r="G416" s="155"/>
      <c r="H416" s="169">
        <f>H417</f>
        <v>0</v>
      </c>
      <c r="I416" s="169">
        <f t="shared" si="104"/>
        <v>0</v>
      </c>
      <c r="J416" s="170">
        <f>J417+J418</f>
        <v>6.8</v>
      </c>
      <c r="K416" s="170">
        <f>K417+K418</f>
        <v>4.8999999999999995</v>
      </c>
      <c r="L416" s="170">
        <f>L417+L418</f>
        <v>11.7</v>
      </c>
      <c r="M416" s="171">
        <f t="shared" si="104"/>
        <v>0</v>
      </c>
      <c r="N416" s="172">
        <f t="shared" si="104"/>
        <v>0</v>
      </c>
    </row>
    <row r="417" spans="1:15" ht="26.25">
      <c r="A417" s="230" t="s">
        <v>484</v>
      </c>
      <c r="B417" s="159" t="s">
        <v>772</v>
      </c>
      <c r="C417" s="159" t="s">
        <v>382</v>
      </c>
      <c r="D417" s="159" t="s">
        <v>387</v>
      </c>
      <c r="E417" s="159" t="s">
        <v>784</v>
      </c>
      <c r="F417" s="159" t="s">
        <v>583</v>
      </c>
      <c r="G417" s="177"/>
      <c r="H417" s="169"/>
      <c r="I417" s="177"/>
      <c r="J417" s="253">
        <v>6.8</v>
      </c>
      <c r="K417" s="170">
        <v>-6.8</v>
      </c>
      <c r="L417" s="170">
        <f>J417+K417</f>
        <v>0</v>
      </c>
      <c r="M417" s="238"/>
      <c r="N417" s="237">
        <f>L417+M417</f>
        <v>0</v>
      </c>
      <c r="O417" s="152">
        <v>6.8</v>
      </c>
    </row>
    <row r="418" spans="1:14" ht="38.25">
      <c r="A418" s="213" t="s">
        <v>577</v>
      </c>
      <c r="B418" s="159" t="s">
        <v>772</v>
      </c>
      <c r="C418" s="159" t="s">
        <v>382</v>
      </c>
      <c r="D418" s="159" t="s">
        <v>387</v>
      </c>
      <c r="E418" s="159" t="s">
        <v>784</v>
      </c>
      <c r="F418" s="159" t="s">
        <v>579</v>
      </c>
      <c r="G418" s="177"/>
      <c r="H418" s="169"/>
      <c r="I418" s="177"/>
      <c r="J418" s="253"/>
      <c r="K418" s="170">
        <f>6.8+4.9</f>
        <v>11.7</v>
      </c>
      <c r="L418" s="170">
        <f>J418+K418</f>
        <v>11.7</v>
      </c>
      <c r="M418" s="238"/>
      <c r="N418" s="237"/>
    </row>
    <row r="419" spans="1:14" ht="39">
      <c r="A419" s="231" t="s">
        <v>626</v>
      </c>
      <c r="B419" s="168" t="s">
        <v>772</v>
      </c>
      <c r="C419" s="168" t="s">
        <v>382</v>
      </c>
      <c r="D419" s="168" t="s">
        <v>388</v>
      </c>
      <c r="E419" s="168"/>
      <c r="F419" s="168"/>
      <c r="G419" s="155" t="e">
        <f aca="true" t="shared" si="105" ref="G419:L419">G420</f>
        <v>#REF!</v>
      </c>
      <c r="H419" s="155" t="e">
        <f t="shared" si="105"/>
        <v>#REF!</v>
      </c>
      <c r="I419" s="155" t="e">
        <f t="shared" si="105"/>
        <v>#REF!</v>
      </c>
      <c r="J419" s="161">
        <f t="shared" si="105"/>
        <v>0</v>
      </c>
      <c r="K419" s="161">
        <f t="shared" si="105"/>
        <v>557</v>
      </c>
      <c r="L419" s="161">
        <f t="shared" si="105"/>
        <v>557</v>
      </c>
      <c r="M419" s="238"/>
      <c r="N419" s="237"/>
    </row>
    <row r="420" spans="1:14" ht="51.75">
      <c r="A420" s="179" t="s">
        <v>627</v>
      </c>
      <c r="B420" s="159" t="s">
        <v>772</v>
      </c>
      <c r="C420" s="159" t="s">
        <v>382</v>
      </c>
      <c r="D420" s="159" t="s">
        <v>388</v>
      </c>
      <c r="E420" s="159" t="s">
        <v>543</v>
      </c>
      <c r="F420" s="159"/>
      <c r="G420" s="177" t="e">
        <f>#REF!+#REF!</f>
        <v>#REF!</v>
      </c>
      <c r="H420" s="177" t="e">
        <f>#REF!+#REF!</f>
        <v>#REF!</v>
      </c>
      <c r="I420" s="177" t="e">
        <f>#REF!+#REF!</f>
        <v>#REF!</v>
      </c>
      <c r="J420" s="170">
        <f>J421+J422+J423+J424</f>
        <v>0</v>
      </c>
      <c r="K420" s="170">
        <f>K421+K422+K423+K424</f>
        <v>557</v>
      </c>
      <c r="L420" s="170">
        <f>L421+L422+L423+L424</f>
        <v>557</v>
      </c>
      <c r="M420" s="238"/>
      <c r="N420" s="237"/>
    </row>
    <row r="421" spans="1:14" ht="15">
      <c r="A421" s="219" t="s">
        <v>871</v>
      </c>
      <c r="B421" s="159" t="s">
        <v>772</v>
      </c>
      <c r="C421" s="159" t="s">
        <v>382</v>
      </c>
      <c r="D421" s="159" t="s">
        <v>388</v>
      </c>
      <c r="E421" s="159" t="s">
        <v>545</v>
      </c>
      <c r="F421" s="159" t="s">
        <v>585</v>
      </c>
      <c r="G421" s="177"/>
      <c r="H421" s="169"/>
      <c r="I421" s="177"/>
      <c r="J421" s="170"/>
      <c r="K421" s="170">
        <f>426.267+128.733</f>
        <v>555</v>
      </c>
      <c r="L421" s="170">
        <f>SUM(J421:K421)</f>
        <v>555</v>
      </c>
      <c r="M421" s="238"/>
      <c r="N421" s="237"/>
    </row>
    <row r="422" spans="1:14" ht="39" hidden="1">
      <c r="A422" s="219" t="s">
        <v>587</v>
      </c>
      <c r="B422" s="159" t="s">
        <v>772</v>
      </c>
      <c r="C422" s="159" t="s">
        <v>382</v>
      </c>
      <c r="D422" s="159" t="s">
        <v>388</v>
      </c>
      <c r="E422" s="159" t="s">
        <v>545</v>
      </c>
      <c r="F422" s="159" t="s">
        <v>588</v>
      </c>
      <c r="G422" s="177"/>
      <c r="H422" s="169"/>
      <c r="I422" s="177"/>
      <c r="J422" s="170"/>
      <c r="K422" s="170"/>
      <c r="L422" s="170">
        <f>SUM(J422:K422)</f>
        <v>0</v>
      </c>
      <c r="M422" s="238"/>
      <c r="N422" s="237"/>
    </row>
    <row r="423" spans="1:14" ht="51.75" hidden="1">
      <c r="A423" s="219" t="s">
        <v>591</v>
      </c>
      <c r="B423" s="159" t="s">
        <v>772</v>
      </c>
      <c r="C423" s="159" t="s">
        <v>382</v>
      </c>
      <c r="D423" s="159" t="s">
        <v>388</v>
      </c>
      <c r="E423" s="159" t="s">
        <v>545</v>
      </c>
      <c r="F423" s="159" t="s">
        <v>592</v>
      </c>
      <c r="G423" s="177"/>
      <c r="H423" s="169"/>
      <c r="I423" s="177"/>
      <c r="J423" s="170"/>
      <c r="K423" s="170"/>
      <c r="L423" s="170">
        <f>SUM(J423:K423)</f>
        <v>0</v>
      </c>
      <c r="M423" s="238"/>
      <c r="N423" s="237"/>
    </row>
    <row r="424" spans="1:14" ht="26.25">
      <c r="A424" s="219" t="s">
        <v>665</v>
      </c>
      <c r="B424" s="159" t="s">
        <v>772</v>
      </c>
      <c r="C424" s="159" t="s">
        <v>382</v>
      </c>
      <c r="D424" s="159" t="s">
        <v>388</v>
      </c>
      <c r="E424" s="159" t="s">
        <v>545</v>
      </c>
      <c r="F424" s="159" t="s">
        <v>579</v>
      </c>
      <c r="G424" s="177"/>
      <c r="H424" s="169"/>
      <c r="I424" s="177"/>
      <c r="J424" s="170"/>
      <c r="K424" s="170">
        <v>2</v>
      </c>
      <c r="L424" s="170">
        <f>SUM(J424:K424)</f>
        <v>2</v>
      </c>
      <c r="M424" s="238"/>
      <c r="N424" s="237"/>
    </row>
    <row r="425" spans="1:14" s="340" customFormat="1" ht="25.5">
      <c r="A425" s="229" t="s">
        <v>786</v>
      </c>
      <c r="B425" s="168" t="s">
        <v>772</v>
      </c>
      <c r="C425" s="168" t="s">
        <v>382</v>
      </c>
      <c r="D425" s="168" t="s">
        <v>390</v>
      </c>
      <c r="E425" s="168"/>
      <c r="F425" s="168"/>
      <c r="G425" s="155">
        <f aca="true" t="shared" si="106" ref="G425:N427">G426</f>
        <v>0</v>
      </c>
      <c r="H425" s="155">
        <f t="shared" si="106"/>
        <v>20</v>
      </c>
      <c r="I425" s="155">
        <f t="shared" si="106"/>
        <v>0</v>
      </c>
      <c r="J425" s="251">
        <f t="shared" si="106"/>
        <v>150</v>
      </c>
      <c r="K425" s="161">
        <f t="shared" si="106"/>
        <v>-150</v>
      </c>
      <c r="L425" s="161">
        <f t="shared" si="106"/>
        <v>0</v>
      </c>
      <c r="M425" s="188">
        <f t="shared" si="106"/>
        <v>0</v>
      </c>
      <c r="N425" s="209">
        <f t="shared" si="106"/>
        <v>0</v>
      </c>
    </row>
    <row r="426" spans="1:14" ht="18" customHeight="1">
      <c r="A426" s="230" t="s">
        <v>787</v>
      </c>
      <c r="B426" s="159" t="s">
        <v>772</v>
      </c>
      <c r="C426" s="159" t="s">
        <v>382</v>
      </c>
      <c r="D426" s="159" t="s">
        <v>390</v>
      </c>
      <c r="E426" s="159" t="s">
        <v>788</v>
      </c>
      <c r="F426" s="159"/>
      <c r="G426" s="177">
        <f t="shared" si="106"/>
        <v>0</v>
      </c>
      <c r="H426" s="177">
        <f t="shared" si="106"/>
        <v>20</v>
      </c>
      <c r="I426" s="177">
        <f t="shared" si="106"/>
        <v>0</v>
      </c>
      <c r="J426" s="253">
        <f t="shared" si="106"/>
        <v>150</v>
      </c>
      <c r="K426" s="170">
        <f t="shared" si="106"/>
        <v>-150</v>
      </c>
      <c r="L426" s="170">
        <f t="shared" si="106"/>
        <v>0</v>
      </c>
      <c r="M426" s="171">
        <f t="shared" si="106"/>
        <v>0</v>
      </c>
      <c r="N426" s="172">
        <f t="shared" si="106"/>
        <v>0</v>
      </c>
    </row>
    <row r="427" spans="1:14" ht="31.5" customHeight="1">
      <c r="A427" s="230" t="s">
        <v>789</v>
      </c>
      <c r="B427" s="159" t="s">
        <v>772</v>
      </c>
      <c r="C427" s="159" t="s">
        <v>382</v>
      </c>
      <c r="D427" s="159" t="s">
        <v>390</v>
      </c>
      <c r="E427" s="159" t="s">
        <v>790</v>
      </c>
      <c r="F427" s="159"/>
      <c r="G427" s="177">
        <f t="shared" si="106"/>
        <v>0</v>
      </c>
      <c r="H427" s="177">
        <f t="shared" si="106"/>
        <v>20</v>
      </c>
      <c r="I427" s="177">
        <f t="shared" si="106"/>
        <v>0</v>
      </c>
      <c r="J427" s="170">
        <f>J428+J429</f>
        <v>150</v>
      </c>
      <c r="K427" s="170">
        <f>K428+K429</f>
        <v>-150</v>
      </c>
      <c r="L427" s="170">
        <f>L428+L429</f>
        <v>0</v>
      </c>
      <c r="M427" s="171">
        <f t="shared" si="106"/>
        <v>0</v>
      </c>
      <c r="N427" s="172">
        <f t="shared" si="106"/>
        <v>0</v>
      </c>
    </row>
    <row r="428" spans="1:14" ht="30" customHeight="1">
      <c r="A428" s="230" t="s">
        <v>487</v>
      </c>
      <c r="B428" s="159" t="s">
        <v>772</v>
      </c>
      <c r="C428" s="159" t="s">
        <v>382</v>
      </c>
      <c r="D428" s="159" t="s">
        <v>390</v>
      </c>
      <c r="E428" s="159" t="s">
        <v>790</v>
      </c>
      <c r="F428" s="159" t="s">
        <v>485</v>
      </c>
      <c r="G428" s="177"/>
      <c r="H428" s="177">
        <v>20</v>
      </c>
      <c r="I428" s="177"/>
      <c r="J428" s="253">
        <v>150</v>
      </c>
      <c r="K428" s="170">
        <v>-150</v>
      </c>
      <c r="L428" s="170">
        <f>J428+K428</f>
        <v>0</v>
      </c>
      <c r="M428" s="171"/>
      <c r="N428" s="172">
        <f>L428+M428</f>
        <v>0</v>
      </c>
    </row>
    <row r="429" spans="1:14" ht="30" customHeight="1">
      <c r="A429" s="213" t="s">
        <v>577</v>
      </c>
      <c r="B429" s="159" t="s">
        <v>772</v>
      </c>
      <c r="C429" s="159" t="s">
        <v>382</v>
      </c>
      <c r="D429" s="159" t="s">
        <v>390</v>
      </c>
      <c r="E429" s="159" t="s">
        <v>790</v>
      </c>
      <c r="F429" s="159" t="s">
        <v>579</v>
      </c>
      <c r="G429" s="177"/>
      <c r="H429" s="177"/>
      <c r="I429" s="177"/>
      <c r="J429" s="253"/>
      <c r="K429" s="170">
        <v>0</v>
      </c>
      <c r="L429" s="170">
        <f>J429+K429</f>
        <v>0</v>
      </c>
      <c r="M429" s="171"/>
      <c r="N429" s="172"/>
    </row>
    <row r="430" spans="1:14" ht="19.5" customHeight="1">
      <c r="A430" s="229" t="s">
        <v>395</v>
      </c>
      <c r="B430" s="168" t="s">
        <v>772</v>
      </c>
      <c r="C430" s="168" t="s">
        <v>382</v>
      </c>
      <c r="D430" s="168" t="s">
        <v>394</v>
      </c>
      <c r="E430" s="168"/>
      <c r="F430" s="168"/>
      <c r="G430" s="155">
        <f>G438+G431</f>
        <v>0</v>
      </c>
      <c r="H430" s="155">
        <f>H438+H431</f>
        <v>265.4</v>
      </c>
      <c r="I430" s="155">
        <f>I438+I431</f>
        <v>0</v>
      </c>
      <c r="J430" s="161">
        <f>J431+J433+J438+J442</f>
        <v>568.73</v>
      </c>
      <c r="K430" s="161">
        <f>K431+K433+K438+K442</f>
        <v>598.77</v>
      </c>
      <c r="L430" s="161">
        <f>L431+L433+L438+L442</f>
        <v>1167.5</v>
      </c>
      <c r="M430" s="188">
        <f>M431+M433+M438+M442</f>
        <v>0</v>
      </c>
      <c r="N430" s="188">
        <f>N431+N433+N438+N442</f>
        <v>0</v>
      </c>
    </row>
    <row r="431" spans="1:14" ht="36.75" customHeight="1">
      <c r="A431" s="208" t="s">
        <v>779</v>
      </c>
      <c r="B431" s="159" t="s">
        <v>772</v>
      </c>
      <c r="C431" s="159" t="s">
        <v>382</v>
      </c>
      <c r="D431" s="159" t="s">
        <v>394</v>
      </c>
      <c r="E431" s="159" t="s">
        <v>780</v>
      </c>
      <c r="F431" s="159"/>
      <c r="G431" s="177">
        <f>G434</f>
        <v>195</v>
      </c>
      <c r="H431" s="177">
        <f>H434</f>
        <v>0</v>
      </c>
      <c r="I431" s="177">
        <f>I434</f>
        <v>0</v>
      </c>
      <c r="J431" s="170">
        <f>J432</f>
        <v>0</v>
      </c>
      <c r="K431" s="170">
        <f>K432</f>
        <v>54.3</v>
      </c>
      <c r="L431" s="170">
        <f>L432</f>
        <v>54.3</v>
      </c>
      <c r="M431" s="171"/>
      <c r="N431" s="172"/>
    </row>
    <row r="432" spans="1:14" ht="27.75" customHeight="1">
      <c r="A432" s="219" t="s">
        <v>665</v>
      </c>
      <c r="B432" s="159" t="s">
        <v>772</v>
      </c>
      <c r="C432" s="159" t="s">
        <v>382</v>
      </c>
      <c r="D432" s="159" t="s">
        <v>394</v>
      </c>
      <c r="E432" s="159" t="s">
        <v>780</v>
      </c>
      <c r="F432" s="159" t="s">
        <v>579</v>
      </c>
      <c r="G432" s="177"/>
      <c r="H432" s="177"/>
      <c r="I432" s="177"/>
      <c r="J432" s="253"/>
      <c r="K432" s="170">
        <f>54.3</f>
        <v>54.3</v>
      </c>
      <c r="L432" s="170">
        <f>J432+K432</f>
        <v>54.3</v>
      </c>
      <c r="M432" s="171"/>
      <c r="N432" s="172"/>
    </row>
    <row r="433" spans="1:14" ht="28.5" customHeight="1">
      <c r="A433" s="208" t="s">
        <v>791</v>
      </c>
      <c r="B433" s="159" t="s">
        <v>772</v>
      </c>
      <c r="C433" s="159" t="s">
        <v>382</v>
      </c>
      <c r="D433" s="159" t="s">
        <v>394</v>
      </c>
      <c r="E433" s="159" t="s">
        <v>792</v>
      </c>
      <c r="F433" s="159"/>
      <c r="G433" s="177"/>
      <c r="H433" s="177"/>
      <c r="I433" s="177"/>
      <c r="J433" s="170">
        <f>J434+J435+J436+J437</f>
        <v>456</v>
      </c>
      <c r="K433" s="170">
        <f>K434+K435+K436+K437</f>
        <v>23</v>
      </c>
      <c r="L433" s="170">
        <f>L434+L435+L436+L437</f>
        <v>479</v>
      </c>
      <c r="M433" s="171"/>
      <c r="N433" s="172"/>
    </row>
    <row r="434" spans="1:17" ht="28.5" customHeight="1">
      <c r="A434" s="230" t="s">
        <v>493</v>
      </c>
      <c r="B434" s="159" t="s">
        <v>772</v>
      </c>
      <c r="C434" s="159" t="s">
        <v>382</v>
      </c>
      <c r="D434" s="159" t="s">
        <v>394</v>
      </c>
      <c r="E434" s="159" t="s">
        <v>792</v>
      </c>
      <c r="F434" s="159" t="s">
        <v>494</v>
      </c>
      <c r="G434" s="177">
        <v>195</v>
      </c>
      <c r="H434" s="169"/>
      <c r="I434" s="177"/>
      <c r="J434" s="253">
        <v>456</v>
      </c>
      <c r="K434" s="170">
        <v>-456</v>
      </c>
      <c r="L434" s="170">
        <f>J434+K434</f>
        <v>0</v>
      </c>
      <c r="M434" s="171"/>
      <c r="N434" s="172"/>
      <c r="O434" s="448"/>
      <c r="Q434" s="247"/>
    </row>
    <row r="435" spans="1:17" ht="14.25" customHeight="1">
      <c r="A435" s="213" t="s">
        <v>584</v>
      </c>
      <c r="B435" s="159" t="s">
        <v>772</v>
      </c>
      <c r="C435" s="159" t="s">
        <v>382</v>
      </c>
      <c r="D435" s="159" t="s">
        <v>394</v>
      </c>
      <c r="E435" s="159" t="s">
        <v>792</v>
      </c>
      <c r="F435" s="159" t="s">
        <v>585</v>
      </c>
      <c r="G435" s="177"/>
      <c r="H435" s="169"/>
      <c r="I435" s="177"/>
      <c r="J435" s="253"/>
      <c r="K435" s="170">
        <f>241.848+82.712+23</f>
        <v>347.56</v>
      </c>
      <c r="L435" s="170">
        <f>J435+K435</f>
        <v>347.56</v>
      </c>
      <c r="M435" s="171"/>
      <c r="N435" s="172"/>
      <c r="O435" s="448"/>
      <c r="Q435" s="247"/>
    </row>
    <row r="436" spans="1:17" ht="28.5" customHeight="1">
      <c r="A436" s="213" t="s">
        <v>587</v>
      </c>
      <c r="B436" s="159" t="s">
        <v>772</v>
      </c>
      <c r="C436" s="159" t="s">
        <v>382</v>
      </c>
      <c r="D436" s="159" t="s">
        <v>394</v>
      </c>
      <c r="E436" s="159" t="s">
        <v>792</v>
      </c>
      <c r="F436" s="159" t="s">
        <v>588</v>
      </c>
      <c r="G436" s="177"/>
      <c r="H436" s="169"/>
      <c r="I436" s="177"/>
      <c r="J436" s="253"/>
      <c r="K436" s="170">
        <v>1</v>
      </c>
      <c r="L436" s="170">
        <f>J436+K436</f>
        <v>1</v>
      </c>
      <c r="M436" s="171"/>
      <c r="N436" s="172"/>
      <c r="O436" s="448"/>
      <c r="Q436" s="247"/>
    </row>
    <row r="437" spans="1:17" ht="28.5" customHeight="1">
      <c r="A437" s="213" t="s">
        <v>577</v>
      </c>
      <c r="B437" s="159" t="s">
        <v>772</v>
      </c>
      <c r="C437" s="159" t="s">
        <v>382</v>
      </c>
      <c r="D437" s="159" t="s">
        <v>394</v>
      </c>
      <c r="E437" s="159" t="s">
        <v>792</v>
      </c>
      <c r="F437" s="159" t="s">
        <v>579</v>
      </c>
      <c r="G437" s="177"/>
      <c r="H437" s="169"/>
      <c r="I437" s="177"/>
      <c r="J437" s="253"/>
      <c r="K437" s="170">
        <f>3.5+2.995+0.06+117.385+6.5</f>
        <v>130.44</v>
      </c>
      <c r="L437" s="170">
        <f>J437+K437</f>
        <v>130.44</v>
      </c>
      <c r="M437" s="171"/>
      <c r="N437" s="172"/>
      <c r="O437" s="448"/>
      <c r="Q437" s="247"/>
    </row>
    <row r="438" spans="1:14" ht="43.5" customHeight="1">
      <c r="A438" s="230" t="s">
        <v>793</v>
      </c>
      <c r="B438" s="159" t="s">
        <v>772</v>
      </c>
      <c r="C438" s="159" t="s">
        <v>382</v>
      </c>
      <c r="D438" s="159" t="s">
        <v>394</v>
      </c>
      <c r="E438" s="159" t="s">
        <v>794</v>
      </c>
      <c r="F438" s="159"/>
      <c r="G438" s="177">
        <f aca="true" t="shared" si="107" ref="G438:L439">G439</f>
        <v>-195</v>
      </c>
      <c r="H438" s="177">
        <f t="shared" si="107"/>
        <v>265.4</v>
      </c>
      <c r="I438" s="177">
        <f t="shared" si="107"/>
        <v>0</v>
      </c>
      <c r="J438" s="253">
        <f t="shared" si="107"/>
        <v>112.73</v>
      </c>
      <c r="K438" s="170">
        <f>K439</f>
        <v>21.469999999999985</v>
      </c>
      <c r="L438" s="170">
        <f t="shared" si="107"/>
        <v>134.2</v>
      </c>
      <c r="M438" s="171"/>
      <c r="N438" s="172"/>
    </row>
    <row r="439" spans="1:14" ht="27.75" customHeight="1">
      <c r="A439" s="230" t="s">
        <v>497</v>
      </c>
      <c r="B439" s="159" t="s">
        <v>772</v>
      </c>
      <c r="C439" s="159" t="s">
        <v>382</v>
      </c>
      <c r="D439" s="159" t="s">
        <v>394</v>
      </c>
      <c r="E439" s="159" t="s">
        <v>795</v>
      </c>
      <c r="F439" s="159"/>
      <c r="G439" s="177">
        <f t="shared" si="107"/>
        <v>-195</v>
      </c>
      <c r="H439" s="177">
        <f t="shared" si="107"/>
        <v>265.4</v>
      </c>
      <c r="I439" s="177">
        <f t="shared" si="107"/>
        <v>0</v>
      </c>
      <c r="J439" s="170">
        <f>J440+J441</f>
        <v>112.73</v>
      </c>
      <c r="K439" s="170">
        <f>K440+K441</f>
        <v>21.469999999999985</v>
      </c>
      <c r="L439" s="170">
        <f>L440+L441</f>
        <v>134.2</v>
      </c>
      <c r="M439" s="171"/>
      <c r="N439" s="172"/>
    </row>
    <row r="440" spans="1:14" ht="27.75" customHeight="1">
      <c r="A440" s="230" t="s">
        <v>493</v>
      </c>
      <c r="B440" s="159" t="s">
        <v>772</v>
      </c>
      <c r="C440" s="159" t="s">
        <v>382</v>
      </c>
      <c r="D440" s="159" t="s">
        <v>394</v>
      </c>
      <c r="E440" s="159" t="s">
        <v>795</v>
      </c>
      <c r="F440" s="159" t="s">
        <v>494</v>
      </c>
      <c r="G440" s="177">
        <v>-195</v>
      </c>
      <c r="H440" s="177">
        <f>204.4+61</f>
        <v>265.4</v>
      </c>
      <c r="I440" s="177"/>
      <c r="J440" s="253">
        <v>112.73</v>
      </c>
      <c r="K440" s="170">
        <v>-112.73</v>
      </c>
      <c r="L440" s="170">
        <f>J440+K440</f>
        <v>0</v>
      </c>
      <c r="M440" s="171"/>
      <c r="N440" s="172"/>
    </row>
    <row r="441" spans="1:15" ht="27" customHeight="1">
      <c r="A441" s="213" t="s">
        <v>577</v>
      </c>
      <c r="B441" s="159" t="s">
        <v>772</v>
      </c>
      <c r="C441" s="159" t="s">
        <v>382</v>
      </c>
      <c r="D441" s="159" t="s">
        <v>394</v>
      </c>
      <c r="E441" s="159" t="s">
        <v>795</v>
      </c>
      <c r="F441" s="159" t="s">
        <v>579</v>
      </c>
      <c r="G441" s="177"/>
      <c r="H441" s="177"/>
      <c r="I441" s="177"/>
      <c r="J441" s="253"/>
      <c r="K441" s="170">
        <v>134.2</v>
      </c>
      <c r="L441" s="170">
        <f>J441+K441</f>
        <v>134.2</v>
      </c>
      <c r="M441" s="171"/>
      <c r="N441" s="172"/>
      <c r="O441" s="455"/>
    </row>
    <row r="442" spans="1:15" ht="27" customHeight="1">
      <c r="A442" s="255" t="s">
        <v>796</v>
      </c>
      <c r="B442" s="159" t="s">
        <v>772</v>
      </c>
      <c r="C442" s="159" t="s">
        <v>382</v>
      </c>
      <c r="D442" s="159" t="s">
        <v>394</v>
      </c>
      <c r="E442" s="159" t="s">
        <v>797</v>
      </c>
      <c r="F442" s="159"/>
      <c r="G442" s="177"/>
      <c r="H442" s="177"/>
      <c r="I442" s="177"/>
      <c r="J442" s="253">
        <f>J443</f>
        <v>0</v>
      </c>
      <c r="K442" s="253">
        <f>K443</f>
        <v>500</v>
      </c>
      <c r="L442" s="253">
        <f>L443</f>
        <v>500</v>
      </c>
      <c r="M442" s="256">
        <f>M443</f>
        <v>0</v>
      </c>
      <c r="N442" s="256">
        <f>N443</f>
        <v>0</v>
      </c>
      <c r="O442" s="455"/>
    </row>
    <row r="443" spans="1:15" ht="27" customHeight="1">
      <c r="A443" s="213" t="s">
        <v>577</v>
      </c>
      <c r="B443" s="159" t="s">
        <v>772</v>
      </c>
      <c r="C443" s="159" t="s">
        <v>382</v>
      </c>
      <c r="D443" s="159" t="s">
        <v>394</v>
      </c>
      <c r="E443" s="159" t="s">
        <v>797</v>
      </c>
      <c r="F443" s="159" t="s">
        <v>579</v>
      </c>
      <c r="G443" s="177"/>
      <c r="H443" s="177"/>
      <c r="I443" s="177"/>
      <c r="J443" s="253"/>
      <c r="K443" s="170">
        <v>500</v>
      </c>
      <c r="L443" s="170">
        <f>J443+K443</f>
        <v>500</v>
      </c>
      <c r="M443" s="171"/>
      <c r="N443" s="172"/>
      <c r="O443" s="455"/>
    </row>
    <row r="444" spans="1:14" s="462" customFormat="1" ht="25.5">
      <c r="A444" s="229" t="s">
        <v>400</v>
      </c>
      <c r="B444" s="168" t="s">
        <v>772</v>
      </c>
      <c r="C444" s="168" t="s">
        <v>384</v>
      </c>
      <c r="D444" s="168"/>
      <c r="E444" s="168"/>
      <c r="F444" s="168"/>
      <c r="G444" s="155">
        <f aca="true" t="shared" si="108" ref="G444:N447">G445</f>
        <v>0</v>
      </c>
      <c r="H444" s="155">
        <f t="shared" si="108"/>
        <v>57.6</v>
      </c>
      <c r="I444" s="155">
        <f t="shared" si="108"/>
        <v>0</v>
      </c>
      <c r="J444" s="251">
        <f>J445+J450</f>
        <v>75</v>
      </c>
      <c r="K444" s="251">
        <f>K445+K450</f>
        <v>25</v>
      </c>
      <c r="L444" s="251">
        <f>L445+L450</f>
        <v>100</v>
      </c>
      <c r="M444" s="257">
        <f>M445+M450</f>
        <v>0</v>
      </c>
      <c r="N444" s="257">
        <f>N445+N450</f>
        <v>0</v>
      </c>
    </row>
    <row r="445" spans="1:14" s="340" customFormat="1" ht="51">
      <c r="A445" s="229" t="s">
        <v>798</v>
      </c>
      <c r="B445" s="168" t="s">
        <v>772</v>
      </c>
      <c r="C445" s="168" t="s">
        <v>384</v>
      </c>
      <c r="D445" s="168" t="s">
        <v>404</v>
      </c>
      <c r="E445" s="168"/>
      <c r="F445" s="168"/>
      <c r="G445" s="155">
        <f t="shared" si="108"/>
        <v>0</v>
      </c>
      <c r="H445" s="155">
        <f t="shared" si="108"/>
        <v>57.6</v>
      </c>
      <c r="I445" s="155">
        <f t="shared" si="108"/>
        <v>0</v>
      </c>
      <c r="J445" s="251">
        <f t="shared" si="108"/>
        <v>75</v>
      </c>
      <c r="K445" s="161">
        <f>K446</f>
        <v>0</v>
      </c>
      <c r="L445" s="161">
        <f t="shared" si="108"/>
        <v>75</v>
      </c>
      <c r="M445" s="188">
        <f t="shared" si="108"/>
        <v>0</v>
      </c>
      <c r="N445" s="209">
        <f t="shared" si="108"/>
        <v>0</v>
      </c>
    </row>
    <row r="446" spans="1:14" ht="39">
      <c r="A446" s="230" t="s">
        <v>799</v>
      </c>
      <c r="B446" s="159" t="s">
        <v>772</v>
      </c>
      <c r="C446" s="159" t="s">
        <v>384</v>
      </c>
      <c r="D446" s="159" t="s">
        <v>404</v>
      </c>
      <c r="E446" s="159" t="s">
        <v>800</v>
      </c>
      <c r="F446" s="159"/>
      <c r="G446" s="177">
        <f t="shared" si="108"/>
        <v>0</v>
      </c>
      <c r="H446" s="177">
        <f t="shared" si="108"/>
        <v>57.6</v>
      </c>
      <c r="I446" s="177">
        <f t="shared" si="108"/>
        <v>0</v>
      </c>
      <c r="J446" s="253">
        <f t="shared" si="108"/>
        <v>75</v>
      </c>
      <c r="K446" s="170">
        <f>K447</f>
        <v>0</v>
      </c>
      <c r="L446" s="170">
        <f t="shared" si="108"/>
        <v>75</v>
      </c>
      <c r="M446" s="171">
        <f t="shared" si="108"/>
        <v>0</v>
      </c>
      <c r="N446" s="172">
        <f t="shared" si="108"/>
        <v>0</v>
      </c>
    </row>
    <row r="447" spans="1:14" ht="51.75">
      <c r="A447" s="230" t="s">
        <v>801</v>
      </c>
      <c r="B447" s="159" t="s">
        <v>772</v>
      </c>
      <c r="C447" s="159" t="s">
        <v>384</v>
      </c>
      <c r="D447" s="159" t="s">
        <v>404</v>
      </c>
      <c r="E447" s="159" t="s">
        <v>802</v>
      </c>
      <c r="F447" s="159"/>
      <c r="G447" s="177">
        <f t="shared" si="108"/>
        <v>0</v>
      </c>
      <c r="H447" s="177">
        <f t="shared" si="108"/>
        <v>57.6</v>
      </c>
      <c r="I447" s="177">
        <f t="shared" si="108"/>
        <v>0</v>
      </c>
      <c r="J447" s="170">
        <f>J448+J449</f>
        <v>75</v>
      </c>
      <c r="K447" s="170">
        <f>K448+K449</f>
        <v>0</v>
      </c>
      <c r="L447" s="170">
        <f>L448+L449</f>
        <v>75</v>
      </c>
      <c r="M447" s="171">
        <f t="shared" si="108"/>
        <v>0</v>
      </c>
      <c r="N447" s="172">
        <f t="shared" si="108"/>
        <v>0</v>
      </c>
    </row>
    <row r="448" spans="1:14" ht="51.75">
      <c r="A448" s="230" t="s">
        <v>803</v>
      </c>
      <c r="B448" s="159" t="s">
        <v>772</v>
      </c>
      <c r="C448" s="159" t="s">
        <v>384</v>
      </c>
      <c r="D448" s="159" t="s">
        <v>404</v>
      </c>
      <c r="E448" s="159" t="s">
        <v>802</v>
      </c>
      <c r="F448" s="159" t="s">
        <v>804</v>
      </c>
      <c r="G448" s="177"/>
      <c r="H448" s="177">
        <v>57.6</v>
      </c>
      <c r="I448" s="177"/>
      <c r="J448" s="253">
        <v>75</v>
      </c>
      <c r="K448" s="170">
        <v>-75</v>
      </c>
      <c r="L448" s="170">
        <f>J448+K448</f>
        <v>0</v>
      </c>
      <c r="M448" s="171"/>
      <c r="N448" s="172">
        <f>L448+M448</f>
        <v>0</v>
      </c>
    </row>
    <row r="449" spans="1:14" ht="24.75" customHeight="1">
      <c r="A449" s="213" t="s">
        <v>577</v>
      </c>
      <c r="B449" s="159" t="s">
        <v>772</v>
      </c>
      <c r="C449" s="159" t="s">
        <v>384</v>
      </c>
      <c r="D449" s="159" t="s">
        <v>404</v>
      </c>
      <c r="E449" s="159" t="s">
        <v>802</v>
      </c>
      <c r="F449" s="159" t="s">
        <v>579</v>
      </c>
      <c r="G449" s="177"/>
      <c r="H449" s="177"/>
      <c r="I449" s="177"/>
      <c r="J449" s="253"/>
      <c r="K449" s="170">
        <v>75</v>
      </c>
      <c r="L449" s="170">
        <f>J449+K449</f>
        <v>75</v>
      </c>
      <c r="M449" s="171"/>
      <c r="N449" s="172"/>
    </row>
    <row r="450" spans="1:14" s="340" customFormat="1" ht="38.25">
      <c r="A450" s="258" t="s">
        <v>405</v>
      </c>
      <c r="B450" s="168" t="s">
        <v>772</v>
      </c>
      <c r="C450" s="168" t="s">
        <v>384</v>
      </c>
      <c r="D450" s="168" t="s">
        <v>396</v>
      </c>
      <c r="E450" s="168"/>
      <c r="F450" s="168"/>
      <c r="G450" s="155"/>
      <c r="H450" s="155"/>
      <c r="I450" s="155"/>
      <c r="J450" s="251">
        <f>J451</f>
        <v>0</v>
      </c>
      <c r="K450" s="251">
        <f>K451</f>
        <v>25</v>
      </c>
      <c r="L450" s="251">
        <f>L451</f>
        <v>25</v>
      </c>
      <c r="M450" s="259">
        <f>M452+M454</f>
        <v>0</v>
      </c>
      <c r="N450" s="259">
        <f>N452+N454</f>
        <v>0</v>
      </c>
    </row>
    <row r="451" spans="1:14" s="340" customFormat="1" ht="14.25">
      <c r="A451" s="230" t="s">
        <v>835</v>
      </c>
      <c r="B451" s="159" t="s">
        <v>772</v>
      </c>
      <c r="C451" s="159" t="s">
        <v>384</v>
      </c>
      <c r="D451" s="159" t="s">
        <v>396</v>
      </c>
      <c r="E451" s="159" t="s">
        <v>761</v>
      </c>
      <c r="F451" s="159"/>
      <c r="G451" s="177"/>
      <c r="H451" s="177"/>
      <c r="I451" s="177"/>
      <c r="J451" s="253">
        <f>J452+J454</f>
        <v>0</v>
      </c>
      <c r="K451" s="253">
        <f>K452+K454</f>
        <v>25</v>
      </c>
      <c r="L451" s="253">
        <f>L452+L454</f>
        <v>25</v>
      </c>
      <c r="M451" s="259"/>
      <c r="N451" s="259"/>
    </row>
    <row r="452" spans="1:14" ht="63.75">
      <c r="A452" s="255" t="s">
        <v>805</v>
      </c>
      <c r="B452" s="159" t="s">
        <v>772</v>
      </c>
      <c r="C452" s="159" t="s">
        <v>384</v>
      </c>
      <c r="D452" s="159" t="s">
        <v>396</v>
      </c>
      <c r="E452" s="159" t="s">
        <v>806</v>
      </c>
      <c r="F452" s="159"/>
      <c r="G452" s="177"/>
      <c r="H452" s="177"/>
      <c r="I452" s="177"/>
      <c r="J452" s="253">
        <f>J453</f>
        <v>0</v>
      </c>
      <c r="K452" s="253">
        <f>K453</f>
        <v>15</v>
      </c>
      <c r="L452" s="253">
        <f>L453</f>
        <v>15</v>
      </c>
      <c r="M452" s="256">
        <f>M453</f>
        <v>0</v>
      </c>
      <c r="N452" s="256">
        <f>N453</f>
        <v>0</v>
      </c>
    </row>
    <row r="453" spans="1:14" ht="24.75" customHeight="1">
      <c r="A453" s="213" t="s">
        <v>577</v>
      </c>
      <c r="B453" s="159" t="s">
        <v>772</v>
      </c>
      <c r="C453" s="159" t="s">
        <v>384</v>
      </c>
      <c r="D453" s="159" t="s">
        <v>396</v>
      </c>
      <c r="E453" s="159" t="s">
        <v>806</v>
      </c>
      <c r="F453" s="159" t="s">
        <v>579</v>
      </c>
      <c r="G453" s="177"/>
      <c r="H453" s="177"/>
      <c r="I453" s="177"/>
      <c r="J453" s="253"/>
      <c r="K453" s="253">
        <v>15</v>
      </c>
      <c r="L453" s="253">
        <f>J453+K453</f>
        <v>15</v>
      </c>
      <c r="M453" s="256"/>
      <c r="N453" s="256"/>
    </row>
    <row r="454" spans="1:14" ht="38.25">
      <c r="A454" s="213" t="s">
        <v>807</v>
      </c>
      <c r="B454" s="159" t="s">
        <v>772</v>
      </c>
      <c r="C454" s="159" t="s">
        <v>384</v>
      </c>
      <c r="D454" s="159" t="s">
        <v>396</v>
      </c>
      <c r="E454" s="159" t="s">
        <v>808</v>
      </c>
      <c r="F454" s="159"/>
      <c r="G454" s="177"/>
      <c r="H454" s="177"/>
      <c r="I454" s="177"/>
      <c r="J454" s="253">
        <f>J455</f>
        <v>0</v>
      </c>
      <c r="K454" s="253">
        <f>K455</f>
        <v>10</v>
      </c>
      <c r="L454" s="253">
        <f>L455</f>
        <v>10</v>
      </c>
      <c r="M454" s="256">
        <f>M455</f>
        <v>0</v>
      </c>
      <c r="N454" s="256">
        <f>N455</f>
        <v>0</v>
      </c>
    </row>
    <row r="455" spans="1:14" ht="38.25">
      <c r="A455" s="213" t="s">
        <v>577</v>
      </c>
      <c r="B455" s="159" t="s">
        <v>772</v>
      </c>
      <c r="C455" s="159" t="s">
        <v>384</v>
      </c>
      <c r="D455" s="159" t="s">
        <v>396</v>
      </c>
      <c r="E455" s="159" t="s">
        <v>808</v>
      </c>
      <c r="F455" s="159" t="s">
        <v>579</v>
      </c>
      <c r="G455" s="177"/>
      <c r="H455" s="177"/>
      <c r="I455" s="177"/>
      <c r="J455" s="253"/>
      <c r="K455" s="170">
        <v>10</v>
      </c>
      <c r="L455" s="170">
        <f>J455+K455</f>
        <v>10</v>
      </c>
      <c r="M455" s="171"/>
      <c r="N455" s="172"/>
    </row>
    <row r="456" spans="1:14" s="462" customFormat="1" ht="14.25">
      <c r="A456" s="229" t="s">
        <v>406</v>
      </c>
      <c r="B456" s="168" t="s">
        <v>772</v>
      </c>
      <c r="C456" s="168" t="s">
        <v>385</v>
      </c>
      <c r="D456" s="168"/>
      <c r="E456" s="168"/>
      <c r="F456" s="168"/>
      <c r="G456" s="155" t="e">
        <f>G457+G462+#REF!</f>
        <v>#REF!</v>
      </c>
      <c r="H456" s="164" t="e">
        <f>H457+H462+#REF!+#REF!</f>
        <v>#REF!</v>
      </c>
      <c r="I456" s="164" t="e">
        <f>I457+I462+#REF!+#REF!</f>
        <v>#REF!</v>
      </c>
      <c r="J456" s="251">
        <f>J457+J462</f>
        <v>985</v>
      </c>
      <c r="K456" s="251">
        <f>K457+K462</f>
        <v>2179.3900000000003</v>
      </c>
      <c r="L456" s="251">
        <f>L457+L462</f>
        <v>3164.3900000000003</v>
      </c>
      <c r="M456" s="174" t="e">
        <f>M457+M462+#REF!+#REF!</f>
        <v>#REF!</v>
      </c>
      <c r="N456" s="175" t="e">
        <f>N457+N462+#REF!+#REF!</f>
        <v>#REF!</v>
      </c>
    </row>
    <row r="457" spans="1:14" s="340" customFormat="1" ht="14.25">
      <c r="A457" s="230" t="s">
        <v>409</v>
      </c>
      <c r="B457" s="168" t="s">
        <v>772</v>
      </c>
      <c r="C457" s="168" t="s">
        <v>385</v>
      </c>
      <c r="D457" s="168" t="s">
        <v>387</v>
      </c>
      <c r="E457" s="168"/>
      <c r="F457" s="168"/>
      <c r="G457" s="155">
        <f>G459</f>
        <v>0</v>
      </c>
      <c r="H457" s="155">
        <f>H459</f>
        <v>167.68</v>
      </c>
      <c r="I457" s="155">
        <f>I459</f>
        <v>0</v>
      </c>
      <c r="J457" s="251">
        <f aca="true" t="shared" si="109" ref="J457:L458">J458</f>
        <v>160</v>
      </c>
      <c r="K457" s="251">
        <f t="shared" si="109"/>
        <v>70</v>
      </c>
      <c r="L457" s="251">
        <f t="shared" si="109"/>
        <v>230</v>
      </c>
      <c r="M457" s="188">
        <f>M459</f>
        <v>0</v>
      </c>
      <c r="N457" s="209">
        <f>N459</f>
        <v>0</v>
      </c>
    </row>
    <row r="458" spans="1:14" ht="15">
      <c r="A458" s="230" t="s">
        <v>835</v>
      </c>
      <c r="B458" s="159" t="s">
        <v>772</v>
      </c>
      <c r="C458" s="159" t="s">
        <v>385</v>
      </c>
      <c r="D458" s="159" t="s">
        <v>387</v>
      </c>
      <c r="E458" s="159" t="s">
        <v>761</v>
      </c>
      <c r="F458" s="159"/>
      <c r="G458" s="177"/>
      <c r="H458" s="177"/>
      <c r="I458" s="177"/>
      <c r="J458" s="253">
        <f t="shared" si="109"/>
        <v>160</v>
      </c>
      <c r="K458" s="253">
        <f t="shared" si="109"/>
        <v>70</v>
      </c>
      <c r="L458" s="253">
        <f t="shared" si="109"/>
        <v>230</v>
      </c>
      <c r="M458" s="171"/>
      <c r="N458" s="172"/>
    </row>
    <row r="459" spans="1:14" ht="39">
      <c r="A459" s="230" t="s">
        <v>809</v>
      </c>
      <c r="B459" s="159" t="s">
        <v>772</v>
      </c>
      <c r="C459" s="159" t="s">
        <v>385</v>
      </c>
      <c r="D459" s="159" t="s">
        <v>387</v>
      </c>
      <c r="E459" s="159" t="s">
        <v>810</v>
      </c>
      <c r="F459" s="159"/>
      <c r="G459" s="177">
        <f aca="true" t="shared" si="110" ref="G459:N459">G460</f>
        <v>0</v>
      </c>
      <c r="H459" s="177">
        <f t="shared" si="110"/>
        <v>167.68</v>
      </c>
      <c r="I459" s="177">
        <f t="shared" si="110"/>
        <v>0</v>
      </c>
      <c r="J459" s="170">
        <f>J460+J461</f>
        <v>160</v>
      </c>
      <c r="K459" s="170">
        <f>K460+K461</f>
        <v>70</v>
      </c>
      <c r="L459" s="170">
        <f>L460+L461</f>
        <v>230</v>
      </c>
      <c r="M459" s="171">
        <f t="shared" si="110"/>
        <v>0</v>
      </c>
      <c r="N459" s="172">
        <f t="shared" si="110"/>
        <v>0</v>
      </c>
    </row>
    <row r="460" spans="1:14" ht="30.75" customHeight="1">
      <c r="A460" s="230" t="s">
        <v>811</v>
      </c>
      <c r="B460" s="159" t="s">
        <v>772</v>
      </c>
      <c r="C460" s="159" t="s">
        <v>385</v>
      </c>
      <c r="D460" s="159" t="s">
        <v>387</v>
      </c>
      <c r="E460" s="159" t="s">
        <v>810</v>
      </c>
      <c r="F460" s="159" t="s">
        <v>812</v>
      </c>
      <c r="G460" s="177"/>
      <c r="H460" s="169">
        <v>167.68</v>
      </c>
      <c r="I460" s="177"/>
      <c r="J460" s="253">
        <v>160</v>
      </c>
      <c r="K460" s="170">
        <v>-160</v>
      </c>
      <c r="L460" s="170">
        <f>J460+K460</f>
        <v>0</v>
      </c>
      <c r="M460" s="171"/>
      <c r="N460" s="172">
        <f>L460+M460</f>
        <v>0</v>
      </c>
    </row>
    <row r="461" spans="1:14" ht="30" customHeight="1">
      <c r="A461" s="213" t="s">
        <v>577</v>
      </c>
      <c r="B461" s="159" t="s">
        <v>772</v>
      </c>
      <c r="C461" s="159" t="s">
        <v>385</v>
      </c>
      <c r="D461" s="159" t="s">
        <v>387</v>
      </c>
      <c r="E461" s="159" t="s">
        <v>810</v>
      </c>
      <c r="F461" s="159" t="s">
        <v>579</v>
      </c>
      <c r="G461" s="177"/>
      <c r="H461" s="169"/>
      <c r="I461" s="177"/>
      <c r="J461" s="253"/>
      <c r="K461" s="170">
        <v>230</v>
      </c>
      <c r="L461" s="170">
        <f>J461+K461</f>
        <v>230</v>
      </c>
      <c r="M461" s="171"/>
      <c r="N461" s="172"/>
    </row>
    <row r="462" spans="1:14" s="340" customFormat="1" ht="25.5">
      <c r="A462" s="230" t="s">
        <v>813</v>
      </c>
      <c r="B462" s="168" t="s">
        <v>772</v>
      </c>
      <c r="C462" s="168" t="s">
        <v>385</v>
      </c>
      <c r="D462" s="168" t="s">
        <v>393</v>
      </c>
      <c r="E462" s="168"/>
      <c r="F462" s="168"/>
      <c r="G462" s="155" t="e">
        <f>G463+G468+#REF!</f>
        <v>#REF!</v>
      </c>
      <c r="H462" s="155" t="e">
        <f>H463+H468+#REF!</f>
        <v>#REF!</v>
      </c>
      <c r="I462" s="155" t="e">
        <f>I463+I468+#REF!</f>
        <v>#REF!</v>
      </c>
      <c r="J462" s="251">
        <f>J463+J468+J466</f>
        <v>825</v>
      </c>
      <c r="K462" s="251">
        <f>K463+K468+K466</f>
        <v>2109.3900000000003</v>
      </c>
      <c r="L462" s="251">
        <f>L463+L468+L466</f>
        <v>2934.3900000000003</v>
      </c>
      <c r="M462" s="259" t="e">
        <f>M463+M468+#REF!+M466</f>
        <v>#REF!</v>
      </c>
      <c r="N462" s="259" t="e">
        <f>N463+N468+#REF!+N466</f>
        <v>#REF!</v>
      </c>
    </row>
    <row r="463" spans="1:14" ht="26.25">
      <c r="A463" s="230" t="s">
        <v>818</v>
      </c>
      <c r="B463" s="159" t="s">
        <v>772</v>
      </c>
      <c r="C463" s="159" t="s">
        <v>385</v>
      </c>
      <c r="D463" s="159" t="s">
        <v>393</v>
      </c>
      <c r="E463" s="159" t="s">
        <v>819</v>
      </c>
      <c r="F463" s="159"/>
      <c r="G463" s="170">
        <f aca="true" t="shared" si="111" ref="G463:L463">G464+G465</f>
        <v>2750</v>
      </c>
      <c r="H463" s="170">
        <f t="shared" si="111"/>
        <v>1620.1</v>
      </c>
      <c r="I463" s="170">
        <f t="shared" si="111"/>
        <v>0</v>
      </c>
      <c r="J463" s="170">
        <f t="shared" si="111"/>
        <v>500</v>
      </c>
      <c r="K463" s="170">
        <f t="shared" si="111"/>
        <v>975.69</v>
      </c>
      <c r="L463" s="170">
        <f t="shared" si="111"/>
        <v>1475.69</v>
      </c>
      <c r="M463" s="171">
        <f>M464</f>
        <v>0</v>
      </c>
      <c r="N463" s="172">
        <f>N464</f>
        <v>0</v>
      </c>
    </row>
    <row r="464" spans="1:14" ht="26.25">
      <c r="A464" s="230" t="s">
        <v>487</v>
      </c>
      <c r="B464" s="159" t="s">
        <v>772</v>
      </c>
      <c r="C464" s="159" t="s">
        <v>385</v>
      </c>
      <c r="D464" s="159" t="s">
        <v>393</v>
      </c>
      <c r="E464" s="159" t="s">
        <v>819</v>
      </c>
      <c r="F464" s="159" t="s">
        <v>485</v>
      </c>
      <c r="G464" s="177">
        <f>2377+151+222</f>
        <v>2750</v>
      </c>
      <c r="H464" s="177">
        <f>1358.1+262</f>
        <v>1620.1</v>
      </c>
      <c r="I464" s="177"/>
      <c r="J464" s="253">
        <v>500</v>
      </c>
      <c r="K464" s="170">
        <v>-500</v>
      </c>
      <c r="L464" s="170">
        <f>J464+K464</f>
        <v>0</v>
      </c>
      <c r="M464" s="171"/>
      <c r="N464" s="172">
        <f>L464+M464</f>
        <v>0</v>
      </c>
    </row>
    <row r="465" spans="1:14" ht="38.25">
      <c r="A465" s="213" t="s">
        <v>577</v>
      </c>
      <c r="B465" s="159" t="s">
        <v>772</v>
      </c>
      <c r="C465" s="159" t="s">
        <v>385</v>
      </c>
      <c r="D465" s="159" t="s">
        <v>393</v>
      </c>
      <c r="E465" s="159" t="s">
        <v>819</v>
      </c>
      <c r="F465" s="159" t="s">
        <v>579</v>
      </c>
      <c r="G465" s="177"/>
      <c r="H465" s="177"/>
      <c r="I465" s="177"/>
      <c r="J465" s="253"/>
      <c r="K465" s="170">
        <f>316.39+1159.3</f>
        <v>1475.69</v>
      </c>
      <c r="L465" s="170">
        <f>J465+K465</f>
        <v>1475.69</v>
      </c>
      <c r="M465" s="171"/>
      <c r="N465" s="172"/>
    </row>
    <row r="466" spans="1:14" ht="15">
      <c r="A466" s="213" t="s">
        <v>820</v>
      </c>
      <c r="B466" s="159" t="s">
        <v>772</v>
      </c>
      <c r="C466" s="159" t="s">
        <v>385</v>
      </c>
      <c r="D466" s="159" t="s">
        <v>393</v>
      </c>
      <c r="E466" s="159" t="s">
        <v>821</v>
      </c>
      <c r="F466" s="159"/>
      <c r="G466" s="177"/>
      <c r="H466" s="177"/>
      <c r="I466" s="177"/>
      <c r="J466" s="253">
        <f>J467</f>
        <v>0</v>
      </c>
      <c r="K466" s="253">
        <f>K467</f>
        <v>708.7</v>
      </c>
      <c r="L466" s="253">
        <f>L467</f>
        <v>708.7</v>
      </c>
      <c r="M466" s="256">
        <f>M467</f>
        <v>0</v>
      </c>
      <c r="N466" s="256">
        <f>N467</f>
        <v>0</v>
      </c>
    </row>
    <row r="467" spans="1:14" ht="48.75" customHeight="1">
      <c r="A467" s="213" t="s">
        <v>554</v>
      </c>
      <c r="B467" s="159" t="s">
        <v>772</v>
      </c>
      <c r="C467" s="159" t="s">
        <v>385</v>
      </c>
      <c r="D467" s="159" t="s">
        <v>393</v>
      </c>
      <c r="E467" s="159" t="s">
        <v>821</v>
      </c>
      <c r="F467" s="159" t="s">
        <v>555</v>
      </c>
      <c r="G467" s="177"/>
      <c r="H467" s="177"/>
      <c r="I467" s="177"/>
      <c r="J467" s="253"/>
      <c r="K467" s="170">
        <v>708.7</v>
      </c>
      <c r="L467" s="170">
        <f>J467+K467</f>
        <v>708.7</v>
      </c>
      <c r="M467" s="171"/>
      <c r="N467" s="172"/>
    </row>
    <row r="468" spans="1:14" ht="30" customHeight="1">
      <c r="A468" s="230" t="s">
        <v>822</v>
      </c>
      <c r="B468" s="159" t="s">
        <v>772</v>
      </c>
      <c r="C468" s="159" t="s">
        <v>385</v>
      </c>
      <c r="D468" s="159" t="s">
        <v>393</v>
      </c>
      <c r="E468" s="159" t="s">
        <v>823</v>
      </c>
      <c r="F468" s="159"/>
      <c r="G468" s="177">
        <f aca="true" t="shared" si="112" ref="G468:N469">G469</f>
        <v>550</v>
      </c>
      <c r="H468" s="177">
        <f t="shared" si="112"/>
        <v>314.4</v>
      </c>
      <c r="I468" s="177">
        <f t="shared" si="112"/>
        <v>0</v>
      </c>
      <c r="J468" s="253">
        <f t="shared" si="112"/>
        <v>325</v>
      </c>
      <c r="K468" s="170">
        <f>K469</f>
        <v>425</v>
      </c>
      <c r="L468" s="170">
        <f t="shared" si="112"/>
        <v>750</v>
      </c>
      <c r="M468" s="171">
        <f t="shared" si="112"/>
        <v>0</v>
      </c>
      <c r="N468" s="172">
        <f t="shared" si="112"/>
        <v>0</v>
      </c>
    </row>
    <row r="469" spans="1:14" ht="26.25">
      <c r="A469" s="230" t="s">
        <v>824</v>
      </c>
      <c r="B469" s="159" t="s">
        <v>772</v>
      </c>
      <c r="C469" s="159" t="s">
        <v>385</v>
      </c>
      <c r="D469" s="159" t="s">
        <v>393</v>
      </c>
      <c r="E469" s="159" t="s">
        <v>825</v>
      </c>
      <c r="F469" s="159"/>
      <c r="G469" s="177">
        <f t="shared" si="112"/>
        <v>550</v>
      </c>
      <c r="H469" s="177">
        <f t="shared" si="112"/>
        <v>314.4</v>
      </c>
      <c r="I469" s="177">
        <f t="shared" si="112"/>
        <v>0</v>
      </c>
      <c r="J469" s="170">
        <f>J470+J471</f>
        <v>325</v>
      </c>
      <c r="K469" s="170">
        <f>K470+K471</f>
        <v>425</v>
      </c>
      <c r="L469" s="170">
        <f>L470+L471</f>
        <v>750</v>
      </c>
      <c r="M469" s="171">
        <f t="shared" si="112"/>
        <v>0</v>
      </c>
      <c r="N469" s="172">
        <f t="shared" si="112"/>
        <v>0</v>
      </c>
    </row>
    <row r="470" spans="1:14" ht="26.25">
      <c r="A470" s="230" t="s">
        <v>487</v>
      </c>
      <c r="B470" s="159" t="s">
        <v>772</v>
      </c>
      <c r="C470" s="159" t="s">
        <v>385</v>
      </c>
      <c r="D470" s="159" t="s">
        <v>393</v>
      </c>
      <c r="E470" s="159" t="s">
        <v>825</v>
      </c>
      <c r="F470" s="159" t="s">
        <v>485</v>
      </c>
      <c r="G470" s="177">
        <v>550</v>
      </c>
      <c r="H470" s="177">
        <v>314.4</v>
      </c>
      <c r="I470" s="177"/>
      <c r="J470" s="253">
        <v>325</v>
      </c>
      <c r="K470" s="170">
        <v>-325</v>
      </c>
      <c r="L470" s="170">
        <f>J470+K470</f>
        <v>0</v>
      </c>
      <c r="M470" s="171"/>
      <c r="N470" s="172">
        <f>L470+M470</f>
        <v>0</v>
      </c>
    </row>
    <row r="471" spans="1:14" ht="25.5" customHeight="1">
      <c r="A471" s="213" t="s">
        <v>577</v>
      </c>
      <c r="B471" s="159" t="s">
        <v>772</v>
      </c>
      <c r="C471" s="159" t="s">
        <v>385</v>
      </c>
      <c r="D471" s="159" t="s">
        <v>393</v>
      </c>
      <c r="E471" s="159" t="s">
        <v>825</v>
      </c>
      <c r="F471" s="159" t="s">
        <v>579</v>
      </c>
      <c r="G471" s="177"/>
      <c r="H471" s="177"/>
      <c r="I471" s="177"/>
      <c r="J471" s="253"/>
      <c r="K471" s="170">
        <v>750</v>
      </c>
      <c r="L471" s="170">
        <f>J471+K471</f>
        <v>750</v>
      </c>
      <c r="M471" s="171"/>
      <c r="N471" s="172"/>
    </row>
    <row r="472" spans="1:14" s="462" customFormat="1" ht="14.25">
      <c r="A472" s="229" t="s">
        <v>660</v>
      </c>
      <c r="B472" s="168" t="s">
        <v>772</v>
      </c>
      <c r="C472" s="168" t="s">
        <v>387</v>
      </c>
      <c r="D472" s="168"/>
      <c r="E472" s="168"/>
      <c r="F472" s="168"/>
      <c r="G472" s="155" t="e">
        <f>G473+G479+G490+#REF!</f>
        <v>#REF!</v>
      </c>
      <c r="H472" s="155" t="e">
        <f>H473+H479+H490+#REF!</f>
        <v>#REF!</v>
      </c>
      <c r="I472" s="155" t="e">
        <f>I473+I479+I490+#REF!</f>
        <v>#REF!</v>
      </c>
      <c r="J472" s="161">
        <f>J473+J479+J490</f>
        <v>500</v>
      </c>
      <c r="K472" s="161">
        <f>K473+K479+K490</f>
        <v>6600.32</v>
      </c>
      <c r="L472" s="161">
        <f>L473+L479+L490</f>
        <v>7100.32</v>
      </c>
      <c r="M472" s="174" t="e">
        <f>M473+M479+M490+#REF!</f>
        <v>#REF!</v>
      </c>
      <c r="N472" s="260" t="e">
        <f>N473+N479+N490+#REF!</f>
        <v>#REF!</v>
      </c>
    </row>
    <row r="473" spans="1:14" s="340" customFormat="1" ht="15" customHeight="1">
      <c r="A473" s="229" t="s">
        <v>414</v>
      </c>
      <c r="B473" s="168" t="s">
        <v>772</v>
      </c>
      <c r="C473" s="168" t="s">
        <v>387</v>
      </c>
      <c r="D473" s="168" t="s">
        <v>382</v>
      </c>
      <c r="E473" s="168"/>
      <c r="F473" s="168"/>
      <c r="G473" s="155">
        <f>G477</f>
        <v>-40</v>
      </c>
      <c r="H473" s="164" t="e">
        <f>H477+#REF!+#REF!</f>
        <v>#REF!</v>
      </c>
      <c r="I473" s="164" t="e">
        <f>I477+#REF!+#REF!</f>
        <v>#REF!</v>
      </c>
      <c r="J473" s="251">
        <f>J476+J474</f>
        <v>0</v>
      </c>
      <c r="K473" s="251">
        <f>K476+K474</f>
        <v>260</v>
      </c>
      <c r="L473" s="251">
        <f>L476+L474</f>
        <v>260</v>
      </c>
      <c r="M473" s="188" t="e">
        <f>M477+#REF!+#REF!</f>
        <v>#REF!</v>
      </c>
      <c r="N473" s="209" t="e">
        <f>N477+#REF!+#REF!</f>
        <v>#REF!</v>
      </c>
    </row>
    <row r="474" spans="1:14" s="340" customFormat="1" ht="35.25" customHeight="1">
      <c r="A474" s="230" t="s">
        <v>1075</v>
      </c>
      <c r="B474" s="159" t="s">
        <v>772</v>
      </c>
      <c r="C474" s="159" t="s">
        <v>387</v>
      </c>
      <c r="D474" s="159" t="s">
        <v>382</v>
      </c>
      <c r="E474" s="159" t="s">
        <v>985</v>
      </c>
      <c r="F474" s="159"/>
      <c r="G474" s="177"/>
      <c r="H474" s="169"/>
      <c r="I474" s="169"/>
      <c r="J474" s="253">
        <f>J475</f>
        <v>0</v>
      </c>
      <c r="K474" s="253">
        <f>K475</f>
        <v>250</v>
      </c>
      <c r="L474" s="253">
        <f>L475</f>
        <v>250</v>
      </c>
      <c r="M474" s="188"/>
      <c r="N474" s="209"/>
    </row>
    <row r="475" spans="1:14" s="340" customFormat="1" ht="26.25" customHeight="1">
      <c r="A475" s="213" t="s">
        <v>577</v>
      </c>
      <c r="B475" s="159" t="s">
        <v>772</v>
      </c>
      <c r="C475" s="159" t="s">
        <v>387</v>
      </c>
      <c r="D475" s="159" t="s">
        <v>382</v>
      </c>
      <c r="E475" s="159" t="s">
        <v>985</v>
      </c>
      <c r="F475" s="159" t="s">
        <v>579</v>
      </c>
      <c r="G475" s="177"/>
      <c r="H475" s="169"/>
      <c r="I475" s="169"/>
      <c r="J475" s="253"/>
      <c r="K475" s="253">
        <v>250</v>
      </c>
      <c r="L475" s="253">
        <f>J475+K475</f>
        <v>250</v>
      </c>
      <c r="M475" s="188"/>
      <c r="N475" s="209"/>
    </row>
    <row r="476" spans="1:14" ht="15" customHeight="1">
      <c r="A476" s="230" t="s">
        <v>835</v>
      </c>
      <c r="B476" s="159" t="s">
        <v>772</v>
      </c>
      <c r="C476" s="159" t="s">
        <v>387</v>
      </c>
      <c r="D476" s="159" t="s">
        <v>382</v>
      </c>
      <c r="E476" s="159" t="s">
        <v>761</v>
      </c>
      <c r="F476" s="159"/>
      <c r="G476" s="177"/>
      <c r="H476" s="169"/>
      <c r="I476" s="169"/>
      <c r="J476" s="253">
        <f>J477</f>
        <v>0</v>
      </c>
      <c r="K476" s="253">
        <f>K477</f>
        <v>10</v>
      </c>
      <c r="L476" s="253">
        <f>L477</f>
        <v>10</v>
      </c>
      <c r="M476" s="171"/>
      <c r="N476" s="172"/>
    </row>
    <row r="477" spans="1:14" ht="30" customHeight="1">
      <c r="A477" s="255" t="s">
        <v>826</v>
      </c>
      <c r="B477" s="159" t="s">
        <v>772</v>
      </c>
      <c r="C477" s="159" t="s">
        <v>387</v>
      </c>
      <c r="D477" s="159" t="s">
        <v>382</v>
      </c>
      <c r="E477" s="159" t="s">
        <v>827</v>
      </c>
      <c r="F477" s="159"/>
      <c r="G477" s="177">
        <f aca="true" t="shared" si="113" ref="G477:N477">G478</f>
        <v>-40</v>
      </c>
      <c r="H477" s="177">
        <f t="shared" si="113"/>
        <v>0</v>
      </c>
      <c r="I477" s="177">
        <f t="shared" si="113"/>
        <v>0</v>
      </c>
      <c r="J477" s="253">
        <f t="shared" si="113"/>
        <v>0</v>
      </c>
      <c r="K477" s="170">
        <f t="shared" si="113"/>
        <v>10</v>
      </c>
      <c r="L477" s="170">
        <f t="shared" si="113"/>
        <v>10</v>
      </c>
      <c r="M477" s="171">
        <f t="shared" si="113"/>
        <v>0</v>
      </c>
      <c r="N477" s="172">
        <f t="shared" si="113"/>
        <v>10</v>
      </c>
    </row>
    <row r="478" spans="1:14" ht="30" customHeight="1">
      <c r="A478" s="213" t="s">
        <v>577</v>
      </c>
      <c r="B478" s="159" t="s">
        <v>772</v>
      </c>
      <c r="C478" s="159" t="s">
        <v>387</v>
      </c>
      <c r="D478" s="159" t="s">
        <v>382</v>
      </c>
      <c r="E478" s="159" t="s">
        <v>827</v>
      </c>
      <c r="F478" s="159" t="s">
        <v>579</v>
      </c>
      <c r="G478" s="177">
        <v>-40</v>
      </c>
      <c r="H478" s="169"/>
      <c r="I478" s="177"/>
      <c r="J478" s="253">
        <f>H478+I478</f>
        <v>0</v>
      </c>
      <c r="K478" s="170">
        <v>10</v>
      </c>
      <c r="L478" s="170">
        <f>J478+K478</f>
        <v>10</v>
      </c>
      <c r="M478" s="171"/>
      <c r="N478" s="172">
        <f>L478+M478</f>
        <v>10</v>
      </c>
    </row>
    <row r="479" spans="1:14" s="340" customFormat="1" ht="14.25">
      <c r="A479" s="230" t="s">
        <v>415</v>
      </c>
      <c r="B479" s="168" t="s">
        <v>772</v>
      </c>
      <c r="C479" s="168" t="s">
        <v>387</v>
      </c>
      <c r="D479" s="168" t="s">
        <v>383</v>
      </c>
      <c r="E479" s="168"/>
      <c r="F479" s="168"/>
      <c r="G479" s="155" t="e">
        <f>#REF!+G487+#REF!+#REF!</f>
        <v>#REF!</v>
      </c>
      <c r="H479" s="164" t="e">
        <f>#REF!+H487+#REF!+#REF!+#REF!+#REF!+H482</f>
        <v>#REF!</v>
      </c>
      <c r="I479" s="164" t="e">
        <f>#REF!+I487+#REF!+#REF!+#REF!+#REF!+I482</f>
        <v>#REF!</v>
      </c>
      <c r="J479" s="251">
        <f>J480+J482+J487+J485</f>
        <v>500</v>
      </c>
      <c r="K479" s="251">
        <f>K480+K482+K487+K485</f>
        <v>5840.32</v>
      </c>
      <c r="L479" s="251">
        <f>L480+L482+L487+L485</f>
        <v>6340.32</v>
      </c>
      <c r="M479" s="261" t="e">
        <f>#REF!+#REF!+#REF!+#REF!+#REF!+M482+M480+M487+#REF!</f>
        <v>#REF!</v>
      </c>
      <c r="N479" s="262" t="e">
        <f>#REF!+#REF!+#REF!+#REF!+#REF!+N482+N480+N487+#REF!</f>
        <v>#REF!</v>
      </c>
    </row>
    <row r="480" spans="1:14" s="340" customFormat="1" ht="39" customHeight="1">
      <c r="A480" s="230" t="s">
        <v>814</v>
      </c>
      <c r="B480" s="159" t="s">
        <v>772</v>
      </c>
      <c r="C480" s="159" t="s">
        <v>387</v>
      </c>
      <c r="D480" s="159" t="s">
        <v>383</v>
      </c>
      <c r="E480" s="159" t="s">
        <v>815</v>
      </c>
      <c r="F480" s="159"/>
      <c r="G480" s="177"/>
      <c r="H480" s="169"/>
      <c r="I480" s="169"/>
      <c r="J480" s="253">
        <f>J481</f>
        <v>0</v>
      </c>
      <c r="K480" s="253">
        <f>K481</f>
        <v>3234.92</v>
      </c>
      <c r="L480" s="253">
        <f>L481</f>
        <v>3234.92</v>
      </c>
      <c r="M480" s="256" t="e">
        <f>#REF!+#REF!</f>
        <v>#REF!</v>
      </c>
      <c r="N480" s="256" t="e">
        <f>#REF!+#REF!</f>
        <v>#REF!</v>
      </c>
    </row>
    <row r="481" spans="1:17" ht="51.75">
      <c r="A481" s="230" t="s">
        <v>831</v>
      </c>
      <c r="B481" s="159" t="s">
        <v>772</v>
      </c>
      <c r="C481" s="159" t="s">
        <v>387</v>
      </c>
      <c r="D481" s="159" t="s">
        <v>383</v>
      </c>
      <c r="E481" s="159" t="s">
        <v>815</v>
      </c>
      <c r="F481" s="159" t="s">
        <v>832</v>
      </c>
      <c r="G481" s="177"/>
      <c r="H481" s="177"/>
      <c r="I481" s="177"/>
      <c r="J481" s="253"/>
      <c r="K481" s="170">
        <v>3234.92</v>
      </c>
      <c r="L481" s="170">
        <f>J481+K481</f>
        <v>3234.92</v>
      </c>
      <c r="M481" s="171"/>
      <c r="N481" s="172"/>
      <c r="Q481" s="448"/>
    </row>
    <row r="482" spans="1:14" ht="26.25">
      <c r="A482" s="173" t="s">
        <v>833</v>
      </c>
      <c r="B482" s="159" t="s">
        <v>772</v>
      </c>
      <c r="C482" s="159" t="s">
        <v>387</v>
      </c>
      <c r="D482" s="159" t="s">
        <v>383</v>
      </c>
      <c r="E482" s="159" t="s">
        <v>834</v>
      </c>
      <c r="F482" s="159"/>
      <c r="G482" s="177"/>
      <c r="H482" s="169">
        <f aca="true" t="shared" si="114" ref="H482:N482">H483</f>
        <v>0</v>
      </c>
      <c r="I482" s="169">
        <f t="shared" si="114"/>
        <v>0</v>
      </c>
      <c r="J482" s="170">
        <f>J483+J484</f>
        <v>500</v>
      </c>
      <c r="K482" s="170">
        <f>K483+K484</f>
        <v>-500</v>
      </c>
      <c r="L482" s="170">
        <f>L483+L484</f>
        <v>0</v>
      </c>
      <c r="M482" s="171">
        <f t="shared" si="114"/>
        <v>0</v>
      </c>
      <c r="N482" s="172">
        <f t="shared" si="114"/>
        <v>0</v>
      </c>
    </row>
    <row r="483" spans="1:14" ht="26.25" customHeight="1">
      <c r="A483" s="230" t="s">
        <v>487</v>
      </c>
      <c r="B483" s="159" t="s">
        <v>772</v>
      </c>
      <c r="C483" s="159" t="s">
        <v>387</v>
      </c>
      <c r="D483" s="159" t="s">
        <v>383</v>
      </c>
      <c r="E483" s="159" t="s">
        <v>834</v>
      </c>
      <c r="F483" s="159" t="s">
        <v>485</v>
      </c>
      <c r="G483" s="177"/>
      <c r="H483" s="169"/>
      <c r="I483" s="177"/>
      <c r="J483" s="253">
        <v>500</v>
      </c>
      <c r="K483" s="170">
        <v>-500</v>
      </c>
      <c r="L483" s="170">
        <f>J483+K483</f>
        <v>0</v>
      </c>
      <c r="M483" s="171"/>
      <c r="N483" s="172">
        <f>L483+M483</f>
        <v>0</v>
      </c>
    </row>
    <row r="484" spans="1:14" ht="26.25" customHeight="1" hidden="1">
      <c r="A484" s="213" t="s">
        <v>577</v>
      </c>
      <c r="B484" s="159" t="s">
        <v>772</v>
      </c>
      <c r="C484" s="159" t="s">
        <v>387</v>
      </c>
      <c r="D484" s="159" t="s">
        <v>383</v>
      </c>
      <c r="E484" s="159" t="s">
        <v>834</v>
      </c>
      <c r="F484" s="159" t="s">
        <v>579</v>
      </c>
      <c r="G484" s="177"/>
      <c r="H484" s="169"/>
      <c r="I484" s="177"/>
      <c r="J484" s="253"/>
      <c r="K484" s="170"/>
      <c r="L484" s="170">
        <f>J484+K484</f>
        <v>0</v>
      </c>
      <c r="M484" s="171"/>
      <c r="N484" s="172"/>
    </row>
    <row r="485" spans="1:14" ht="39" customHeight="1">
      <c r="A485" s="213" t="s">
        <v>986</v>
      </c>
      <c r="B485" s="159" t="s">
        <v>772</v>
      </c>
      <c r="C485" s="159" t="s">
        <v>387</v>
      </c>
      <c r="D485" s="159" t="s">
        <v>383</v>
      </c>
      <c r="E485" s="159" t="s">
        <v>987</v>
      </c>
      <c r="F485" s="159"/>
      <c r="G485" s="177"/>
      <c r="H485" s="169"/>
      <c r="I485" s="177"/>
      <c r="J485" s="253">
        <f>J486</f>
        <v>0</v>
      </c>
      <c r="K485" s="253">
        <f>K486</f>
        <v>2605.4</v>
      </c>
      <c r="L485" s="253">
        <f>L486</f>
        <v>2605.4</v>
      </c>
      <c r="M485" s="171"/>
      <c r="N485" s="172"/>
    </row>
    <row r="486" spans="1:14" ht="51.75">
      <c r="A486" s="230" t="s">
        <v>831</v>
      </c>
      <c r="B486" s="159" t="s">
        <v>772</v>
      </c>
      <c r="C486" s="159" t="s">
        <v>387</v>
      </c>
      <c r="D486" s="159" t="s">
        <v>383</v>
      </c>
      <c r="E486" s="159" t="s">
        <v>987</v>
      </c>
      <c r="F486" s="159" t="s">
        <v>832</v>
      </c>
      <c r="G486" s="177"/>
      <c r="H486" s="169"/>
      <c r="I486" s="177"/>
      <c r="J486" s="253"/>
      <c r="K486" s="170">
        <v>2605.4</v>
      </c>
      <c r="L486" s="170">
        <f>J486+K486</f>
        <v>2605.4</v>
      </c>
      <c r="M486" s="171"/>
      <c r="N486" s="172"/>
    </row>
    <row r="487" spans="1:14" ht="15" customHeight="1">
      <c r="A487" s="230" t="s">
        <v>835</v>
      </c>
      <c r="B487" s="159" t="s">
        <v>772</v>
      </c>
      <c r="C487" s="159" t="s">
        <v>387</v>
      </c>
      <c r="D487" s="159" t="s">
        <v>383</v>
      </c>
      <c r="E487" s="159" t="s">
        <v>761</v>
      </c>
      <c r="F487" s="159"/>
      <c r="G487" s="177" t="e">
        <f>G488+#REF!</f>
        <v>#REF!</v>
      </c>
      <c r="H487" s="177"/>
      <c r="I487" s="177" t="e">
        <f>I488+#REF!</f>
        <v>#REF!</v>
      </c>
      <c r="J487" s="253">
        <f>J488</f>
        <v>0</v>
      </c>
      <c r="K487" s="253">
        <f>K488</f>
        <v>500</v>
      </c>
      <c r="L487" s="253">
        <f>L488</f>
        <v>500</v>
      </c>
      <c r="M487" s="171" t="e">
        <f>M488+#REF!</f>
        <v>#REF!</v>
      </c>
      <c r="N487" s="172" t="e">
        <f>N488+#REF!</f>
        <v>#REF!</v>
      </c>
    </row>
    <row r="488" spans="1:14" ht="37.5" customHeight="1">
      <c r="A488" s="463" t="s">
        <v>836</v>
      </c>
      <c r="B488" s="159" t="s">
        <v>772</v>
      </c>
      <c r="C488" s="159" t="s">
        <v>387</v>
      </c>
      <c r="D488" s="159" t="s">
        <v>383</v>
      </c>
      <c r="E488" s="159" t="s">
        <v>837</v>
      </c>
      <c r="F488" s="159"/>
      <c r="G488" s="177">
        <f aca="true" t="shared" si="115" ref="G488:N488">G489</f>
        <v>-1750</v>
      </c>
      <c r="H488" s="177">
        <f t="shared" si="115"/>
        <v>0</v>
      </c>
      <c r="I488" s="177">
        <f t="shared" si="115"/>
        <v>0</v>
      </c>
      <c r="J488" s="253">
        <f t="shared" si="115"/>
        <v>0</v>
      </c>
      <c r="K488" s="170">
        <f t="shared" si="115"/>
        <v>500</v>
      </c>
      <c r="L488" s="170">
        <f t="shared" si="115"/>
        <v>500</v>
      </c>
      <c r="M488" s="171">
        <f t="shared" si="115"/>
        <v>0</v>
      </c>
      <c r="N488" s="172">
        <f t="shared" si="115"/>
        <v>500</v>
      </c>
    </row>
    <row r="489" spans="1:14" ht="12.75" customHeight="1">
      <c r="A489" s="213" t="s">
        <v>577</v>
      </c>
      <c r="B489" s="159" t="s">
        <v>772</v>
      </c>
      <c r="C489" s="159" t="s">
        <v>387</v>
      </c>
      <c r="D489" s="159" t="s">
        <v>383</v>
      </c>
      <c r="E489" s="159" t="s">
        <v>837</v>
      </c>
      <c r="F489" s="159" t="s">
        <v>579</v>
      </c>
      <c r="G489" s="177">
        <v>-1750</v>
      </c>
      <c r="H489" s="169"/>
      <c r="I489" s="177"/>
      <c r="J489" s="253">
        <v>0</v>
      </c>
      <c r="K489" s="170">
        <v>500</v>
      </c>
      <c r="L489" s="170">
        <f>J489+K489</f>
        <v>500</v>
      </c>
      <c r="M489" s="171"/>
      <c r="N489" s="172">
        <f>L489+M489</f>
        <v>500</v>
      </c>
    </row>
    <row r="490" spans="1:14" s="340" customFormat="1" ht="14.25" customHeight="1">
      <c r="A490" s="229" t="s">
        <v>838</v>
      </c>
      <c r="B490" s="168" t="s">
        <v>772</v>
      </c>
      <c r="C490" s="168" t="s">
        <v>387</v>
      </c>
      <c r="D490" s="168" t="s">
        <v>384</v>
      </c>
      <c r="E490" s="168"/>
      <c r="F490" s="168"/>
      <c r="G490" s="155">
        <f aca="true" t="shared" si="116" ref="G490:N492">G491</f>
        <v>-786.5</v>
      </c>
      <c r="H490" s="155">
        <f t="shared" si="116"/>
        <v>0</v>
      </c>
      <c r="I490" s="155">
        <f t="shared" si="116"/>
        <v>0</v>
      </c>
      <c r="J490" s="251">
        <f>J491</f>
        <v>0</v>
      </c>
      <c r="K490" s="251">
        <f>K491</f>
        <v>500</v>
      </c>
      <c r="L490" s="251">
        <f>L491</f>
        <v>500</v>
      </c>
      <c r="M490" s="188">
        <f t="shared" si="116"/>
        <v>0</v>
      </c>
      <c r="N490" s="209">
        <f t="shared" si="116"/>
        <v>500</v>
      </c>
    </row>
    <row r="491" spans="1:14" ht="15" customHeight="1">
      <c r="A491" s="230" t="s">
        <v>416</v>
      </c>
      <c r="B491" s="159" t="s">
        <v>772</v>
      </c>
      <c r="C491" s="159" t="s">
        <v>387</v>
      </c>
      <c r="D491" s="159" t="s">
        <v>384</v>
      </c>
      <c r="E491" s="159" t="s">
        <v>839</v>
      </c>
      <c r="F491" s="159"/>
      <c r="G491" s="177">
        <f t="shared" si="116"/>
        <v>-786.5</v>
      </c>
      <c r="H491" s="177">
        <f t="shared" si="116"/>
        <v>0</v>
      </c>
      <c r="I491" s="177">
        <f t="shared" si="116"/>
        <v>0</v>
      </c>
      <c r="J491" s="253">
        <f>J492</f>
        <v>0</v>
      </c>
      <c r="K491" s="170">
        <f t="shared" si="116"/>
        <v>500</v>
      </c>
      <c r="L491" s="170">
        <f t="shared" si="116"/>
        <v>500</v>
      </c>
      <c r="M491" s="171">
        <f t="shared" si="116"/>
        <v>0</v>
      </c>
      <c r="N491" s="172">
        <f t="shared" si="116"/>
        <v>500</v>
      </c>
    </row>
    <row r="492" spans="1:14" ht="30" customHeight="1">
      <c r="A492" s="255" t="s">
        <v>840</v>
      </c>
      <c r="B492" s="159" t="s">
        <v>772</v>
      </c>
      <c r="C492" s="159" t="s">
        <v>387</v>
      </c>
      <c r="D492" s="159" t="s">
        <v>384</v>
      </c>
      <c r="E492" s="159" t="s">
        <v>841</v>
      </c>
      <c r="F492" s="159"/>
      <c r="G492" s="177">
        <f t="shared" si="116"/>
        <v>-786.5</v>
      </c>
      <c r="H492" s="177">
        <f t="shared" si="116"/>
        <v>0</v>
      </c>
      <c r="I492" s="177">
        <f t="shared" si="116"/>
        <v>0</v>
      </c>
      <c r="J492" s="253">
        <f>J493</f>
        <v>0</v>
      </c>
      <c r="K492" s="170">
        <f t="shared" si="116"/>
        <v>500</v>
      </c>
      <c r="L492" s="170">
        <f t="shared" si="116"/>
        <v>500</v>
      </c>
      <c r="M492" s="171">
        <f t="shared" si="116"/>
        <v>0</v>
      </c>
      <c r="N492" s="172">
        <f t="shared" si="116"/>
        <v>500</v>
      </c>
    </row>
    <row r="493" spans="1:14" ht="30" customHeight="1">
      <c r="A493" s="213" t="s">
        <v>577</v>
      </c>
      <c r="B493" s="159" t="s">
        <v>772</v>
      </c>
      <c r="C493" s="159" t="s">
        <v>387</v>
      </c>
      <c r="D493" s="159" t="s">
        <v>384</v>
      </c>
      <c r="E493" s="159" t="s">
        <v>841</v>
      </c>
      <c r="F493" s="159" t="s">
        <v>579</v>
      </c>
      <c r="G493" s="177">
        <v>-786.5</v>
      </c>
      <c r="H493" s="169"/>
      <c r="I493" s="177"/>
      <c r="J493" s="253">
        <f>H493+I493</f>
        <v>0</v>
      </c>
      <c r="K493" s="170">
        <v>500</v>
      </c>
      <c r="L493" s="170">
        <f>J493+K493</f>
        <v>500</v>
      </c>
      <c r="M493" s="171"/>
      <c r="N493" s="172">
        <f>L493+M493</f>
        <v>500</v>
      </c>
    </row>
    <row r="494" spans="1:14" s="462" customFormat="1" ht="14.25" customHeight="1">
      <c r="A494" s="264" t="s">
        <v>417</v>
      </c>
      <c r="B494" s="168" t="s">
        <v>772</v>
      </c>
      <c r="C494" s="168" t="s">
        <v>390</v>
      </c>
      <c r="D494" s="168"/>
      <c r="E494" s="168"/>
      <c r="F494" s="168"/>
      <c r="G494" s="155" t="e">
        <f>G518+#REF!+#REF!</f>
        <v>#REF!</v>
      </c>
      <c r="H494" s="161" t="e">
        <f>H518+#REF!+H495</f>
        <v>#REF!</v>
      </c>
      <c r="I494" s="161" t="e">
        <f>I518+#REF!+I495</f>
        <v>#REF!</v>
      </c>
      <c r="J494" s="161">
        <f>J499+J518+J524+J495</f>
        <v>21354.93</v>
      </c>
      <c r="K494" s="161">
        <f>K499+K518+K524+K495</f>
        <v>5610.310000000001</v>
      </c>
      <c r="L494" s="161">
        <f>L499+L518+L524+L495</f>
        <v>26965.239999999998</v>
      </c>
      <c r="M494" s="174" t="e">
        <f>M495+M499+M518+#REF!+M524</f>
        <v>#REF!</v>
      </c>
      <c r="N494" s="260" t="e">
        <f>N495+N499+N518+#REF!+N524</f>
        <v>#REF!</v>
      </c>
    </row>
    <row r="495" spans="1:14" ht="15" customHeight="1">
      <c r="A495" s="167" t="s">
        <v>419</v>
      </c>
      <c r="B495" s="168" t="s">
        <v>772</v>
      </c>
      <c r="C495" s="168" t="s">
        <v>390</v>
      </c>
      <c r="D495" s="168" t="s">
        <v>382</v>
      </c>
      <c r="E495" s="168"/>
      <c r="F495" s="168"/>
      <c r="G495" s="224"/>
      <c r="H495" s="224">
        <f>H496</f>
        <v>667</v>
      </c>
      <c r="I495" s="224">
        <f aca="true" t="shared" si="117" ref="I495:N497">I496</f>
        <v>0</v>
      </c>
      <c r="J495" s="251">
        <f t="shared" si="117"/>
        <v>0</v>
      </c>
      <c r="K495" s="161">
        <f t="shared" si="117"/>
        <v>451.78</v>
      </c>
      <c r="L495" s="161">
        <f t="shared" si="117"/>
        <v>451.78</v>
      </c>
      <c r="M495" s="188">
        <f t="shared" si="117"/>
        <v>0</v>
      </c>
      <c r="N495" s="209">
        <f t="shared" si="117"/>
        <v>451.78</v>
      </c>
    </row>
    <row r="496" spans="1:14" ht="45" customHeight="1">
      <c r="A496" s="173" t="s">
        <v>828</v>
      </c>
      <c r="B496" s="159" t="s">
        <v>772</v>
      </c>
      <c r="C496" s="159" t="s">
        <v>390</v>
      </c>
      <c r="D496" s="159" t="s">
        <v>382</v>
      </c>
      <c r="E496" s="159" t="s">
        <v>829</v>
      </c>
      <c r="F496" s="159"/>
      <c r="G496" s="241"/>
      <c r="H496" s="241">
        <f>H497</f>
        <v>667</v>
      </c>
      <c r="I496" s="241">
        <f t="shared" si="117"/>
        <v>0</v>
      </c>
      <c r="J496" s="253">
        <f t="shared" si="117"/>
        <v>0</v>
      </c>
      <c r="K496" s="170">
        <f t="shared" si="117"/>
        <v>451.78</v>
      </c>
      <c r="L496" s="170">
        <f t="shared" si="117"/>
        <v>451.78</v>
      </c>
      <c r="M496" s="171">
        <f t="shared" si="117"/>
        <v>0</v>
      </c>
      <c r="N496" s="172">
        <f t="shared" si="117"/>
        <v>451.78</v>
      </c>
    </row>
    <row r="497" spans="1:14" ht="40.5" customHeight="1">
      <c r="A497" s="173" t="s">
        <v>842</v>
      </c>
      <c r="B497" s="159" t="s">
        <v>772</v>
      </c>
      <c r="C497" s="159" t="s">
        <v>390</v>
      </c>
      <c r="D497" s="159" t="s">
        <v>382</v>
      </c>
      <c r="E497" s="159" t="s">
        <v>815</v>
      </c>
      <c r="F497" s="159"/>
      <c r="G497" s="241"/>
      <c r="H497" s="241">
        <f>H498</f>
        <v>667</v>
      </c>
      <c r="I497" s="241">
        <f t="shared" si="117"/>
        <v>0</v>
      </c>
      <c r="J497" s="253">
        <f t="shared" si="117"/>
        <v>0</v>
      </c>
      <c r="K497" s="170">
        <f t="shared" si="117"/>
        <v>451.78</v>
      </c>
      <c r="L497" s="170">
        <f t="shared" si="117"/>
        <v>451.78</v>
      </c>
      <c r="M497" s="171">
        <f t="shared" si="117"/>
        <v>0</v>
      </c>
      <c r="N497" s="172">
        <f t="shared" si="117"/>
        <v>451.78</v>
      </c>
    </row>
    <row r="498" spans="1:14" ht="15" customHeight="1">
      <c r="A498" s="173" t="s">
        <v>816</v>
      </c>
      <c r="B498" s="159" t="s">
        <v>772</v>
      </c>
      <c r="C498" s="159" t="s">
        <v>390</v>
      </c>
      <c r="D498" s="159" t="s">
        <v>382</v>
      </c>
      <c r="E498" s="159" t="s">
        <v>815</v>
      </c>
      <c r="F498" s="159" t="s">
        <v>832</v>
      </c>
      <c r="G498" s="241"/>
      <c r="H498" s="241">
        <v>667</v>
      </c>
      <c r="I498" s="241"/>
      <c r="J498" s="253"/>
      <c r="K498" s="170">
        <v>451.78</v>
      </c>
      <c r="L498" s="170">
        <f>J498+K498</f>
        <v>451.78</v>
      </c>
      <c r="M498" s="212"/>
      <c r="N498" s="172">
        <f>L498+M498</f>
        <v>451.78</v>
      </c>
    </row>
    <row r="499" spans="1:14" ht="18" customHeight="1">
      <c r="A499" s="167" t="s">
        <v>420</v>
      </c>
      <c r="B499" s="168" t="s">
        <v>772</v>
      </c>
      <c r="C499" s="168" t="s">
        <v>390</v>
      </c>
      <c r="D499" s="168" t="s">
        <v>383</v>
      </c>
      <c r="E499" s="159"/>
      <c r="F499" s="159"/>
      <c r="G499" s="241"/>
      <c r="H499" s="241"/>
      <c r="I499" s="241"/>
      <c r="J499" s="253">
        <f>J500+J503+J506+J510</f>
        <v>20937.73</v>
      </c>
      <c r="K499" s="253">
        <f>K500+K503+K506+K510</f>
        <v>5565.730000000001</v>
      </c>
      <c r="L499" s="253">
        <f>L500+L503+L506+L510</f>
        <v>26503.46</v>
      </c>
      <c r="M499" s="171" t="e">
        <f>M510+#REF!+#REF!</f>
        <v>#REF!</v>
      </c>
      <c r="N499" s="172" t="e">
        <f>N510+#REF!+#REF!</f>
        <v>#REF!</v>
      </c>
    </row>
    <row r="500" spans="1:14" ht="46.5" customHeight="1">
      <c r="A500" s="230" t="s">
        <v>814</v>
      </c>
      <c r="B500" s="159" t="s">
        <v>772</v>
      </c>
      <c r="C500" s="159" t="s">
        <v>390</v>
      </c>
      <c r="D500" s="159" t="s">
        <v>383</v>
      </c>
      <c r="E500" s="159" t="s">
        <v>815</v>
      </c>
      <c r="F500" s="159"/>
      <c r="G500" s="241"/>
      <c r="H500" s="241"/>
      <c r="I500" s="241"/>
      <c r="J500" s="170">
        <f>J501+J502</f>
        <v>1878</v>
      </c>
      <c r="K500" s="170">
        <f>K501+K502</f>
        <v>344</v>
      </c>
      <c r="L500" s="170">
        <f>L501+L502</f>
        <v>2222</v>
      </c>
      <c r="M500" s="171"/>
      <c r="N500" s="172"/>
    </row>
    <row r="501" spans="1:14" ht="16.5" customHeight="1">
      <c r="A501" s="230" t="s">
        <v>816</v>
      </c>
      <c r="B501" s="159" t="s">
        <v>772</v>
      </c>
      <c r="C501" s="159" t="s">
        <v>390</v>
      </c>
      <c r="D501" s="159" t="s">
        <v>383</v>
      </c>
      <c r="E501" s="159" t="s">
        <v>815</v>
      </c>
      <c r="F501" s="159" t="s">
        <v>817</v>
      </c>
      <c r="G501" s="241"/>
      <c r="H501" s="241"/>
      <c r="I501" s="241"/>
      <c r="J501" s="253">
        <v>1878</v>
      </c>
      <c r="K501" s="170">
        <f>-1878</f>
        <v>-1878</v>
      </c>
      <c r="L501" s="170">
        <f>J501+K501</f>
        <v>0</v>
      </c>
      <c r="M501" s="171"/>
      <c r="N501" s="172"/>
    </row>
    <row r="502" spans="1:14" ht="51.75">
      <c r="A502" s="230" t="s">
        <v>831</v>
      </c>
      <c r="B502" s="159" t="s">
        <v>772</v>
      </c>
      <c r="C502" s="159" t="s">
        <v>390</v>
      </c>
      <c r="D502" s="159" t="s">
        <v>383</v>
      </c>
      <c r="E502" s="159" t="s">
        <v>815</v>
      </c>
      <c r="F502" s="159" t="s">
        <v>832</v>
      </c>
      <c r="G502" s="241"/>
      <c r="H502" s="241"/>
      <c r="I502" s="241"/>
      <c r="J502" s="253"/>
      <c r="K502" s="170">
        <v>2222</v>
      </c>
      <c r="L502" s="170">
        <f>J502+K502</f>
        <v>2222</v>
      </c>
      <c r="M502" s="171"/>
      <c r="N502" s="172"/>
    </row>
    <row r="503" spans="1:14" ht="26.25">
      <c r="A503" s="173" t="s">
        <v>551</v>
      </c>
      <c r="B503" s="159" t="s">
        <v>772</v>
      </c>
      <c r="C503" s="159" t="s">
        <v>390</v>
      </c>
      <c r="D503" s="159" t="s">
        <v>383</v>
      </c>
      <c r="E503" s="159" t="s">
        <v>552</v>
      </c>
      <c r="F503" s="159"/>
      <c r="G503" s="241"/>
      <c r="H503" s="241"/>
      <c r="I503" s="241"/>
      <c r="J503" s="253">
        <f aca="true" t="shared" si="118" ref="J503:N504">J504</f>
        <v>0</v>
      </c>
      <c r="K503" s="253">
        <f t="shared" si="118"/>
        <v>954</v>
      </c>
      <c r="L503" s="253">
        <f t="shared" si="118"/>
        <v>954</v>
      </c>
      <c r="M503" s="426">
        <f t="shared" si="118"/>
        <v>0</v>
      </c>
      <c r="N503" s="426">
        <f t="shared" si="118"/>
        <v>0</v>
      </c>
    </row>
    <row r="504" spans="1:14" ht="26.25">
      <c r="A504" s="173" t="s">
        <v>497</v>
      </c>
      <c r="B504" s="159" t="s">
        <v>772</v>
      </c>
      <c r="C504" s="159" t="s">
        <v>390</v>
      </c>
      <c r="D504" s="159" t="s">
        <v>383</v>
      </c>
      <c r="E504" s="159" t="s">
        <v>553</v>
      </c>
      <c r="F504" s="159"/>
      <c r="G504" s="241"/>
      <c r="H504" s="241"/>
      <c r="I504" s="241"/>
      <c r="J504" s="253">
        <f t="shared" si="118"/>
        <v>0</v>
      </c>
      <c r="K504" s="253">
        <f t="shared" si="118"/>
        <v>954</v>
      </c>
      <c r="L504" s="253">
        <f t="shared" si="118"/>
        <v>954</v>
      </c>
      <c r="M504" s="426">
        <f t="shared" si="118"/>
        <v>0</v>
      </c>
      <c r="N504" s="426">
        <f t="shared" si="118"/>
        <v>0</v>
      </c>
    </row>
    <row r="505" spans="1:14" ht="38.25">
      <c r="A505" s="213" t="s">
        <v>577</v>
      </c>
      <c r="B505" s="159" t="s">
        <v>772</v>
      </c>
      <c r="C505" s="159" t="s">
        <v>390</v>
      </c>
      <c r="D505" s="159" t="s">
        <v>383</v>
      </c>
      <c r="E505" s="159" t="s">
        <v>553</v>
      </c>
      <c r="F505" s="159" t="s">
        <v>579</v>
      </c>
      <c r="G505" s="241"/>
      <c r="H505" s="241"/>
      <c r="I505" s="241"/>
      <c r="J505" s="253"/>
      <c r="K505" s="170">
        <v>954</v>
      </c>
      <c r="L505" s="170">
        <f>J505+K505</f>
        <v>954</v>
      </c>
      <c r="M505" s="171"/>
      <c r="N505" s="172"/>
    </row>
    <row r="506" spans="1:14" ht="51.75">
      <c r="A506" s="173" t="s">
        <v>850</v>
      </c>
      <c r="B506" s="159" t="s">
        <v>772</v>
      </c>
      <c r="C506" s="159" t="s">
        <v>390</v>
      </c>
      <c r="D506" s="159" t="s">
        <v>383</v>
      </c>
      <c r="E506" s="159" t="s">
        <v>568</v>
      </c>
      <c r="F506" s="159"/>
      <c r="G506" s="170"/>
      <c r="H506" s="169"/>
      <c r="I506" s="170"/>
      <c r="J506" s="253">
        <f>J507</f>
        <v>3200.93</v>
      </c>
      <c r="K506" s="170">
        <f>K507</f>
        <v>126.5300000000002</v>
      </c>
      <c r="L506" s="170">
        <f>L507</f>
        <v>3327.46</v>
      </c>
      <c r="M506" s="171"/>
      <c r="N506" s="172"/>
    </row>
    <row r="507" spans="1:14" ht="28.5" customHeight="1">
      <c r="A507" s="173" t="s">
        <v>497</v>
      </c>
      <c r="B507" s="159" t="s">
        <v>772</v>
      </c>
      <c r="C507" s="159" t="s">
        <v>390</v>
      </c>
      <c r="D507" s="159" t="s">
        <v>383</v>
      </c>
      <c r="E507" s="159" t="s">
        <v>569</v>
      </c>
      <c r="F507" s="159"/>
      <c r="G507" s="177">
        <f aca="true" t="shared" si="119" ref="G507:N507">G508</f>
        <v>200</v>
      </c>
      <c r="H507" s="177">
        <f t="shared" si="119"/>
        <v>0</v>
      </c>
      <c r="I507" s="177">
        <f t="shared" si="119"/>
        <v>0</v>
      </c>
      <c r="J507" s="170">
        <f>J508+J509</f>
        <v>3200.93</v>
      </c>
      <c r="K507" s="170">
        <f>K508+K509</f>
        <v>126.5300000000002</v>
      </c>
      <c r="L507" s="170">
        <f>L508+L509</f>
        <v>3327.46</v>
      </c>
      <c r="M507" s="171">
        <f t="shared" si="119"/>
        <v>0</v>
      </c>
      <c r="N507" s="172">
        <f t="shared" si="119"/>
        <v>0</v>
      </c>
    </row>
    <row r="508" spans="1:14" ht="18" customHeight="1">
      <c r="A508" s="173" t="s">
        <v>652</v>
      </c>
      <c r="B508" s="159" t="s">
        <v>772</v>
      </c>
      <c r="C508" s="159" t="s">
        <v>390</v>
      </c>
      <c r="D508" s="159" t="s">
        <v>383</v>
      </c>
      <c r="E508" s="159" t="s">
        <v>569</v>
      </c>
      <c r="F508" s="159" t="s">
        <v>653</v>
      </c>
      <c r="G508" s="177">
        <v>200</v>
      </c>
      <c r="H508" s="169"/>
      <c r="I508" s="177"/>
      <c r="J508" s="253">
        <v>3200.93</v>
      </c>
      <c r="K508" s="170">
        <v>-3200.93</v>
      </c>
      <c r="L508" s="170">
        <f>J508+K508</f>
        <v>0</v>
      </c>
      <c r="M508" s="171"/>
      <c r="N508" s="172">
        <f>L508+M508</f>
        <v>0</v>
      </c>
    </row>
    <row r="509" spans="1:14" ht="18" customHeight="1">
      <c r="A509" s="230" t="s">
        <v>851</v>
      </c>
      <c r="B509" s="159" t="s">
        <v>772</v>
      </c>
      <c r="C509" s="159" t="s">
        <v>390</v>
      </c>
      <c r="D509" s="159" t="s">
        <v>383</v>
      </c>
      <c r="E509" s="159" t="s">
        <v>569</v>
      </c>
      <c r="F509" s="159" t="s">
        <v>852</v>
      </c>
      <c r="G509" s="177"/>
      <c r="H509" s="169"/>
      <c r="I509" s="177"/>
      <c r="J509" s="253"/>
      <c r="K509" s="170">
        <v>3327.46</v>
      </c>
      <c r="L509" s="170">
        <f>J509+K509</f>
        <v>3327.46</v>
      </c>
      <c r="M509" s="171"/>
      <c r="N509" s="172"/>
    </row>
    <row r="510" spans="1:14" ht="17.25" customHeight="1">
      <c r="A510" s="230" t="s">
        <v>843</v>
      </c>
      <c r="B510" s="159" t="s">
        <v>772</v>
      </c>
      <c r="C510" s="159" t="s">
        <v>390</v>
      </c>
      <c r="D510" s="159" t="s">
        <v>383</v>
      </c>
      <c r="E510" s="159" t="s">
        <v>844</v>
      </c>
      <c r="F510" s="159"/>
      <c r="G510" s="241"/>
      <c r="H510" s="241"/>
      <c r="I510" s="241"/>
      <c r="J510" s="253">
        <f>J511+J513+J515</f>
        <v>15858.8</v>
      </c>
      <c r="K510" s="253">
        <f>K511+K513+K515</f>
        <v>4141.200000000001</v>
      </c>
      <c r="L510" s="253">
        <f>L511+L513+L515</f>
        <v>20000</v>
      </c>
      <c r="M510" s="426" t="e">
        <f>M511+#REF!</f>
        <v>#REF!</v>
      </c>
      <c r="N510" s="426" t="e">
        <f>N511+#REF!</f>
        <v>#REF!</v>
      </c>
    </row>
    <row r="511" spans="1:14" ht="39">
      <c r="A511" s="230" t="s">
        <v>845</v>
      </c>
      <c r="B511" s="159" t="s">
        <v>772</v>
      </c>
      <c r="C511" s="159" t="s">
        <v>390</v>
      </c>
      <c r="D511" s="159" t="s">
        <v>383</v>
      </c>
      <c r="E511" s="159" t="s">
        <v>846</v>
      </c>
      <c r="F511" s="159"/>
      <c r="G511" s="241"/>
      <c r="H511" s="241"/>
      <c r="I511" s="241"/>
      <c r="J511" s="170">
        <f>J512</f>
        <v>7000</v>
      </c>
      <c r="K511" s="170">
        <f>K512</f>
        <v>-7000</v>
      </c>
      <c r="L511" s="170">
        <f>L512</f>
        <v>0</v>
      </c>
      <c r="M511" s="212"/>
      <c r="N511" s="172">
        <f>L511+M511</f>
        <v>0</v>
      </c>
    </row>
    <row r="512" spans="1:14" ht="15">
      <c r="A512" s="230" t="s">
        <v>816</v>
      </c>
      <c r="B512" s="159" t="s">
        <v>772</v>
      </c>
      <c r="C512" s="159" t="s">
        <v>390</v>
      </c>
      <c r="D512" s="159" t="s">
        <v>383</v>
      </c>
      <c r="E512" s="159" t="s">
        <v>846</v>
      </c>
      <c r="F512" s="159" t="s">
        <v>817</v>
      </c>
      <c r="G512" s="241"/>
      <c r="H512" s="241"/>
      <c r="I512" s="241"/>
      <c r="J512" s="253">
        <v>7000</v>
      </c>
      <c r="K512" s="170">
        <v>-7000</v>
      </c>
      <c r="L512" s="170">
        <f>J512+K512</f>
        <v>0</v>
      </c>
      <c r="M512" s="212"/>
      <c r="N512" s="172">
        <f>L512+M512</f>
        <v>0</v>
      </c>
    </row>
    <row r="513" spans="1:14" ht="38.25">
      <c r="A513" s="213" t="s">
        <v>986</v>
      </c>
      <c r="B513" s="159" t="s">
        <v>772</v>
      </c>
      <c r="C513" s="159" t="s">
        <v>390</v>
      </c>
      <c r="D513" s="159" t="s">
        <v>383</v>
      </c>
      <c r="E513" s="159" t="s">
        <v>987</v>
      </c>
      <c r="F513" s="159"/>
      <c r="G513" s="241"/>
      <c r="H513" s="241"/>
      <c r="I513" s="241"/>
      <c r="J513" s="253">
        <f>J514</f>
        <v>0</v>
      </c>
      <c r="K513" s="253">
        <f>K514</f>
        <v>10000</v>
      </c>
      <c r="L513" s="253">
        <f>L514</f>
        <v>10000</v>
      </c>
      <c r="M513" s="212"/>
      <c r="N513" s="172"/>
    </row>
    <row r="514" spans="1:14" ht="51">
      <c r="A514" s="213" t="s">
        <v>847</v>
      </c>
      <c r="B514" s="159" t="s">
        <v>772</v>
      </c>
      <c r="C514" s="159" t="s">
        <v>390</v>
      </c>
      <c r="D514" s="159" t="s">
        <v>383</v>
      </c>
      <c r="E514" s="159" t="s">
        <v>987</v>
      </c>
      <c r="F514" s="159" t="s">
        <v>832</v>
      </c>
      <c r="G514" s="241"/>
      <c r="H514" s="241"/>
      <c r="I514" s="241"/>
      <c r="J514" s="253"/>
      <c r="K514" s="170">
        <v>10000</v>
      </c>
      <c r="L514" s="170">
        <f>J514+K514</f>
        <v>10000</v>
      </c>
      <c r="M514" s="212"/>
      <c r="N514" s="172"/>
    </row>
    <row r="515" spans="1:14" ht="39">
      <c r="A515" s="230" t="s">
        <v>848</v>
      </c>
      <c r="B515" s="159" t="s">
        <v>772</v>
      </c>
      <c r="C515" s="159" t="s">
        <v>390</v>
      </c>
      <c r="D515" s="159" t="s">
        <v>383</v>
      </c>
      <c r="E515" s="159" t="s">
        <v>849</v>
      </c>
      <c r="F515" s="159"/>
      <c r="G515" s="170">
        <f aca="true" t="shared" si="120" ref="G515:N515">G516</f>
        <v>52.672</v>
      </c>
      <c r="H515" s="170">
        <f t="shared" si="120"/>
        <v>778</v>
      </c>
      <c r="I515" s="170">
        <f t="shared" si="120"/>
        <v>0</v>
      </c>
      <c r="J515" s="170">
        <f>J516+J517</f>
        <v>8858.8</v>
      </c>
      <c r="K515" s="170">
        <f>K516+K517</f>
        <v>1141.2000000000007</v>
      </c>
      <c r="L515" s="170">
        <f>L516+L517</f>
        <v>10000</v>
      </c>
      <c r="M515" s="171">
        <f t="shared" si="120"/>
        <v>0</v>
      </c>
      <c r="N515" s="172">
        <f t="shared" si="120"/>
        <v>0</v>
      </c>
    </row>
    <row r="516" spans="1:14" ht="16.5" customHeight="1">
      <c r="A516" s="230" t="s">
        <v>816</v>
      </c>
      <c r="B516" s="159" t="s">
        <v>772</v>
      </c>
      <c r="C516" s="159" t="s">
        <v>390</v>
      </c>
      <c r="D516" s="159" t="s">
        <v>383</v>
      </c>
      <c r="E516" s="159" t="s">
        <v>849</v>
      </c>
      <c r="F516" s="159" t="s">
        <v>817</v>
      </c>
      <c r="G516" s="170">
        <f>52.672</f>
        <v>52.672</v>
      </c>
      <c r="H516" s="169">
        <v>778</v>
      </c>
      <c r="I516" s="170"/>
      <c r="J516" s="253">
        <v>8858.8</v>
      </c>
      <c r="K516" s="170">
        <v>-8858.8</v>
      </c>
      <c r="L516" s="170">
        <f>J516+K516</f>
        <v>0</v>
      </c>
      <c r="M516" s="171"/>
      <c r="N516" s="172">
        <f>L516+M516</f>
        <v>0</v>
      </c>
    </row>
    <row r="517" spans="1:14" ht="32.25" customHeight="1">
      <c r="A517" s="213" t="s">
        <v>847</v>
      </c>
      <c r="B517" s="159" t="s">
        <v>772</v>
      </c>
      <c r="C517" s="159" t="s">
        <v>390</v>
      </c>
      <c r="D517" s="159" t="s">
        <v>383</v>
      </c>
      <c r="E517" s="159" t="s">
        <v>849</v>
      </c>
      <c r="F517" s="159" t="s">
        <v>832</v>
      </c>
      <c r="G517" s="170"/>
      <c r="H517" s="169"/>
      <c r="I517" s="170"/>
      <c r="J517" s="253"/>
      <c r="K517" s="170">
        <v>10000</v>
      </c>
      <c r="L517" s="170">
        <f>J517+K517</f>
        <v>10000</v>
      </c>
      <c r="M517" s="171"/>
      <c r="N517" s="172"/>
    </row>
    <row r="518" spans="1:14" s="340" customFormat="1" ht="25.5">
      <c r="A518" s="230" t="s">
        <v>663</v>
      </c>
      <c r="B518" s="168" t="s">
        <v>772</v>
      </c>
      <c r="C518" s="168" t="s">
        <v>390</v>
      </c>
      <c r="D518" s="168" t="s">
        <v>387</v>
      </c>
      <c r="E518" s="168"/>
      <c r="F518" s="168"/>
      <c r="G518" s="164" t="e">
        <f>G519+#REF!</f>
        <v>#REF!</v>
      </c>
      <c r="H518" s="164" t="e">
        <f>H519+#REF!</f>
        <v>#REF!</v>
      </c>
      <c r="I518" s="164" t="e">
        <f>I519+#REF!</f>
        <v>#REF!</v>
      </c>
      <c r="J518" s="251">
        <f>J519</f>
        <v>417.2</v>
      </c>
      <c r="K518" s="251">
        <f>K519</f>
        <v>-417.2</v>
      </c>
      <c r="L518" s="251">
        <f>L519</f>
        <v>0</v>
      </c>
      <c r="M518" s="188" t="e">
        <f>M519+#REF!</f>
        <v>#REF!</v>
      </c>
      <c r="N518" s="209" t="e">
        <f>N519+#REF!</f>
        <v>#REF!</v>
      </c>
    </row>
    <row r="519" spans="1:14" ht="26.25">
      <c r="A519" s="230" t="s">
        <v>480</v>
      </c>
      <c r="B519" s="159" t="s">
        <v>772</v>
      </c>
      <c r="C519" s="159" t="s">
        <v>390</v>
      </c>
      <c r="D519" s="159" t="s">
        <v>387</v>
      </c>
      <c r="E519" s="159" t="s">
        <v>481</v>
      </c>
      <c r="F519" s="159"/>
      <c r="G519" s="177">
        <f aca="true" t="shared" si="121" ref="G519:N520">G520</f>
        <v>-42.5</v>
      </c>
      <c r="H519" s="177">
        <f t="shared" si="121"/>
        <v>0</v>
      </c>
      <c r="I519" s="177">
        <f t="shared" si="121"/>
        <v>0</v>
      </c>
      <c r="J519" s="253">
        <f>J520</f>
        <v>417.2</v>
      </c>
      <c r="K519" s="170">
        <f t="shared" si="121"/>
        <v>-417.2</v>
      </c>
      <c r="L519" s="170">
        <f t="shared" si="121"/>
        <v>0</v>
      </c>
      <c r="M519" s="171">
        <f t="shared" si="121"/>
        <v>0</v>
      </c>
      <c r="N519" s="172">
        <f t="shared" si="121"/>
        <v>0</v>
      </c>
    </row>
    <row r="520" spans="1:14" ht="26.25">
      <c r="A520" s="230" t="s">
        <v>482</v>
      </c>
      <c r="B520" s="159" t="s">
        <v>772</v>
      </c>
      <c r="C520" s="159" t="s">
        <v>390</v>
      </c>
      <c r="D520" s="159" t="s">
        <v>387</v>
      </c>
      <c r="E520" s="159" t="s">
        <v>483</v>
      </c>
      <c r="F520" s="159"/>
      <c r="G520" s="170">
        <f aca="true" t="shared" si="122" ref="G520:L520">G521+G523+G522</f>
        <v>-42.5</v>
      </c>
      <c r="H520" s="170">
        <f t="shared" si="122"/>
        <v>0</v>
      </c>
      <c r="I520" s="170">
        <f t="shared" si="122"/>
        <v>0</v>
      </c>
      <c r="J520" s="170">
        <f t="shared" si="122"/>
        <v>417.2</v>
      </c>
      <c r="K520" s="170">
        <f t="shared" si="122"/>
        <v>-417.2</v>
      </c>
      <c r="L520" s="170">
        <f t="shared" si="122"/>
        <v>0</v>
      </c>
      <c r="M520" s="171">
        <f t="shared" si="121"/>
        <v>0</v>
      </c>
      <c r="N520" s="172">
        <f t="shared" si="121"/>
        <v>0</v>
      </c>
    </row>
    <row r="521" spans="1:15" ht="26.25">
      <c r="A521" s="230" t="s">
        <v>853</v>
      </c>
      <c r="B521" s="159" t="s">
        <v>772</v>
      </c>
      <c r="C521" s="159" t="s">
        <v>390</v>
      </c>
      <c r="D521" s="159" t="s">
        <v>387</v>
      </c>
      <c r="E521" s="159" t="s">
        <v>483</v>
      </c>
      <c r="F521" s="159" t="s">
        <v>485</v>
      </c>
      <c r="G521" s="177">
        <v>-42.5</v>
      </c>
      <c r="H521" s="169"/>
      <c r="I521" s="177"/>
      <c r="J521" s="253">
        <v>417.2</v>
      </c>
      <c r="K521" s="170">
        <v>-417.2</v>
      </c>
      <c r="L521" s="170">
        <f>J521+K521</f>
        <v>0</v>
      </c>
      <c r="M521" s="171"/>
      <c r="N521" s="178">
        <f>L521+M521</f>
        <v>0</v>
      </c>
      <c r="O521" s="247"/>
    </row>
    <row r="522" spans="1:14" ht="30" customHeight="1" hidden="1">
      <c r="A522" s="213" t="s">
        <v>587</v>
      </c>
      <c r="B522" s="159" t="s">
        <v>772</v>
      </c>
      <c r="C522" s="159" t="s">
        <v>390</v>
      </c>
      <c r="D522" s="159" t="s">
        <v>387</v>
      </c>
      <c r="E522" s="159" t="s">
        <v>483</v>
      </c>
      <c r="F522" s="159" t="s">
        <v>588</v>
      </c>
      <c r="G522" s="177"/>
      <c r="H522" s="177"/>
      <c r="I522" s="177"/>
      <c r="J522" s="253"/>
      <c r="K522" s="170"/>
      <c r="L522" s="170">
        <f>J522+K522</f>
        <v>0</v>
      </c>
      <c r="M522" s="171"/>
      <c r="N522" s="172"/>
    </row>
    <row r="523" spans="1:14" ht="30" customHeight="1" hidden="1">
      <c r="A523" s="213" t="s">
        <v>577</v>
      </c>
      <c r="B523" s="159" t="s">
        <v>772</v>
      </c>
      <c r="C523" s="159" t="s">
        <v>390</v>
      </c>
      <c r="D523" s="159" t="s">
        <v>387</v>
      </c>
      <c r="E523" s="159" t="s">
        <v>483</v>
      </c>
      <c r="F523" s="159" t="s">
        <v>579</v>
      </c>
      <c r="G523" s="177"/>
      <c r="H523" s="177"/>
      <c r="I523" s="177"/>
      <c r="J523" s="253"/>
      <c r="K523" s="170"/>
      <c r="L523" s="170">
        <f>J523+K523</f>
        <v>0</v>
      </c>
      <c r="M523" s="171"/>
      <c r="N523" s="172"/>
    </row>
    <row r="524" spans="1:14" s="340" customFormat="1" ht="25.5">
      <c r="A524" s="229" t="s">
        <v>422</v>
      </c>
      <c r="B524" s="168" t="s">
        <v>772</v>
      </c>
      <c r="C524" s="168" t="s">
        <v>390</v>
      </c>
      <c r="D524" s="168" t="s">
        <v>390</v>
      </c>
      <c r="E524" s="168"/>
      <c r="F524" s="168"/>
      <c r="G524" s="155"/>
      <c r="H524" s="155"/>
      <c r="I524" s="155"/>
      <c r="J524" s="251">
        <f aca="true" t="shared" si="123" ref="J524:L526">J525</f>
        <v>0</v>
      </c>
      <c r="K524" s="251">
        <f t="shared" si="123"/>
        <v>10</v>
      </c>
      <c r="L524" s="251">
        <f t="shared" si="123"/>
        <v>10</v>
      </c>
      <c r="M524" s="259">
        <f>M526</f>
        <v>0</v>
      </c>
      <c r="N524" s="259">
        <f>N526</f>
        <v>0</v>
      </c>
    </row>
    <row r="525" spans="1:14" s="340" customFormat="1" ht="14.25">
      <c r="A525" s="230" t="s">
        <v>835</v>
      </c>
      <c r="B525" s="159" t="s">
        <v>772</v>
      </c>
      <c r="C525" s="159" t="s">
        <v>390</v>
      </c>
      <c r="D525" s="159" t="s">
        <v>390</v>
      </c>
      <c r="E525" s="159" t="s">
        <v>761</v>
      </c>
      <c r="F525" s="168"/>
      <c r="G525" s="155"/>
      <c r="H525" s="155"/>
      <c r="I525" s="155"/>
      <c r="J525" s="253">
        <f t="shared" si="123"/>
        <v>0</v>
      </c>
      <c r="K525" s="253">
        <f t="shared" si="123"/>
        <v>10</v>
      </c>
      <c r="L525" s="253">
        <f t="shared" si="123"/>
        <v>10</v>
      </c>
      <c r="M525" s="259"/>
      <c r="N525" s="259"/>
    </row>
    <row r="526" spans="1:17" ht="30" customHeight="1">
      <c r="A526" s="255" t="s">
        <v>854</v>
      </c>
      <c r="B526" s="159" t="s">
        <v>772</v>
      </c>
      <c r="C526" s="159" t="s">
        <v>390</v>
      </c>
      <c r="D526" s="159" t="s">
        <v>390</v>
      </c>
      <c r="E526" s="159" t="s">
        <v>855</v>
      </c>
      <c r="F526" s="159"/>
      <c r="G526" s="177"/>
      <c r="H526" s="177"/>
      <c r="I526" s="177"/>
      <c r="J526" s="253">
        <f t="shared" si="123"/>
        <v>0</v>
      </c>
      <c r="K526" s="253">
        <f t="shared" si="123"/>
        <v>10</v>
      </c>
      <c r="L526" s="253">
        <f t="shared" si="123"/>
        <v>10</v>
      </c>
      <c r="M526" s="256">
        <f>M527</f>
        <v>0</v>
      </c>
      <c r="N526" s="256">
        <f>N527</f>
        <v>0</v>
      </c>
      <c r="Q526" s="448"/>
    </row>
    <row r="527" spans="1:14" ht="30" customHeight="1">
      <c r="A527" s="213" t="s">
        <v>577</v>
      </c>
      <c r="B527" s="159" t="s">
        <v>772</v>
      </c>
      <c r="C527" s="159" t="s">
        <v>390</v>
      </c>
      <c r="D527" s="159" t="s">
        <v>390</v>
      </c>
      <c r="E527" s="159" t="s">
        <v>855</v>
      </c>
      <c r="F527" s="159" t="s">
        <v>579</v>
      </c>
      <c r="G527" s="177"/>
      <c r="H527" s="177"/>
      <c r="I527" s="177"/>
      <c r="J527" s="253"/>
      <c r="K527" s="170">
        <v>10</v>
      </c>
      <c r="L527" s="170">
        <f>J527+K527</f>
        <v>10</v>
      </c>
      <c r="M527" s="171"/>
      <c r="N527" s="172"/>
    </row>
    <row r="528" spans="1:14" s="462" customFormat="1" ht="14.25">
      <c r="A528" s="229" t="s">
        <v>1074</v>
      </c>
      <c r="B528" s="168" t="s">
        <v>772</v>
      </c>
      <c r="C528" s="168" t="s">
        <v>410</v>
      </c>
      <c r="D528" s="168"/>
      <c r="E528" s="168"/>
      <c r="F528" s="168"/>
      <c r="G528" s="155" t="e">
        <f>#REF!+#REF!</f>
        <v>#REF!</v>
      </c>
      <c r="H528" s="155" t="e">
        <f>#REF!+#REF!</f>
        <v>#REF!</v>
      </c>
      <c r="I528" s="155" t="e">
        <f>#REF!+#REF!</f>
        <v>#REF!</v>
      </c>
      <c r="J528" s="251">
        <f>J529+J532</f>
        <v>45.74</v>
      </c>
      <c r="K528" s="251">
        <f>K529+K532</f>
        <v>829.26</v>
      </c>
      <c r="L528" s="251">
        <f>L529+L532</f>
        <v>875</v>
      </c>
      <c r="M528" s="174" t="e">
        <f>#REF!+#REF!+M529</f>
        <v>#REF!</v>
      </c>
      <c r="N528" s="175" t="e">
        <f>#REF!+#REF!+N529</f>
        <v>#REF!</v>
      </c>
    </row>
    <row r="529" spans="1:14" s="462" customFormat="1" ht="15" customHeight="1">
      <c r="A529" s="230" t="s">
        <v>426</v>
      </c>
      <c r="B529" s="168" t="s">
        <v>772</v>
      </c>
      <c r="C529" s="168" t="s">
        <v>410</v>
      </c>
      <c r="D529" s="168" t="s">
        <v>382</v>
      </c>
      <c r="E529" s="168"/>
      <c r="F529" s="168"/>
      <c r="G529" s="155"/>
      <c r="H529" s="155"/>
      <c r="I529" s="155"/>
      <c r="J529" s="251">
        <f>J530</f>
        <v>0</v>
      </c>
      <c r="K529" s="251">
        <f>K530</f>
        <v>800</v>
      </c>
      <c r="L529" s="251">
        <f>L530</f>
        <v>800</v>
      </c>
      <c r="M529" s="188" t="e">
        <f>M530</f>
        <v>#REF!</v>
      </c>
      <c r="N529" s="209" t="e">
        <f>N530</f>
        <v>#REF!</v>
      </c>
    </row>
    <row r="530" spans="1:14" s="462" customFormat="1" ht="43.5" customHeight="1">
      <c r="A530" s="230" t="s">
        <v>814</v>
      </c>
      <c r="B530" s="159" t="s">
        <v>772</v>
      </c>
      <c r="C530" s="159" t="s">
        <v>410</v>
      </c>
      <c r="D530" s="159" t="s">
        <v>382</v>
      </c>
      <c r="E530" s="159" t="s">
        <v>830</v>
      </c>
      <c r="F530" s="159"/>
      <c r="G530" s="177"/>
      <c r="H530" s="177"/>
      <c r="I530" s="177"/>
      <c r="J530" s="253">
        <f>J531</f>
        <v>0</v>
      </c>
      <c r="K530" s="253">
        <f>K531</f>
        <v>800</v>
      </c>
      <c r="L530" s="253">
        <f>L531</f>
        <v>800</v>
      </c>
      <c r="M530" s="171" t="e">
        <f>#REF!+M531</f>
        <v>#REF!</v>
      </c>
      <c r="N530" s="172" t="e">
        <f>#REF!+N531</f>
        <v>#REF!</v>
      </c>
    </row>
    <row r="531" spans="1:14" s="462" customFormat="1" ht="37.5" customHeight="1">
      <c r="A531" s="230" t="s">
        <v>831</v>
      </c>
      <c r="B531" s="159" t="s">
        <v>772</v>
      </c>
      <c r="C531" s="159" t="s">
        <v>410</v>
      </c>
      <c r="D531" s="159" t="s">
        <v>382</v>
      </c>
      <c r="E531" s="159" t="s">
        <v>815</v>
      </c>
      <c r="F531" s="159" t="s">
        <v>832</v>
      </c>
      <c r="G531" s="177"/>
      <c r="H531" s="177"/>
      <c r="I531" s="177"/>
      <c r="J531" s="253">
        <f>H531+I531</f>
        <v>0</v>
      </c>
      <c r="K531" s="170">
        <v>800</v>
      </c>
      <c r="L531" s="170">
        <f>J531+K531</f>
        <v>800</v>
      </c>
      <c r="M531" s="265"/>
      <c r="N531" s="266">
        <f>L531+M531</f>
        <v>800</v>
      </c>
    </row>
    <row r="532" spans="1:14" ht="26.25">
      <c r="A532" s="229" t="s">
        <v>861</v>
      </c>
      <c r="B532" s="168" t="s">
        <v>772</v>
      </c>
      <c r="C532" s="168" t="s">
        <v>410</v>
      </c>
      <c r="D532" s="168" t="s">
        <v>385</v>
      </c>
      <c r="E532" s="168"/>
      <c r="F532" s="168"/>
      <c r="G532" s="155">
        <f aca="true" t="shared" si="124" ref="G532:L534">G533</f>
        <v>50</v>
      </c>
      <c r="H532" s="155">
        <f t="shared" si="124"/>
        <v>44</v>
      </c>
      <c r="I532" s="155">
        <f t="shared" si="124"/>
        <v>0</v>
      </c>
      <c r="J532" s="251">
        <f t="shared" si="124"/>
        <v>45.74</v>
      </c>
      <c r="K532" s="161">
        <f t="shared" si="124"/>
        <v>29.259999999999998</v>
      </c>
      <c r="L532" s="161">
        <f t="shared" si="124"/>
        <v>75</v>
      </c>
      <c r="M532" s="171"/>
      <c r="N532" s="172"/>
    </row>
    <row r="533" spans="1:14" ht="39">
      <c r="A533" s="230" t="s">
        <v>862</v>
      </c>
      <c r="B533" s="159" t="s">
        <v>772</v>
      </c>
      <c r="C533" s="159" t="s">
        <v>410</v>
      </c>
      <c r="D533" s="159" t="s">
        <v>385</v>
      </c>
      <c r="E533" s="159" t="s">
        <v>527</v>
      </c>
      <c r="F533" s="159"/>
      <c r="G533" s="177">
        <f t="shared" si="124"/>
        <v>50</v>
      </c>
      <c r="H533" s="177">
        <f t="shared" si="124"/>
        <v>44</v>
      </c>
      <c r="I533" s="177">
        <f t="shared" si="124"/>
        <v>0</v>
      </c>
      <c r="J533" s="253">
        <f t="shared" si="124"/>
        <v>45.74</v>
      </c>
      <c r="K533" s="170">
        <f t="shared" si="124"/>
        <v>29.259999999999998</v>
      </c>
      <c r="L533" s="170">
        <f t="shared" si="124"/>
        <v>75</v>
      </c>
      <c r="M533" s="171"/>
      <c r="N533" s="172"/>
    </row>
    <row r="534" spans="1:14" ht="26.25">
      <c r="A534" s="230" t="s">
        <v>497</v>
      </c>
      <c r="B534" s="159" t="s">
        <v>772</v>
      </c>
      <c r="C534" s="159" t="s">
        <v>410</v>
      </c>
      <c r="D534" s="159" t="s">
        <v>385</v>
      </c>
      <c r="E534" s="159" t="s">
        <v>528</v>
      </c>
      <c r="F534" s="159"/>
      <c r="G534" s="177">
        <f t="shared" si="124"/>
        <v>50</v>
      </c>
      <c r="H534" s="177">
        <f t="shared" si="124"/>
        <v>44</v>
      </c>
      <c r="I534" s="177">
        <f t="shared" si="124"/>
        <v>0</v>
      </c>
      <c r="J534" s="170">
        <f>J535+J536</f>
        <v>45.74</v>
      </c>
      <c r="K534" s="170">
        <f>K535+K536</f>
        <v>29.259999999999998</v>
      </c>
      <c r="L534" s="170">
        <f>L535+L536</f>
        <v>75</v>
      </c>
      <c r="M534" s="212" t="e">
        <f>M535+M536+#REF!</f>
        <v>#REF!</v>
      </c>
      <c r="N534" s="212" t="e">
        <f>N535+N536+#REF!</f>
        <v>#REF!</v>
      </c>
    </row>
    <row r="535" spans="1:14" ht="26.25">
      <c r="A535" s="230" t="s">
        <v>493</v>
      </c>
      <c r="B535" s="159" t="s">
        <v>772</v>
      </c>
      <c r="C535" s="159" t="s">
        <v>410</v>
      </c>
      <c r="D535" s="159" t="s">
        <v>385</v>
      </c>
      <c r="E535" s="159" t="s">
        <v>528</v>
      </c>
      <c r="F535" s="159" t="s">
        <v>494</v>
      </c>
      <c r="G535" s="177">
        <v>50</v>
      </c>
      <c r="H535" s="177">
        <v>44</v>
      </c>
      <c r="I535" s="177"/>
      <c r="J535" s="253">
        <v>45.74</v>
      </c>
      <c r="K535" s="170">
        <v>-45.74</v>
      </c>
      <c r="L535" s="170">
        <f>J535+K535</f>
        <v>0</v>
      </c>
      <c r="M535" s="171"/>
      <c r="N535" s="172"/>
    </row>
    <row r="536" spans="1:14" ht="17.25" customHeight="1" thickBot="1">
      <c r="A536" s="213" t="s">
        <v>577</v>
      </c>
      <c r="B536" s="159" t="s">
        <v>772</v>
      </c>
      <c r="C536" s="159" t="s">
        <v>410</v>
      </c>
      <c r="D536" s="159" t="s">
        <v>385</v>
      </c>
      <c r="E536" s="159" t="s">
        <v>528</v>
      </c>
      <c r="F536" s="159" t="s">
        <v>579</v>
      </c>
      <c r="G536" s="177"/>
      <c r="H536" s="169"/>
      <c r="I536" s="177"/>
      <c r="J536" s="253"/>
      <c r="K536" s="170">
        <v>75</v>
      </c>
      <c r="L536" s="170">
        <f>J536+K536</f>
        <v>75</v>
      </c>
      <c r="M536" s="200"/>
      <c r="N536" s="267"/>
    </row>
    <row r="537" spans="1:14" ht="17.25" customHeight="1">
      <c r="A537" s="213" t="s">
        <v>488</v>
      </c>
      <c r="B537" s="159" t="s">
        <v>772</v>
      </c>
      <c r="C537" s="159" t="s">
        <v>404</v>
      </c>
      <c r="D537" s="159"/>
      <c r="E537" s="159"/>
      <c r="F537" s="159"/>
      <c r="G537" s="177"/>
      <c r="H537" s="169"/>
      <c r="I537" s="177"/>
      <c r="J537" s="253">
        <f>J538</f>
        <v>0</v>
      </c>
      <c r="K537" s="253">
        <f>K538</f>
        <v>390</v>
      </c>
      <c r="L537" s="253">
        <f>L538</f>
        <v>390</v>
      </c>
      <c r="M537" s="202"/>
      <c r="N537" s="464"/>
    </row>
    <row r="538" spans="1:14" ht="17.25" customHeight="1">
      <c r="A538" s="167" t="s">
        <v>435</v>
      </c>
      <c r="B538" s="159" t="s">
        <v>772</v>
      </c>
      <c r="C538" s="159" t="s">
        <v>404</v>
      </c>
      <c r="D538" s="159" t="s">
        <v>404</v>
      </c>
      <c r="E538" s="159"/>
      <c r="F538" s="159"/>
      <c r="G538" s="177"/>
      <c r="H538" s="169"/>
      <c r="I538" s="177"/>
      <c r="J538" s="253">
        <f>J539</f>
        <v>0</v>
      </c>
      <c r="K538" s="253">
        <f aca="true" t="shared" si="125" ref="K538:L540">K539</f>
        <v>390</v>
      </c>
      <c r="L538" s="253">
        <f t="shared" si="125"/>
        <v>390</v>
      </c>
      <c r="M538" s="202"/>
      <c r="N538" s="464"/>
    </row>
    <row r="539" spans="1:14" ht="17.25" customHeight="1">
      <c r="A539" s="230" t="s">
        <v>835</v>
      </c>
      <c r="B539" s="159" t="s">
        <v>772</v>
      </c>
      <c r="C539" s="159" t="s">
        <v>404</v>
      </c>
      <c r="D539" s="159" t="s">
        <v>404</v>
      </c>
      <c r="E539" s="159" t="s">
        <v>761</v>
      </c>
      <c r="F539" s="159"/>
      <c r="G539" s="177"/>
      <c r="H539" s="169"/>
      <c r="I539" s="177"/>
      <c r="J539" s="253">
        <f>J540</f>
        <v>0</v>
      </c>
      <c r="K539" s="253">
        <f t="shared" si="125"/>
        <v>390</v>
      </c>
      <c r="L539" s="253">
        <f t="shared" si="125"/>
        <v>390</v>
      </c>
      <c r="M539" s="202"/>
      <c r="N539" s="464"/>
    </row>
    <row r="540" spans="1:14" ht="42" customHeight="1">
      <c r="A540" s="213" t="s">
        <v>1081</v>
      </c>
      <c r="B540" s="159" t="s">
        <v>772</v>
      </c>
      <c r="C540" s="159" t="s">
        <v>404</v>
      </c>
      <c r="D540" s="159" t="s">
        <v>404</v>
      </c>
      <c r="E540" s="159" t="s">
        <v>1082</v>
      </c>
      <c r="F540" s="159"/>
      <c r="G540" s="177"/>
      <c r="H540" s="169"/>
      <c r="I540" s="177"/>
      <c r="J540" s="253">
        <f>J541</f>
        <v>0</v>
      </c>
      <c r="K540" s="253">
        <f t="shared" si="125"/>
        <v>390</v>
      </c>
      <c r="L540" s="253">
        <f t="shared" si="125"/>
        <v>390</v>
      </c>
      <c r="M540" s="202"/>
      <c r="N540" s="464"/>
    </row>
    <row r="541" spans="1:14" ht="17.25" customHeight="1">
      <c r="A541" s="213" t="s">
        <v>577</v>
      </c>
      <c r="B541" s="159" t="s">
        <v>772</v>
      </c>
      <c r="C541" s="159" t="s">
        <v>404</v>
      </c>
      <c r="D541" s="159" t="s">
        <v>404</v>
      </c>
      <c r="E541" s="159" t="s">
        <v>1082</v>
      </c>
      <c r="F541" s="159" t="s">
        <v>579</v>
      </c>
      <c r="G541" s="177"/>
      <c r="H541" s="169"/>
      <c r="I541" s="177"/>
      <c r="J541" s="253"/>
      <c r="K541" s="170">
        <v>390</v>
      </c>
      <c r="L541" s="170">
        <f>J541+K541</f>
        <v>390</v>
      </c>
      <c r="M541" s="202"/>
      <c r="N541" s="464"/>
    </row>
    <row r="542" spans="1:14" s="465" customFormat="1" ht="17.25" customHeight="1">
      <c r="A542" s="231" t="s">
        <v>438</v>
      </c>
      <c r="B542" s="168" t="s">
        <v>772</v>
      </c>
      <c r="C542" s="168" t="s">
        <v>437</v>
      </c>
      <c r="D542" s="168" t="s">
        <v>641</v>
      </c>
      <c r="E542" s="168"/>
      <c r="F542" s="168"/>
      <c r="G542" s="155"/>
      <c r="H542" s="164"/>
      <c r="I542" s="155"/>
      <c r="J542" s="161">
        <f>J546+J561+J551+J543</f>
        <v>0</v>
      </c>
      <c r="K542" s="161">
        <f>K546+K561+K551+K543</f>
        <v>3591.6</v>
      </c>
      <c r="L542" s="161">
        <f>L546+L561+L551+L543</f>
        <v>3591.6</v>
      </c>
      <c r="M542" s="268">
        <f>M546+M561+M551+M543</f>
        <v>0</v>
      </c>
      <c r="N542" s="268">
        <f>N546+N561+N551+N543</f>
        <v>0</v>
      </c>
    </row>
    <row r="543" spans="1:17" s="465" customFormat="1" ht="17.25" customHeight="1">
      <c r="A543" s="230" t="s">
        <v>440</v>
      </c>
      <c r="B543" s="168" t="s">
        <v>772</v>
      </c>
      <c r="C543" s="168" t="s">
        <v>437</v>
      </c>
      <c r="D543" s="168" t="s">
        <v>382</v>
      </c>
      <c r="E543" s="168"/>
      <c r="F543" s="168"/>
      <c r="G543" s="155"/>
      <c r="H543" s="164"/>
      <c r="I543" s="155"/>
      <c r="J543" s="161">
        <f aca="true" t="shared" si="126" ref="J543:N544">J544</f>
        <v>0</v>
      </c>
      <c r="K543" s="161">
        <f t="shared" si="126"/>
        <v>45</v>
      </c>
      <c r="L543" s="161">
        <f t="shared" si="126"/>
        <v>45</v>
      </c>
      <c r="M543" s="182">
        <f t="shared" si="126"/>
        <v>0</v>
      </c>
      <c r="N543" s="182">
        <f t="shared" si="126"/>
        <v>0</v>
      </c>
      <c r="O543" s="340"/>
      <c r="P543" s="340"/>
      <c r="Q543" s="340"/>
    </row>
    <row r="544" spans="1:14" s="465" customFormat="1" ht="17.25" customHeight="1">
      <c r="A544" s="230" t="s">
        <v>705</v>
      </c>
      <c r="B544" s="159" t="s">
        <v>772</v>
      </c>
      <c r="C544" s="159" t="s">
        <v>437</v>
      </c>
      <c r="D544" s="159" t="s">
        <v>382</v>
      </c>
      <c r="E544" s="159" t="s">
        <v>706</v>
      </c>
      <c r="F544" s="159"/>
      <c r="G544" s="155"/>
      <c r="H544" s="164"/>
      <c r="I544" s="155"/>
      <c r="J544" s="170">
        <f t="shared" si="126"/>
        <v>0</v>
      </c>
      <c r="K544" s="170">
        <f t="shared" si="126"/>
        <v>45</v>
      </c>
      <c r="L544" s="170">
        <f t="shared" si="126"/>
        <v>45</v>
      </c>
      <c r="M544" s="238">
        <f t="shared" si="126"/>
        <v>0</v>
      </c>
      <c r="N544" s="238">
        <f t="shared" si="126"/>
        <v>0</v>
      </c>
    </row>
    <row r="545" spans="1:14" s="465" customFormat="1" ht="17.25" customHeight="1" thickBot="1">
      <c r="A545" s="213" t="s">
        <v>864</v>
      </c>
      <c r="B545" s="159" t="s">
        <v>772</v>
      </c>
      <c r="C545" s="159" t="s">
        <v>437</v>
      </c>
      <c r="D545" s="159" t="s">
        <v>382</v>
      </c>
      <c r="E545" s="159" t="s">
        <v>706</v>
      </c>
      <c r="F545" s="159" t="s">
        <v>865</v>
      </c>
      <c r="G545" s="155"/>
      <c r="H545" s="164"/>
      <c r="I545" s="155"/>
      <c r="J545" s="170"/>
      <c r="K545" s="170">
        <v>45</v>
      </c>
      <c r="L545" s="170">
        <f>J545+K545</f>
        <v>45</v>
      </c>
      <c r="M545" s="200"/>
      <c r="N545" s="267"/>
    </row>
    <row r="546" spans="1:17" ht="18" customHeight="1" thickBot="1">
      <c r="A546" s="269" t="s">
        <v>441</v>
      </c>
      <c r="B546" s="168" t="s">
        <v>772</v>
      </c>
      <c r="C546" s="168" t="s">
        <v>437</v>
      </c>
      <c r="D546" s="168" t="s">
        <v>383</v>
      </c>
      <c r="E546" s="168"/>
      <c r="F546" s="168"/>
      <c r="G546" s="155"/>
      <c r="H546" s="164"/>
      <c r="I546" s="155"/>
      <c r="J546" s="161">
        <f>J547</f>
        <v>0</v>
      </c>
      <c r="K546" s="161">
        <f>K547</f>
        <v>156.24</v>
      </c>
      <c r="L546" s="161">
        <f>L547</f>
        <v>156.24</v>
      </c>
      <c r="M546" s="270"/>
      <c r="N546" s="271"/>
      <c r="O546" s="340"/>
      <c r="P546" s="340"/>
      <c r="Q546" s="340"/>
    </row>
    <row r="547" spans="1:14" ht="17.25" customHeight="1" thickBot="1">
      <c r="A547" s="179" t="s">
        <v>497</v>
      </c>
      <c r="B547" s="159" t="s">
        <v>772</v>
      </c>
      <c r="C547" s="159" t="s">
        <v>437</v>
      </c>
      <c r="D547" s="159" t="s">
        <v>383</v>
      </c>
      <c r="E547" s="159" t="s">
        <v>713</v>
      </c>
      <c r="F547" s="159"/>
      <c r="G547" s="177"/>
      <c r="H547" s="169"/>
      <c r="I547" s="177"/>
      <c r="J547" s="170">
        <f>J548+J549+J550</f>
        <v>0</v>
      </c>
      <c r="K547" s="170">
        <f>K548+K549+K550</f>
        <v>156.24</v>
      </c>
      <c r="L547" s="170">
        <f>L548+L549+L550</f>
        <v>156.24</v>
      </c>
      <c r="M547" s="200"/>
      <c r="N547" s="267"/>
    </row>
    <row r="548" spans="1:14" ht="17.25" customHeight="1" thickBot="1">
      <c r="A548" s="179" t="s">
        <v>493</v>
      </c>
      <c r="B548" s="159" t="s">
        <v>772</v>
      </c>
      <c r="C548" s="159" t="s">
        <v>437</v>
      </c>
      <c r="D548" s="159" t="s">
        <v>383</v>
      </c>
      <c r="E548" s="159" t="s">
        <v>713</v>
      </c>
      <c r="F548" s="159" t="s">
        <v>585</v>
      </c>
      <c r="G548" s="177"/>
      <c r="H548" s="169"/>
      <c r="I548" s="177"/>
      <c r="J548" s="253"/>
      <c r="K548" s="170">
        <f>120+36.24</f>
        <v>156.24</v>
      </c>
      <c r="L548" s="170">
        <f>J548+K548</f>
        <v>156.24</v>
      </c>
      <c r="M548" s="200"/>
      <c r="N548" s="267"/>
    </row>
    <row r="549" spans="1:14" ht="17.25" customHeight="1" hidden="1" thickBot="1">
      <c r="A549" s="213" t="s">
        <v>587</v>
      </c>
      <c r="B549" s="159" t="s">
        <v>772</v>
      </c>
      <c r="C549" s="159" t="s">
        <v>437</v>
      </c>
      <c r="D549" s="159" t="s">
        <v>383</v>
      </c>
      <c r="E549" s="159" t="s">
        <v>713</v>
      </c>
      <c r="F549" s="159" t="s">
        <v>588</v>
      </c>
      <c r="G549" s="177"/>
      <c r="H549" s="169"/>
      <c r="I549" s="177"/>
      <c r="J549" s="253"/>
      <c r="K549" s="170"/>
      <c r="L549" s="170">
        <f>J549+K549</f>
        <v>0</v>
      </c>
      <c r="M549" s="200"/>
      <c r="N549" s="267"/>
    </row>
    <row r="550" spans="1:14" ht="17.25" customHeight="1" hidden="1" thickBot="1">
      <c r="A550" s="213" t="s">
        <v>577</v>
      </c>
      <c r="B550" s="159" t="s">
        <v>772</v>
      </c>
      <c r="C550" s="159" t="s">
        <v>437</v>
      </c>
      <c r="D550" s="159" t="s">
        <v>383</v>
      </c>
      <c r="E550" s="159" t="s">
        <v>713</v>
      </c>
      <c r="F550" s="159" t="s">
        <v>579</v>
      </c>
      <c r="G550" s="177"/>
      <c r="H550" s="169"/>
      <c r="I550" s="177"/>
      <c r="J550" s="253"/>
      <c r="K550" s="170"/>
      <c r="L550" s="170">
        <f>J550+K550</f>
        <v>0</v>
      </c>
      <c r="M550" s="200"/>
      <c r="N550" s="267"/>
    </row>
    <row r="551" spans="1:14" ht="17.25" customHeight="1">
      <c r="A551" s="231" t="s">
        <v>599</v>
      </c>
      <c r="B551" s="168" t="s">
        <v>772</v>
      </c>
      <c r="C551" s="168" t="s">
        <v>437</v>
      </c>
      <c r="D551" s="168" t="s">
        <v>384</v>
      </c>
      <c r="E551" s="168"/>
      <c r="F551" s="159"/>
      <c r="G551" s="177"/>
      <c r="H551" s="169"/>
      <c r="I551" s="177"/>
      <c r="J551" s="170">
        <f>J552</f>
        <v>0</v>
      </c>
      <c r="K551" s="170">
        <f>K552+K559</f>
        <v>3218</v>
      </c>
      <c r="L551" s="170">
        <f>L552+L559</f>
        <v>3218</v>
      </c>
      <c r="M551" s="238">
        <f>M552+M559</f>
        <v>0</v>
      </c>
      <c r="N551" s="238">
        <f>N552+N559</f>
        <v>0</v>
      </c>
    </row>
    <row r="552" spans="1:14" ht="17.25" customHeight="1">
      <c r="A552" s="179" t="s">
        <v>714</v>
      </c>
      <c r="B552" s="159" t="s">
        <v>772</v>
      </c>
      <c r="C552" s="159" t="s">
        <v>437</v>
      </c>
      <c r="D552" s="159" t="s">
        <v>384</v>
      </c>
      <c r="E552" s="159" t="s">
        <v>715</v>
      </c>
      <c r="F552" s="159"/>
      <c r="G552" s="177"/>
      <c r="H552" s="169"/>
      <c r="I552" s="177"/>
      <c r="J552" s="170">
        <f>J557+J553+J555</f>
        <v>0</v>
      </c>
      <c r="K552" s="170">
        <f>K557+K553+K555</f>
        <v>3018</v>
      </c>
      <c r="L552" s="170">
        <f>L557+L553+L555</f>
        <v>3018</v>
      </c>
      <c r="M552" s="425">
        <f>M557+M553+M555</f>
        <v>0</v>
      </c>
      <c r="N552" s="425">
        <f>N557+N553+N555</f>
        <v>0</v>
      </c>
    </row>
    <row r="553" spans="1:14" ht="63.75" customHeight="1" thickBot="1">
      <c r="A553" s="466" t="s">
        <v>988</v>
      </c>
      <c r="B553" s="159" t="s">
        <v>772</v>
      </c>
      <c r="C553" s="159" t="s">
        <v>437</v>
      </c>
      <c r="D553" s="159" t="s">
        <v>384</v>
      </c>
      <c r="E553" s="159" t="s">
        <v>989</v>
      </c>
      <c r="F553" s="159"/>
      <c r="G553" s="177"/>
      <c r="H553" s="169"/>
      <c r="I553" s="177"/>
      <c r="J553" s="170">
        <f>J554</f>
        <v>0</v>
      </c>
      <c r="K553" s="170">
        <f>K554</f>
        <v>2232</v>
      </c>
      <c r="L553" s="170">
        <f>L554</f>
        <v>2232</v>
      </c>
      <c r="M553" s="200"/>
      <c r="N553" s="267"/>
    </row>
    <row r="554" spans="1:14" s="452" customFormat="1" ht="38.25" customHeight="1" thickBot="1">
      <c r="A554" s="467" t="s">
        <v>607</v>
      </c>
      <c r="B554" s="351" t="s">
        <v>772</v>
      </c>
      <c r="C554" s="351" t="s">
        <v>437</v>
      </c>
      <c r="D554" s="351" t="s">
        <v>384</v>
      </c>
      <c r="E554" s="351" t="s">
        <v>989</v>
      </c>
      <c r="F554" s="351" t="s">
        <v>608</v>
      </c>
      <c r="G554" s="400"/>
      <c r="H554" s="468"/>
      <c r="I554" s="400"/>
      <c r="J554" s="539"/>
      <c r="K554" s="540">
        <v>2232</v>
      </c>
      <c r="L554" s="540">
        <f>J554+K554</f>
        <v>2232</v>
      </c>
      <c r="M554" s="469"/>
      <c r="N554" s="470"/>
    </row>
    <row r="555" spans="1:14" ht="58.5" customHeight="1" thickBot="1">
      <c r="A555" s="466" t="s">
        <v>990</v>
      </c>
      <c r="B555" s="159" t="s">
        <v>772</v>
      </c>
      <c r="C555" s="159" t="s">
        <v>437</v>
      </c>
      <c r="D555" s="159" t="s">
        <v>384</v>
      </c>
      <c r="E555" s="159" t="s">
        <v>732</v>
      </c>
      <c r="F555" s="159"/>
      <c r="G555" s="177"/>
      <c r="H555" s="169"/>
      <c r="I555" s="177"/>
      <c r="J555" s="170">
        <f>J556</f>
        <v>0</v>
      </c>
      <c r="K555" s="170">
        <f>K556</f>
        <v>558</v>
      </c>
      <c r="L555" s="170">
        <f>L556</f>
        <v>558</v>
      </c>
      <c r="M555" s="200"/>
      <c r="N555" s="267"/>
    </row>
    <row r="556" spans="1:14" ht="25.5" customHeight="1" thickBot="1">
      <c r="A556" s="179" t="s">
        <v>607</v>
      </c>
      <c r="B556" s="159" t="s">
        <v>772</v>
      </c>
      <c r="C556" s="159" t="s">
        <v>437</v>
      </c>
      <c r="D556" s="159" t="s">
        <v>384</v>
      </c>
      <c r="E556" s="159" t="s">
        <v>732</v>
      </c>
      <c r="F556" s="159" t="s">
        <v>608</v>
      </c>
      <c r="G556" s="177"/>
      <c r="H556" s="169"/>
      <c r="I556" s="177"/>
      <c r="J556" s="170"/>
      <c r="K556" s="170">
        <v>558</v>
      </c>
      <c r="L556" s="170">
        <f>J556+K556</f>
        <v>558</v>
      </c>
      <c r="M556" s="200"/>
      <c r="N556" s="267"/>
    </row>
    <row r="557" spans="1:14" ht="17.25" customHeight="1" thickBot="1">
      <c r="A557" s="230" t="s">
        <v>755</v>
      </c>
      <c r="B557" s="159" t="s">
        <v>772</v>
      </c>
      <c r="C557" s="159" t="s">
        <v>437</v>
      </c>
      <c r="D557" s="159" t="s">
        <v>384</v>
      </c>
      <c r="E557" s="159" t="s">
        <v>756</v>
      </c>
      <c r="F557" s="159"/>
      <c r="G557" s="177"/>
      <c r="H557" s="169"/>
      <c r="I557" s="177"/>
      <c r="J557" s="170">
        <f>J558</f>
        <v>0</v>
      </c>
      <c r="K557" s="170">
        <f>K558</f>
        <v>228</v>
      </c>
      <c r="L557" s="170">
        <f>L558</f>
        <v>228</v>
      </c>
      <c r="M557" s="200"/>
      <c r="N557" s="267"/>
    </row>
    <row r="558" spans="1:14" ht="17.25" customHeight="1" thickBot="1">
      <c r="A558" s="213" t="s">
        <v>577</v>
      </c>
      <c r="B558" s="159" t="s">
        <v>772</v>
      </c>
      <c r="C558" s="159" t="s">
        <v>437</v>
      </c>
      <c r="D558" s="159" t="s">
        <v>384</v>
      </c>
      <c r="E558" s="159" t="s">
        <v>756</v>
      </c>
      <c r="F558" s="159" t="s">
        <v>614</v>
      </c>
      <c r="G558" s="177"/>
      <c r="H558" s="169"/>
      <c r="I558" s="177"/>
      <c r="J558" s="253"/>
      <c r="K558" s="170">
        <v>228</v>
      </c>
      <c r="L558" s="170">
        <f>J558+K558</f>
        <v>228</v>
      </c>
      <c r="M558" s="200"/>
      <c r="N558" s="267"/>
    </row>
    <row r="559" spans="1:14" ht="39">
      <c r="A559" s="230" t="s">
        <v>1073</v>
      </c>
      <c r="B559" s="159" t="s">
        <v>772</v>
      </c>
      <c r="C559" s="159" t="s">
        <v>437</v>
      </c>
      <c r="D559" s="159" t="s">
        <v>384</v>
      </c>
      <c r="E559" s="159" t="s">
        <v>867</v>
      </c>
      <c r="F559" s="159"/>
      <c r="G559" s="177"/>
      <c r="H559" s="169"/>
      <c r="I559" s="177"/>
      <c r="J559" s="170">
        <f>J560</f>
        <v>0</v>
      </c>
      <c r="K559" s="170">
        <f>K560</f>
        <v>200</v>
      </c>
      <c r="L559" s="170">
        <f>L560</f>
        <v>200</v>
      </c>
      <c r="M559" s="238">
        <f>M560</f>
        <v>0</v>
      </c>
      <c r="N559" s="238">
        <f>N560</f>
        <v>0</v>
      </c>
    </row>
    <row r="560" spans="1:14" ht="29.25" customHeight="1" thickBot="1">
      <c r="A560" s="230" t="s">
        <v>868</v>
      </c>
      <c r="B560" s="159" t="s">
        <v>772</v>
      </c>
      <c r="C560" s="159" t="s">
        <v>437</v>
      </c>
      <c r="D560" s="159" t="s">
        <v>384</v>
      </c>
      <c r="E560" s="159" t="s">
        <v>867</v>
      </c>
      <c r="F560" s="159" t="s">
        <v>869</v>
      </c>
      <c r="G560" s="177"/>
      <c r="H560" s="169"/>
      <c r="I560" s="177"/>
      <c r="J560" s="253"/>
      <c r="K560" s="170">
        <f>260-60</f>
        <v>200</v>
      </c>
      <c r="L560" s="170">
        <f>J560+K560</f>
        <v>200</v>
      </c>
      <c r="M560" s="200"/>
      <c r="N560" s="267"/>
    </row>
    <row r="561" spans="1:14" ht="27.75" customHeight="1" thickBot="1">
      <c r="A561" s="272" t="s">
        <v>444</v>
      </c>
      <c r="B561" s="168" t="s">
        <v>772</v>
      </c>
      <c r="C561" s="168" t="s">
        <v>437</v>
      </c>
      <c r="D561" s="168" t="s">
        <v>388</v>
      </c>
      <c r="E561" s="168"/>
      <c r="F561" s="168"/>
      <c r="G561" s="177"/>
      <c r="H561" s="169"/>
      <c r="I561" s="177"/>
      <c r="J561" s="170">
        <f>J562</f>
        <v>0</v>
      </c>
      <c r="K561" s="170">
        <f>K562</f>
        <v>172.35999999999999</v>
      </c>
      <c r="L561" s="170">
        <f>L562</f>
        <v>172.35999999999999</v>
      </c>
      <c r="M561" s="200"/>
      <c r="N561" s="267"/>
    </row>
    <row r="562" spans="1:14" ht="33" customHeight="1" thickBot="1">
      <c r="A562" s="230" t="s">
        <v>759</v>
      </c>
      <c r="B562" s="159" t="s">
        <v>772</v>
      </c>
      <c r="C562" s="159" t="s">
        <v>437</v>
      </c>
      <c r="D562" s="159" t="s">
        <v>388</v>
      </c>
      <c r="E562" s="159" t="s">
        <v>543</v>
      </c>
      <c r="F562" s="159"/>
      <c r="G562" s="177"/>
      <c r="H562" s="169"/>
      <c r="I562" s="177"/>
      <c r="J562" s="170">
        <f aca="true" t="shared" si="127" ref="J562:L563">J563</f>
        <v>0</v>
      </c>
      <c r="K562" s="170">
        <f t="shared" si="127"/>
        <v>172.35999999999999</v>
      </c>
      <c r="L562" s="170">
        <f t="shared" si="127"/>
        <v>172.35999999999999</v>
      </c>
      <c r="M562" s="200"/>
      <c r="N562" s="267"/>
    </row>
    <row r="563" spans="1:14" ht="17.25" customHeight="1" thickBot="1">
      <c r="A563" s="230" t="s">
        <v>544</v>
      </c>
      <c r="B563" s="159" t="s">
        <v>772</v>
      </c>
      <c r="C563" s="159" t="s">
        <v>437</v>
      </c>
      <c r="D563" s="159" t="s">
        <v>388</v>
      </c>
      <c r="E563" s="159" t="s">
        <v>545</v>
      </c>
      <c r="F563" s="159"/>
      <c r="G563" s="177"/>
      <c r="H563" s="169"/>
      <c r="I563" s="177"/>
      <c r="J563" s="170">
        <f t="shared" si="127"/>
        <v>0</v>
      </c>
      <c r="K563" s="170">
        <f t="shared" si="127"/>
        <v>172.35999999999999</v>
      </c>
      <c r="L563" s="170">
        <f t="shared" si="127"/>
        <v>172.35999999999999</v>
      </c>
      <c r="M563" s="200"/>
      <c r="N563" s="267"/>
    </row>
    <row r="564" spans="1:14" ht="17.25" customHeight="1" thickBot="1">
      <c r="A564" s="230" t="s">
        <v>493</v>
      </c>
      <c r="B564" s="159" t="s">
        <v>772</v>
      </c>
      <c r="C564" s="159" t="s">
        <v>437</v>
      </c>
      <c r="D564" s="159" t="s">
        <v>388</v>
      </c>
      <c r="E564" s="159" t="s">
        <v>545</v>
      </c>
      <c r="F564" s="159" t="s">
        <v>585</v>
      </c>
      <c r="G564" s="177"/>
      <c r="H564" s="169"/>
      <c r="I564" s="177"/>
      <c r="J564" s="253"/>
      <c r="K564" s="170">
        <f>132.38+39.98</f>
        <v>172.35999999999999</v>
      </c>
      <c r="L564" s="170">
        <f>SUM(J564:K564)</f>
        <v>172.35999999999999</v>
      </c>
      <c r="M564" s="200"/>
      <c r="N564" s="267"/>
    </row>
    <row r="565" spans="1:14" ht="19.5" customHeight="1" thickBot="1">
      <c r="A565" s="229" t="s">
        <v>447</v>
      </c>
      <c r="B565" s="168" t="s">
        <v>772</v>
      </c>
      <c r="C565" s="168" t="s">
        <v>393</v>
      </c>
      <c r="D565" s="168"/>
      <c r="E565" s="168"/>
      <c r="F565" s="168"/>
      <c r="G565" s="155"/>
      <c r="H565" s="164"/>
      <c r="I565" s="155"/>
      <c r="J565" s="251">
        <f>J566</f>
        <v>890</v>
      </c>
      <c r="K565" s="161">
        <f>K566</f>
        <v>13.600000000000023</v>
      </c>
      <c r="L565" s="161">
        <f>L566</f>
        <v>903.6</v>
      </c>
      <c r="M565" s="200"/>
      <c r="N565" s="267"/>
    </row>
    <row r="566" spans="1:14" ht="15.75" thickBot="1">
      <c r="A566" s="229" t="s">
        <v>427</v>
      </c>
      <c r="B566" s="168" t="s">
        <v>772</v>
      </c>
      <c r="C566" s="168" t="s">
        <v>393</v>
      </c>
      <c r="D566" s="168" t="s">
        <v>383</v>
      </c>
      <c r="E566" s="168"/>
      <c r="F566" s="168"/>
      <c r="G566" s="155">
        <f aca="true" t="shared" si="128" ref="G566:L568">G567</f>
        <v>0</v>
      </c>
      <c r="H566" s="155">
        <f t="shared" si="128"/>
        <v>666</v>
      </c>
      <c r="I566" s="155">
        <f t="shared" si="128"/>
        <v>0</v>
      </c>
      <c r="J566" s="251">
        <f t="shared" si="128"/>
        <v>890</v>
      </c>
      <c r="K566" s="161">
        <f t="shared" si="128"/>
        <v>13.600000000000023</v>
      </c>
      <c r="L566" s="161">
        <f t="shared" si="128"/>
        <v>903.6</v>
      </c>
      <c r="M566" s="200"/>
      <c r="N566" s="267"/>
    </row>
    <row r="567" spans="1:14" ht="29.25" customHeight="1" thickBot="1">
      <c r="A567" s="230" t="s">
        <v>857</v>
      </c>
      <c r="B567" s="159" t="s">
        <v>772</v>
      </c>
      <c r="C567" s="159" t="s">
        <v>393</v>
      </c>
      <c r="D567" s="159" t="s">
        <v>383</v>
      </c>
      <c r="E567" s="159" t="s">
        <v>858</v>
      </c>
      <c r="F567" s="159"/>
      <c r="G567" s="177">
        <f t="shared" si="128"/>
        <v>0</v>
      </c>
      <c r="H567" s="177">
        <f t="shared" si="128"/>
        <v>666</v>
      </c>
      <c r="I567" s="177">
        <f t="shared" si="128"/>
        <v>0</v>
      </c>
      <c r="J567" s="170">
        <f t="shared" si="128"/>
        <v>890</v>
      </c>
      <c r="K567" s="170">
        <f t="shared" si="128"/>
        <v>13.600000000000023</v>
      </c>
      <c r="L567" s="170">
        <f t="shared" si="128"/>
        <v>903.6</v>
      </c>
      <c r="M567" s="200"/>
      <c r="N567" s="267"/>
    </row>
    <row r="568" spans="1:14" ht="45" customHeight="1">
      <c r="A568" s="230" t="s">
        <v>859</v>
      </c>
      <c r="B568" s="159" t="s">
        <v>772</v>
      </c>
      <c r="C568" s="159" t="s">
        <v>393</v>
      </c>
      <c r="D568" s="159" t="s">
        <v>383</v>
      </c>
      <c r="E568" s="159" t="s">
        <v>860</v>
      </c>
      <c r="F568" s="159"/>
      <c r="G568" s="177">
        <f t="shared" si="128"/>
        <v>0</v>
      </c>
      <c r="H568" s="177">
        <f t="shared" si="128"/>
        <v>666</v>
      </c>
      <c r="I568" s="177">
        <f t="shared" si="128"/>
        <v>0</v>
      </c>
      <c r="J568" s="170">
        <f>J569+J570</f>
        <v>890</v>
      </c>
      <c r="K568" s="170">
        <f>K569+K570</f>
        <v>13.600000000000023</v>
      </c>
      <c r="L568" s="170">
        <f>L569+L570</f>
        <v>903.6</v>
      </c>
      <c r="M568" s="202"/>
      <c r="N568" s="245"/>
    </row>
    <row r="569" spans="1:14" ht="16.5" customHeight="1">
      <c r="A569" s="230" t="s">
        <v>652</v>
      </c>
      <c r="B569" s="159" t="s">
        <v>772</v>
      </c>
      <c r="C569" s="159" t="s">
        <v>393</v>
      </c>
      <c r="D569" s="159" t="s">
        <v>383</v>
      </c>
      <c r="E569" s="159" t="s">
        <v>860</v>
      </c>
      <c r="F569" s="159" t="s">
        <v>653</v>
      </c>
      <c r="G569" s="177"/>
      <c r="H569" s="177">
        <v>666</v>
      </c>
      <c r="I569" s="177"/>
      <c r="J569" s="253">
        <v>890</v>
      </c>
      <c r="K569" s="170">
        <v>-890</v>
      </c>
      <c r="L569" s="170">
        <f>J569+K569</f>
        <v>0</v>
      </c>
      <c r="M569" s="171"/>
      <c r="N569" s="211"/>
    </row>
    <row r="570" spans="1:14" ht="16.5" customHeight="1" thickBot="1">
      <c r="A570" s="230" t="s">
        <v>851</v>
      </c>
      <c r="B570" s="159" t="s">
        <v>772</v>
      </c>
      <c r="C570" s="159" t="s">
        <v>393</v>
      </c>
      <c r="D570" s="159" t="s">
        <v>383</v>
      </c>
      <c r="E570" s="159" t="s">
        <v>860</v>
      </c>
      <c r="F570" s="159" t="s">
        <v>852</v>
      </c>
      <c r="G570" s="177"/>
      <c r="H570" s="177"/>
      <c r="I570" s="177"/>
      <c r="J570" s="253"/>
      <c r="K570" s="170">
        <f>890+13.6</f>
        <v>903.6</v>
      </c>
      <c r="L570" s="170">
        <f>J570+K570</f>
        <v>903.6</v>
      </c>
      <c r="M570" s="198"/>
      <c r="N570" s="223"/>
    </row>
    <row r="571" spans="1:15" ht="15.75" thickBot="1">
      <c r="A571" s="167" t="s">
        <v>870</v>
      </c>
      <c r="B571" s="168" t="s">
        <v>657</v>
      </c>
      <c r="C571" s="168"/>
      <c r="D571" s="168"/>
      <c r="E571" s="168"/>
      <c r="F571" s="168"/>
      <c r="G571" s="161" t="e">
        <f>G572+G587</f>
        <v>#REF!</v>
      </c>
      <c r="H571" s="161" t="e">
        <f>H572+H587+#REF!</f>
        <v>#REF!</v>
      </c>
      <c r="I571" s="161" t="e">
        <f>I572+I587+#REF!</f>
        <v>#REF!</v>
      </c>
      <c r="J571" s="161">
        <f>J572+J578+J587+J625+J618</f>
        <v>8858.11</v>
      </c>
      <c r="K571" s="161">
        <f>K572+K578+K587+K625+K618</f>
        <v>80.4069999999997</v>
      </c>
      <c r="L571" s="161">
        <f>L572+L578+L587+L625+L618</f>
        <v>8938.517</v>
      </c>
      <c r="M571" s="225" t="e">
        <f>M572+M587+#REF!+M578</f>
        <v>#REF!</v>
      </c>
      <c r="N571" s="226" t="e">
        <f>N572+N587+#REF!+N578</f>
        <v>#REF!</v>
      </c>
      <c r="O571" s="448"/>
    </row>
    <row r="572" spans="1:14" s="462" customFormat="1" ht="14.25">
      <c r="A572" s="229" t="s">
        <v>380</v>
      </c>
      <c r="B572" s="168" t="s">
        <v>657</v>
      </c>
      <c r="C572" s="168" t="s">
        <v>382</v>
      </c>
      <c r="D572" s="168"/>
      <c r="E572" s="168"/>
      <c r="F572" s="168"/>
      <c r="G572" s="155" t="e">
        <f aca="true" t="shared" si="129" ref="G572:N574">G573</f>
        <v>#REF!</v>
      </c>
      <c r="H572" s="155" t="e">
        <f t="shared" si="129"/>
        <v>#REF!</v>
      </c>
      <c r="I572" s="155" t="e">
        <f t="shared" si="129"/>
        <v>#REF!</v>
      </c>
      <c r="J572" s="161">
        <f t="shared" si="129"/>
        <v>774.97</v>
      </c>
      <c r="K572" s="161">
        <f t="shared" si="129"/>
        <v>30.029999999999973</v>
      </c>
      <c r="L572" s="161">
        <f t="shared" si="129"/>
        <v>805</v>
      </c>
      <c r="M572" s="165" t="e">
        <f t="shared" si="129"/>
        <v>#REF!</v>
      </c>
      <c r="N572" s="166" t="e">
        <f t="shared" si="129"/>
        <v>#REF!</v>
      </c>
    </row>
    <row r="573" spans="1:14" s="340" customFormat="1" ht="63.75">
      <c r="A573" s="230" t="s">
        <v>623</v>
      </c>
      <c r="B573" s="168" t="s">
        <v>657</v>
      </c>
      <c r="C573" s="168" t="s">
        <v>382</v>
      </c>
      <c r="D573" s="168" t="s">
        <v>385</v>
      </c>
      <c r="E573" s="168"/>
      <c r="F573" s="168"/>
      <c r="G573" s="155" t="e">
        <f t="shared" si="129"/>
        <v>#REF!</v>
      </c>
      <c r="H573" s="155" t="e">
        <f t="shared" si="129"/>
        <v>#REF!</v>
      </c>
      <c r="I573" s="155" t="e">
        <f t="shared" si="129"/>
        <v>#REF!</v>
      </c>
      <c r="J573" s="161">
        <f t="shared" si="129"/>
        <v>774.97</v>
      </c>
      <c r="K573" s="161">
        <f t="shared" si="129"/>
        <v>30.029999999999973</v>
      </c>
      <c r="L573" s="161">
        <f t="shared" si="129"/>
        <v>805</v>
      </c>
      <c r="M573" s="188" t="e">
        <f t="shared" si="129"/>
        <v>#REF!</v>
      </c>
      <c r="N573" s="209" t="e">
        <f t="shared" si="129"/>
        <v>#REF!</v>
      </c>
    </row>
    <row r="574" spans="1:14" ht="26.25">
      <c r="A574" s="230" t="s">
        <v>759</v>
      </c>
      <c r="B574" s="159" t="s">
        <v>657</v>
      </c>
      <c r="C574" s="159" t="s">
        <v>382</v>
      </c>
      <c r="D574" s="159" t="s">
        <v>385</v>
      </c>
      <c r="E574" s="159" t="s">
        <v>543</v>
      </c>
      <c r="F574" s="159"/>
      <c r="G574" s="177" t="e">
        <f t="shared" si="129"/>
        <v>#REF!</v>
      </c>
      <c r="H574" s="177" t="e">
        <f t="shared" si="129"/>
        <v>#REF!</v>
      </c>
      <c r="I574" s="177" t="e">
        <f t="shared" si="129"/>
        <v>#REF!</v>
      </c>
      <c r="J574" s="170">
        <f t="shared" si="129"/>
        <v>774.97</v>
      </c>
      <c r="K574" s="170">
        <f t="shared" si="129"/>
        <v>30.029999999999973</v>
      </c>
      <c r="L574" s="170">
        <f t="shared" si="129"/>
        <v>805</v>
      </c>
      <c r="M574" s="171" t="e">
        <f t="shared" si="129"/>
        <v>#REF!</v>
      </c>
      <c r="N574" s="172" t="e">
        <f t="shared" si="129"/>
        <v>#REF!</v>
      </c>
    </row>
    <row r="575" spans="1:14" ht="15">
      <c r="A575" s="230" t="s">
        <v>544</v>
      </c>
      <c r="B575" s="159" t="s">
        <v>657</v>
      </c>
      <c r="C575" s="159" t="s">
        <v>382</v>
      </c>
      <c r="D575" s="159" t="s">
        <v>385</v>
      </c>
      <c r="E575" s="159" t="s">
        <v>545</v>
      </c>
      <c r="F575" s="159"/>
      <c r="G575" s="177" t="e">
        <f>#REF!</f>
        <v>#REF!</v>
      </c>
      <c r="H575" s="177" t="e">
        <f>#REF!</f>
        <v>#REF!</v>
      </c>
      <c r="I575" s="177" t="e">
        <f>#REF!</f>
        <v>#REF!</v>
      </c>
      <c r="J575" s="170">
        <f>J576+J577</f>
        <v>774.97</v>
      </c>
      <c r="K575" s="170">
        <f>K576+K577</f>
        <v>30.029999999999973</v>
      </c>
      <c r="L575" s="170">
        <f>L576+L577</f>
        <v>805</v>
      </c>
      <c r="M575" s="171" t="e">
        <f>#REF!</f>
        <v>#REF!</v>
      </c>
      <c r="N575" s="172" t="e">
        <f>#REF!</f>
        <v>#REF!</v>
      </c>
    </row>
    <row r="576" spans="1:15" ht="15">
      <c r="A576" s="219" t="s">
        <v>871</v>
      </c>
      <c r="B576" s="159" t="s">
        <v>657</v>
      </c>
      <c r="C576" s="159" t="s">
        <v>382</v>
      </c>
      <c r="D576" s="159" t="s">
        <v>385</v>
      </c>
      <c r="E576" s="159" t="s">
        <v>545</v>
      </c>
      <c r="F576" s="159" t="s">
        <v>585</v>
      </c>
      <c r="G576" s="177"/>
      <c r="H576" s="273"/>
      <c r="I576" s="273"/>
      <c r="J576" s="170"/>
      <c r="K576" s="170">
        <f>618.28+186.72</f>
        <v>805</v>
      </c>
      <c r="L576" s="170">
        <f>J576+K576</f>
        <v>805</v>
      </c>
      <c r="M576" s="171"/>
      <c r="N576" s="172"/>
      <c r="O576" s="247"/>
    </row>
    <row r="577" spans="1:15" ht="26.25">
      <c r="A577" s="230" t="s">
        <v>487</v>
      </c>
      <c r="B577" s="159" t="s">
        <v>657</v>
      </c>
      <c r="C577" s="159" t="s">
        <v>382</v>
      </c>
      <c r="D577" s="159" t="s">
        <v>385</v>
      </c>
      <c r="E577" s="159" t="s">
        <v>545</v>
      </c>
      <c r="F577" s="159" t="s">
        <v>485</v>
      </c>
      <c r="G577" s="177"/>
      <c r="H577" s="273">
        <v>774.87</v>
      </c>
      <c r="I577" s="273"/>
      <c r="J577" s="170">
        <v>774.97</v>
      </c>
      <c r="K577" s="170">
        <v>-774.97</v>
      </c>
      <c r="L577" s="170">
        <f>J577+K577</f>
        <v>0</v>
      </c>
      <c r="M577" s="171">
        <f>-78.244</f>
        <v>-78.244</v>
      </c>
      <c r="N577" s="172">
        <f>L577+M577</f>
        <v>-78.244</v>
      </c>
      <c r="O577" s="247"/>
    </row>
    <row r="578" spans="1:14" s="462" customFormat="1" ht="14.25">
      <c r="A578" s="264" t="s">
        <v>417</v>
      </c>
      <c r="B578" s="168" t="s">
        <v>657</v>
      </c>
      <c r="C578" s="168" t="s">
        <v>390</v>
      </c>
      <c r="D578" s="168"/>
      <c r="E578" s="168"/>
      <c r="F578" s="168"/>
      <c r="G578" s="155" t="e">
        <f>G598+#REF!+#REF!</f>
        <v>#REF!</v>
      </c>
      <c r="H578" s="161" t="e">
        <f>H598+#REF!+H579</f>
        <v>#REF!</v>
      </c>
      <c r="I578" s="161" t="e">
        <f>I598+#REF!+I579</f>
        <v>#REF!</v>
      </c>
      <c r="J578" s="161">
        <f>J579</f>
        <v>290.86</v>
      </c>
      <c r="K578" s="161">
        <f>K579</f>
        <v>-35.61999999999999</v>
      </c>
      <c r="L578" s="161">
        <f>L579</f>
        <v>255.24</v>
      </c>
      <c r="M578" s="174" t="e">
        <f>M579</f>
        <v>#REF!</v>
      </c>
      <c r="N578" s="175" t="e">
        <f>N579</f>
        <v>#REF!</v>
      </c>
    </row>
    <row r="579" spans="1:14" s="340" customFormat="1" ht="25.5">
      <c r="A579" s="230" t="s">
        <v>422</v>
      </c>
      <c r="B579" s="168" t="s">
        <v>657</v>
      </c>
      <c r="C579" s="168" t="s">
        <v>390</v>
      </c>
      <c r="D579" s="168" t="s">
        <v>390</v>
      </c>
      <c r="E579" s="168"/>
      <c r="F579" s="168"/>
      <c r="G579" s="155" t="e">
        <f>#REF!</f>
        <v>#REF!</v>
      </c>
      <c r="H579" s="155" t="e">
        <f>#REF!</f>
        <v>#REF!</v>
      </c>
      <c r="I579" s="155" t="e">
        <f>#REF!</f>
        <v>#REF!</v>
      </c>
      <c r="J579" s="161">
        <f>J580+J583</f>
        <v>290.86</v>
      </c>
      <c r="K579" s="161">
        <f>K580+K583</f>
        <v>-35.61999999999999</v>
      </c>
      <c r="L579" s="161">
        <f>L580+L583</f>
        <v>255.24</v>
      </c>
      <c r="M579" s="188" t="e">
        <f>#REF!</f>
        <v>#REF!</v>
      </c>
      <c r="N579" s="248" t="e">
        <f>#REF!</f>
        <v>#REF!</v>
      </c>
    </row>
    <row r="580" spans="1:14" ht="26.25">
      <c r="A580" s="230" t="s">
        <v>497</v>
      </c>
      <c r="B580" s="159" t="s">
        <v>657</v>
      </c>
      <c r="C580" s="159" t="s">
        <v>390</v>
      </c>
      <c r="D580" s="159" t="s">
        <v>390</v>
      </c>
      <c r="E580" s="159" t="s">
        <v>872</v>
      </c>
      <c r="F580" s="159"/>
      <c r="G580" s="177"/>
      <c r="H580" s="177"/>
      <c r="I580" s="177"/>
      <c r="J580" s="170">
        <f>J581+J582</f>
        <v>124.86</v>
      </c>
      <c r="K580" s="170">
        <f>K581+K582</f>
        <v>4.38000000000001</v>
      </c>
      <c r="L580" s="170">
        <f>L581+L582</f>
        <v>129.24</v>
      </c>
      <c r="M580" s="171"/>
      <c r="N580" s="172"/>
    </row>
    <row r="581" spans="1:15" ht="26.25">
      <c r="A581" s="173" t="s">
        <v>504</v>
      </c>
      <c r="B581" s="159" t="s">
        <v>657</v>
      </c>
      <c r="C581" s="159" t="s">
        <v>390</v>
      </c>
      <c r="D581" s="159" t="s">
        <v>390</v>
      </c>
      <c r="E581" s="159" t="s">
        <v>872</v>
      </c>
      <c r="F581" s="159" t="s">
        <v>494</v>
      </c>
      <c r="G581" s="177"/>
      <c r="H581" s="177"/>
      <c r="I581" s="177"/>
      <c r="J581" s="170">
        <v>124.86</v>
      </c>
      <c r="K581" s="170">
        <v>-124.86</v>
      </c>
      <c r="L581" s="170">
        <f>J581+K581</f>
        <v>0</v>
      </c>
      <c r="M581" s="171"/>
      <c r="N581" s="172"/>
      <c r="O581" s="247"/>
    </row>
    <row r="582" spans="1:15" ht="15">
      <c r="A582" s="219" t="s">
        <v>871</v>
      </c>
      <c r="B582" s="159" t="s">
        <v>657</v>
      </c>
      <c r="C582" s="159" t="s">
        <v>390</v>
      </c>
      <c r="D582" s="159" t="s">
        <v>390</v>
      </c>
      <c r="E582" s="159" t="s">
        <v>872</v>
      </c>
      <c r="F582" s="159" t="s">
        <v>585</v>
      </c>
      <c r="G582" s="177"/>
      <c r="H582" s="177"/>
      <c r="I582" s="177"/>
      <c r="J582" s="170"/>
      <c r="K582" s="170">
        <f>99.26+29.98</f>
        <v>129.24</v>
      </c>
      <c r="L582" s="170">
        <f>J582+K582</f>
        <v>129.24</v>
      </c>
      <c r="M582" s="171"/>
      <c r="N582" s="172"/>
      <c r="O582" s="247"/>
    </row>
    <row r="583" spans="1:14" ht="26.25">
      <c r="A583" s="230" t="s">
        <v>760</v>
      </c>
      <c r="B583" s="159" t="s">
        <v>657</v>
      </c>
      <c r="C583" s="159" t="s">
        <v>390</v>
      </c>
      <c r="D583" s="159" t="s">
        <v>390</v>
      </c>
      <c r="E583" s="159" t="s">
        <v>761</v>
      </c>
      <c r="F583" s="159"/>
      <c r="G583" s="177"/>
      <c r="H583" s="177"/>
      <c r="I583" s="177"/>
      <c r="J583" s="170">
        <f>J584</f>
        <v>166</v>
      </c>
      <c r="K583" s="170">
        <f>K584</f>
        <v>-40</v>
      </c>
      <c r="L583" s="170">
        <f>L584</f>
        <v>126</v>
      </c>
      <c r="M583" s="171"/>
      <c r="N583" s="172"/>
    </row>
    <row r="584" spans="1:14" ht="39">
      <c r="A584" s="230" t="s">
        <v>1073</v>
      </c>
      <c r="B584" s="159" t="s">
        <v>657</v>
      </c>
      <c r="C584" s="159" t="s">
        <v>390</v>
      </c>
      <c r="D584" s="159" t="s">
        <v>390</v>
      </c>
      <c r="E584" s="159" t="s">
        <v>867</v>
      </c>
      <c r="F584" s="159"/>
      <c r="G584" s="177"/>
      <c r="H584" s="177"/>
      <c r="I584" s="177"/>
      <c r="J584" s="170">
        <f>J585+J586</f>
        <v>166</v>
      </c>
      <c r="K584" s="170">
        <f>K585+K586</f>
        <v>-40</v>
      </c>
      <c r="L584" s="170">
        <f>L585+L586</f>
        <v>126</v>
      </c>
      <c r="M584" s="171"/>
      <c r="N584" s="172"/>
    </row>
    <row r="585" spans="1:14" ht="26.25">
      <c r="A585" s="230" t="s">
        <v>487</v>
      </c>
      <c r="B585" s="159" t="s">
        <v>657</v>
      </c>
      <c r="C585" s="159" t="s">
        <v>390</v>
      </c>
      <c r="D585" s="159" t="s">
        <v>390</v>
      </c>
      <c r="E585" s="159" t="s">
        <v>867</v>
      </c>
      <c r="F585" s="159" t="s">
        <v>485</v>
      </c>
      <c r="G585" s="177"/>
      <c r="H585" s="177"/>
      <c r="I585" s="177"/>
      <c r="J585" s="170">
        <v>166</v>
      </c>
      <c r="K585" s="170">
        <v>-166</v>
      </c>
      <c r="L585" s="170">
        <f>J585+K585</f>
        <v>0</v>
      </c>
      <c r="M585" s="171"/>
      <c r="N585" s="172"/>
    </row>
    <row r="586" spans="1:14" ht="27" customHeight="1">
      <c r="A586" s="213" t="s">
        <v>577</v>
      </c>
      <c r="B586" s="159" t="s">
        <v>657</v>
      </c>
      <c r="C586" s="159" t="s">
        <v>390</v>
      </c>
      <c r="D586" s="159" t="s">
        <v>390</v>
      </c>
      <c r="E586" s="159" t="s">
        <v>867</v>
      </c>
      <c r="F586" s="159" t="s">
        <v>579</v>
      </c>
      <c r="G586" s="177"/>
      <c r="H586" s="177"/>
      <c r="I586" s="177"/>
      <c r="J586" s="170"/>
      <c r="K586" s="170">
        <f>66+60</f>
        <v>126</v>
      </c>
      <c r="L586" s="170">
        <f>J586+K586</f>
        <v>126</v>
      </c>
      <c r="M586" s="178"/>
      <c r="N586" s="178"/>
    </row>
    <row r="587" spans="1:14" s="462" customFormat="1" ht="14.25">
      <c r="A587" s="229" t="s">
        <v>1074</v>
      </c>
      <c r="B587" s="168" t="s">
        <v>657</v>
      </c>
      <c r="C587" s="168" t="s">
        <v>410</v>
      </c>
      <c r="D587" s="168"/>
      <c r="E587" s="168"/>
      <c r="F587" s="168"/>
      <c r="G587" s="155" t="e">
        <f>G588+#REF!</f>
        <v>#REF!</v>
      </c>
      <c r="H587" s="155" t="e">
        <f>H588+#REF!</f>
        <v>#REF!</v>
      </c>
      <c r="I587" s="155" t="e">
        <f>I588+#REF!</f>
        <v>#REF!</v>
      </c>
      <c r="J587" s="161">
        <f>J588+J610</f>
        <v>6792.280000000001</v>
      </c>
      <c r="K587" s="161">
        <f>K588+K610</f>
        <v>364.99699999999973</v>
      </c>
      <c r="L587" s="161">
        <f>L588+L610</f>
        <v>7157.277</v>
      </c>
      <c r="M587" s="274" t="e">
        <f>M588+#REF!+M610</f>
        <v>#REF!</v>
      </c>
      <c r="N587" s="275" t="e">
        <f>N588+#REF!+N610</f>
        <v>#REF!</v>
      </c>
    </row>
    <row r="588" spans="1:14" s="340" customFormat="1" ht="14.25">
      <c r="A588" s="230" t="s">
        <v>426</v>
      </c>
      <c r="B588" s="168" t="s">
        <v>657</v>
      </c>
      <c r="C588" s="168" t="s">
        <v>410</v>
      </c>
      <c r="D588" s="168" t="s">
        <v>382</v>
      </c>
      <c r="E588" s="168"/>
      <c r="F588" s="168"/>
      <c r="G588" s="155">
        <f>G589+G596</f>
        <v>137.57999999999998</v>
      </c>
      <c r="H588" s="155">
        <f>H589+H596</f>
        <v>3820.25</v>
      </c>
      <c r="I588" s="155">
        <f>I589+I596</f>
        <v>0</v>
      </c>
      <c r="J588" s="161">
        <f>J589+J596+J606+J608</f>
        <v>4116.25</v>
      </c>
      <c r="K588" s="161">
        <f>K589+K596+K606+K608</f>
        <v>278.20599999999996</v>
      </c>
      <c r="L588" s="161">
        <f>L589+L596+L606+L608</f>
        <v>4394.456</v>
      </c>
      <c r="M588" s="188" t="e">
        <f>M589+M596</f>
        <v>#REF!</v>
      </c>
      <c r="N588" s="248" t="e">
        <f>N589+N596</f>
        <v>#REF!</v>
      </c>
    </row>
    <row r="589" spans="1:14" ht="15">
      <c r="A589" s="230" t="s">
        <v>874</v>
      </c>
      <c r="B589" s="159" t="s">
        <v>657</v>
      </c>
      <c r="C589" s="159" t="s">
        <v>410</v>
      </c>
      <c r="D589" s="159" t="s">
        <v>382</v>
      </c>
      <c r="E589" s="159" t="s">
        <v>875</v>
      </c>
      <c r="F589" s="159"/>
      <c r="G589" s="177">
        <f aca="true" t="shared" si="130" ref="G589:N589">G590</f>
        <v>67.58</v>
      </c>
      <c r="H589" s="177">
        <f t="shared" si="130"/>
        <v>2510.85</v>
      </c>
      <c r="I589" s="177">
        <f t="shared" si="130"/>
        <v>0</v>
      </c>
      <c r="J589" s="170">
        <f t="shared" si="130"/>
        <v>1218</v>
      </c>
      <c r="K589" s="170">
        <f t="shared" si="130"/>
        <v>25.807999999999993</v>
      </c>
      <c r="L589" s="170">
        <f>L590</f>
        <v>1243.808</v>
      </c>
      <c r="M589" s="171" t="e">
        <f t="shared" si="130"/>
        <v>#REF!</v>
      </c>
      <c r="N589" s="172" t="e">
        <f t="shared" si="130"/>
        <v>#REF!</v>
      </c>
    </row>
    <row r="590" spans="1:14" ht="26.25">
      <c r="A590" s="230" t="s">
        <v>497</v>
      </c>
      <c r="B590" s="159" t="s">
        <v>657</v>
      </c>
      <c r="C590" s="159" t="s">
        <v>410</v>
      </c>
      <c r="D590" s="159" t="s">
        <v>382</v>
      </c>
      <c r="E590" s="159" t="s">
        <v>876</v>
      </c>
      <c r="F590" s="159"/>
      <c r="G590" s="177">
        <f>G591</f>
        <v>67.58</v>
      </c>
      <c r="H590" s="177">
        <f>H591</f>
        <v>2510.85</v>
      </c>
      <c r="I590" s="177">
        <f>I591</f>
        <v>0</v>
      </c>
      <c r="J590" s="170">
        <f>J591+J592+J593+J594+J595</f>
        <v>1218</v>
      </c>
      <c r="K590" s="170">
        <f>K591+K592+K593+K594+K595</f>
        <v>25.807999999999993</v>
      </c>
      <c r="L590" s="170">
        <f>L591+L592+L593+L594+L595</f>
        <v>1243.808</v>
      </c>
      <c r="M590" s="171" t="e">
        <f>M591+#REF!+#REF!+M592+M593+M595+M594</f>
        <v>#REF!</v>
      </c>
      <c r="N590" s="211" t="e">
        <f>N591+#REF!+#REF!+N592+N593+N595+N594</f>
        <v>#REF!</v>
      </c>
    </row>
    <row r="591" spans="1:15" ht="26.25">
      <c r="A591" s="230" t="s">
        <v>493</v>
      </c>
      <c r="B591" s="159" t="s">
        <v>657</v>
      </c>
      <c r="C591" s="159" t="s">
        <v>410</v>
      </c>
      <c r="D591" s="159" t="s">
        <v>382</v>
      </c>
      <c r="E591" s="159" t="s">
        <v>876</v>
      </c>
      <c r="F591" s="159" t="s">
        <v>494</v>
      </c>
      <c r="G591" s="177">
        <f>67.58</f>
        <v>67.58</v>
      </c>
      <c r="H591" s="169">
        <v>2510.85</v>
      </c>
      <c r="I591" s="177"/>
      <c r="J591" s="170">
        <v>1218</v>
      </c>
      <c r="K591" s="170">
        <v>-1218</v>
      </c>
      <c r="L591" s="170">
        <f>J591+K591</f>
        <v>0</v>
      </c>
      <c r="M591" s="171">
        <f>-4-35</f>
        <v>-39</v>
      </c>
      <c r="N591" s="172">
        <f>L591+M591</f>
        <v>-39</v>
      </c>
      <c r="O591" s="455"/>
    </row>
    <row r="592" spans="1:15" ht="15.75" customHeight="1">
      <c r="A592" s="213" t="s">
        <v>584</v>
      </c>
      <c r="B592" s="159" t="s">
        <v>657</v>
      </c>
      <c r="C592" s="159" t="s">
        <v>410</v>
      </c>
      <c r="D592" s="159" t="s">
        <v>382</v>
      </c>
      <c r="E592" s="159" t="s">
        <v>876</v>
      </c>
      <c r="F592" s="159" t="s">
        <v>585</v>
      </c>
      <c r="G592" s="177"/>
      <c r="H592" s="169"/>
      <c r="I592" s="177"/>
      <c r="J592" s="170"/>
      <c r="K592" s="170">
        <f>544.4+164.408</f>
        <v>708.808</v>
      </c>
      <c r="L592" s="170">
        <f>J592+K592</f>
        <v>708.808</v>
      </c>
      <c r="M592" s="171"/>
      <c r="N592" s="172"/>
      <c r="O592" s="455"/>
    </row>
    <row r="593" spans="1:15" ht="30" customHeight="1" hidden="1">
      <c r="A593" s="213" t="s">
        <v>587</v>
      </c>
      <c r="B593" s="159" t="s">
        <v>657</v>
      </c>
      <c r="C593" s="159" t="s">
        <v>410</v>
      </c>
      <c r="D593" s="159" t="s">
        <v>382</v>
      </c>
      <c r="E593" s="159" t="s">
        <v>876</v>
      </c>
      <c r="F593" s="159" t="s">
        <v>588</v>
      </c>
      <c r="G593" s="177"/>
      <c r="H593" s="169"/>
      <c r="I593" s="177"/>
      <c r="J593" s="170"/>
      <c r="K593" s="170"/>
      <c r="L593" s="170">
        <f>J593+K593</f>
        <v>0</v>
      </c>
      <c r="M593" s="171"/>
      <c r="N593" s="172"/>
      <c r="O593" s="455"/>
    </row>
    <row r="594" spans="1:15" ht="30" customHeight="1" hidden="1">
      <c r="A594" s="213" t="s">
        <v>591</v>
      </c>
      <c r="B594" s="159" t="s">
        <v>657</v>
      </c>
      <c r="C594" s="159" t="s">
        <v>410</v>
      </c>
      <c r="D594" s="159" t="s">
        <v>382</v>
      </c>
      <c r="E594" s="159" t="s">
        <v>876</v>
      </c>
      <c r="F594" s="159" t="s">
        <v>592</v>
      </c>
      <c r="G594" s="177"/>
      <c r="H594" s="169"/>
      <c r="I594" s="177"/>
      <c r="J594" s="170"/>
      <c r="K594" s="170"/>
      <c r="L594" s="170">
        <f>J594+K594</f>
        <v>0</v>
      </c>
      <c r="M594" s="171"/>
      <c r="N594" s="172"/>
      <c r="O594" s="455"/>
    </row>
    <row r="595" spans="1:15" ht="30" customHeight="1">
      <c r="A595" s="213" t="s">
        <v>577</v>
      </c>
      <c r="B595" s="159" t="s">
        <v>657</v>
      </c>
      <c r="C595" s="159" t="s">
        <v>410</v>
      </c>
      <c r="D595" s="159" t="s">
        <v>382</v>
      </c>
      <c r="E595" s="159" t="s">
        <v>876</v>
      </c>
      <c r="F595" s="159" t="s">
        <v>579</v>
      </c>
      <c r="G595" s="177"/>
      <c r="H595" s="169"/>
      <c r="I595" s="177"/>
      <c r="J595" s="170"/>
      <c r="K595" s="170">
        <f>1243.808-708.808</f>
        <v>535</v>
      </c>
      <c r="L595" s="170">
        <f>J595+K595</f>
        <v>535</v>
      </c>
      <c r="M595" s="171"/>
      <c r="N595" s="172"/>
      <c r="O595" s="455"/>
    </row>
    <row r="596" spans="1:14" ht="26.25">
      <c r="A596" s="230" t="s">
        <v>877</v>
      </c>
      <c r="B596" s="159" t="s">
        <v>657</v>
      </c>
      <c r="C596" s="159" t="s">
        <v>410</v>
      </c>
      <c r="D596" s="159" t="s">
        <v>382</v>
      </c>
      <c r="E596" s="159" t="s">
        <v>878</v>
      </c>
      <c r="F596" s="159"/>
      <c r="G596" s="177">
        <f aca="true" t="shared" si="131" ref="G596:M596">G597+G603</f>
        <v>70</v>
      </c>
      <c r="H596" s="177">
        <f t="shared" si="131"/>
        <v>1309.4</v>
      </c>
      <c r="I596" s="177">
        <f t="shared" si="131"/>
        <v>0</v>
      </c>
      <c r="J596" s="170">
        <f t="shared" si="131"/>
        <v>2854.75</v>
      </c>
      <c r="K596" s="170">
        <f t="shared" si="131"/>
        <v>259.09799999999996</v>
      </c>
      <c r="L596" s="170">
        <f>L597+L603</f>
        <v>3113.848</v>
      </c>
      <c r="M596" s="171">
        <f t="shared" si="131"/>
        <v>90</v>
      </c>
      <c r="N596" s="172">
        <f>N597+N603</f>
        <v>90</v>
      </c>
    </row>
    <row r="597" spans="1:14" ht="26.25">
      <c r="A597" s="230" t="s">
        <v>497</v>
      </c>
      <c r="B597" s="159" t="s">
        <v>657</v>
      </c>
      <c r="C597" s="159" t="s">
        <v>410</v>
      </c>
      <c r="D597" s="159" t="s">
        <v>382</v>
      </c>
      <c r="E597" s="159" t="s">
        <v>879</v>
      </c>
      <c r="F597" s="159"/>
      <c r="G597" s="177">
        <f>G598</f>
        <v>70</v>
      </c>
      <c r="H597" s="177">
        <f>H598</f>
        <v>1274.4</v>
      </c>
      <c r="I597" s="177">
        <f>I598</f>
        <v>0</v>
      </c>
      <c r="J597" s="170">
        <f>J598+J600+J602+J599+J601</f>
        <v>2816.75</v>
      </c>
      <c r="K597" s="170">
        <f>K598+K600+K602+K599+K601</f>
        <v>259.09799999999996</v>
      </c>
      <c r="L597" s="170">
        <f>L598+L600+L602+L599+L601</f>
        <v>3075.848</v>
      </c>
      <c r="M597" s="171">
        <f>M598+M600+M602+M599+M601</f>
        <v>90</v>
      </c>
      <c r="N597" s="171">
        <f>N598+N600+N602+N599+N601</f>
        <v>90</v>
      </c>
    </row>
    <row r="598" spans="1:15" ht="26.25">
      <c r="A598" s="230" t="s">
        <v>493</v>
      </c>
      <c r="B598" s="159" t="s">
        <v>657</v>
      </c>
      <c r="C598" s="159" t="s">
        <v>410</v>
      </c>
      <c r="D598" s="159" t="s">
        <v>382</v>
      </c>
      <c r="E598" s="159" t="s">
        <v>879</v>
      </c>
      <c r="F598" s="159" t="s">
        <v>494</v>
      </c>
      <c r="G598" s="177">
        <f>10+60</f>
        <v>70</v>
      </c>
      <c r="H598" s="169">
        <v>1274.4</v>
      </c>
      <c r="I598" s="177"/>
      <c r="J598" s="170">
        <v>2816.75</v>
      </c>
      <c r="K598" s="170">
        <v>-2816.75</v>
      </c>
      <c r="L598" s="170">
        <f>J598+K598</f>
        <v>0</v>
      </c>
      <c r="M598" s="171">
        <v>90</v>
      </c>
      <c r="N598" s="172">
        <f>L598+M598</f>
        <v>90</v>
      </c>
      <c r="O598" s="289"/>
    </row>
    <row r="599" spans="1:15" ht="15">
      <c r="A599" s="213" t="s">
        <v>871</v>
      </c>
      <c r="B599" s="159" t="s">
        <v>657</v>
      </c>
      <c r="C599" s="159" t="s">
        <v>410</v>
      </c>
      <c r="D599" s="159" t="s">
        <v>382</v>
      </c>
      <c r="E599" s="159" t="s">
        <v>879</v>
      </c>
      <c r="F599" s="159" t="s">
        <v>585</v>
      </c>
      <c r="G599" s="177"/>
      <c r="H599" s="169"/>
      <c r="I599" s="177"/>
      <c r="J599" s="170"/>
      <c r="K599" s="170">
        <f>1566.55+473.098</f>
        <v>2039.648</v>
      </c>
      <c r="L599" s="170">
        <f>J599+K599</f>
        <v>2039.648</v>
      </c>
      <c r="M599" s="171"/>
      <c r="N599" s="172"/>
      <c r="O599" s="289"/>
    </row>
    <row r="600" spans="1:15" ht="25.5">
      <c r="A600" s="213" t="s">
        <v>664</v>
      </c>
      <c r="B600" s="159" t="s">
        <v>657</v>
      </c>
      <c r="C600" s="159" t="s">
        <v>410</v>
      </c>
      <c r="D600" s="159" t="s">
        <v>382</v>
      </c>
      <c r="E600" s="159" t="s">
        <v>879</v>
      </c>
      <c r="F600" s="159" t="s">
        <v>588</v>
      </c>
      <c r="G600" s="177"/>
      <c r="H600" s="169"/>
      <c r="I600" s="177"/>
      <c r="J600" s="170"/>
      <c r="K600" s="170">
        <v>80</v>
      </c>
      <c r="L600" s="170">
        <f>J600+K600</f>
        <v>80</v>
      </c>
      <c r="M600" s="171"/>
      <c r="N600" s="172"/>
      <c r="O600" s="289"/>
    </row>
    <row r="601" spans="1:15" ht="39" customHeight="1" hidden="1">
      <c r="A601" s="213" t="s">
        <v>591</v>
      </c>
      <c r="B601" s="159" t="s">
        <v>657</v>
      </c>
      <c r="C601" s="159" t="s">
        <v>410</v>
      </c>
      <c r="D601" s="159" t="s">
        <v>382</v>
      </c>
      <c r="E601" s="159" t="s">
        <v>879</v>
      </c>
      <c r="F601" s="159" t="s">
        <v>592</v>
      </c>
      <c r="G601" s="177"/>
      <c r="H601" s="169"/>
      <c r="I601" s="177"/>
      <c r="J601" s="170"/>
      <c r="K601" s="170"/>
      <c r="L601" s="170">
        <f>J601+K601</f>
        <v>0</v>
      </c>
      <c r="M601" s="171"/>
      <c r="N601" s="172"/>
      <c r="O601" s="289"/>
    </row>
    <row r="602" spans="1:15" ht="25.5">
      <c r="A602" s="213" t="s">
        <v>665</v>
      </c>
      <c r="B602" s="159" t="s">
        <v>657</v>
      </c>
      <c r="C602" s="159" t="s">
        <v>410</v>
      </c>
      <c r="D602" s="159" t="s">
        <v>382</v>
      </c>
      <c r="E602" s="159" t="s">
        <v>879</v>
      </c>
      <c r="F602" s="159" t="s">
        <v>579</v>
      </c>
      <c r="G602" s="177"/>
      <c r="H602" s="169"/>
      <c r="I602" s="177"/>
      <c r="J602" s="170"/>
      <c r="K602" s="170">
        <f>3075.848-2039.648-80</f>
        <v>956.2</v>
      </c>
      <c r="L602" s="170">
        <f>J602+K602</f>
        <v>956.2</v>
      </c>
      <c r="M602" s="171"/>
      <c r="N602" s="172"/>
      <c r="O602" s="289"/>
    </row>
    <row r="603" spans="1:14" ht="26.25">
      <c r="A603" s="230" t="s">
        <v>497</v>
      </c>
      <c r="B603" s="159" t="s">
        <v>657</v>
      </c>
      <c r="C603" s="159" t="s">
        <v>410</v>
      </c>
      <c r="D603" s="159" t="s">
        <v>382</v>
      </c>
      <c r="E603" s="159" t="s">
        <v>880</v>
      </c>
      <c r="F603" s="159"/>
      <c r="G603" s="177">
        <f aca="true" t="shared" si="132" ref="G603:N603">G604</f>
        <v>0</v>
      </c>
      <c r="H603" s="169">
        <f t="shared" si="132"/>
        <v>35</v>
      </c>
      <c r="I603" s="177">
        <f t="shared" si="132"/>
        <v>0</v>
      </c>
      <c r="J603" s="170">
        <f>J604+J605</f>
        <v>38</v>
      </c>
      <c r="K603" s="170">
        <f>K604+K605</f>
        <v>0</v>
      </c>
      <c r="L603" s="170">
        <f>L604+L605</f>
        <v>38</v>
      </c>
      <c r="M603" s="171">
        <f t="shared" si="132"/>
        <v>0</v>
      </c>
      <c r="N603" s="172">
        <f t="shared" si="132"/>
        <v>0</v>
      </c>
    </row>
    <row r="604" spans="1:14" ht="26.25">
      <c r="A604" s="230" t="s">
        <v>493</v>
      </c>
      <c r="B604" s="159" t="s">
        <v>657</v>
      </c>
      <c r="C604" s="159" t="s">
        <v>410</v>
      </c>
      <c r="D604" s="159" t="s">
        <v>382</v>
      </c>
      <c r="E604" s="159" t="s">
        <v>880</v>
      </c>
      <c r="F604" s="159" t="s">
        <v>494</v>
      </c>
      <c r="G604" s="177"/>
      <c r="H604" s="169">
        <v>35</v>
      </c>
      <c r="I604" s="177"/>
      <c r="J604" s="170">
        <v>38</v>
      </c>
      <c r="K604" s="170">
        <v>-38</v>
      </c>
      <c r="L604" s="170">
        <f>J604+K604</f>
        <v>0</v>
      </c>
      <c r="M604" s="171"/>
      <c r="N604" s="172">
        <f>L604+M604</f>
        <v>0</v>
      </c>
    </row>
    <row r="605" spans="1:14" ht="25.5">
      <c r="A605" s="213" t="s">
        <v>665</v>
      </c>
      <c r="B605" s="159" t="s">
        <v>657</v>
      </c>
      <c r="C605" s="159" t="s">
        <v>410</v>
      </c>
      <c r="D605" s="159" t="s">
        <v>382</v>
      </c>
      <c r="E605" s="159" t="s">
        <v>880</v>
      </c>
      <c r="F605" s="159" t="s">
        <v>579</v>
      </c>
      <c r="G605" s="177"/>
      <c r="H605" s="169"/>
      <c r="I605" s="177"/>
      <c r="J605" s="170"/>
      <c r="K605" s="170">
        <v>38</v>
      </c>
      <c r="L605" s="170">
        <f>J605+K605</f>
        <v>38</v>
      </c>
      <c r="M605" s="171"/>
      <c r="N605" s="172"/>
    </row>
    <row r="606" spans="1:14" ht="26.25">
      <c r="A606" s="230" t="s">
        <v>881</v>
      </c>
      <c r="B606" s="159" t="s">
        <v>657</v>
      </c>
      <c r="C606" s="159" t="s">
        <v>410</v>
      </c>
      <c r="D606" s="159" t="s">
        <v>382</v>
      </c>
      <c r="E606" s="159" t="s">
        <v>882</v>
      </c>
      <c r="F606" s="159"/>
      <c r="G606" s="177"/>
      <c r="H606" s="169"/>
      <c r="I606" s="177"/>
      <c r="J606" s="170">
        <f>J607</f>
        <v>43.5</v>
      </c>
      <c r="K606" s="170">
        <f>K607</f>
        <v>-43.5</v>
      </c>
      <c r="L606" s="170">
        <f>L607</f>
        <v>0</v>
      </c>
      <c r="M606" s="171"/>
      <c r="N606" s="172"/>
    </row>
    <row r="607" spans="1:14" ht="26.25">
      <c r="A607" s="230" t="s">
        <v>493</v>
      </c>
      <c r="B607" s="159" t="s">
        <v>657</v>
      </c>
      <c r="C607" s="159" t="s">
        <v>410</v>
      </c>
      <c r="D607" s="159" t="s">
        <v>382</v>
      </c>
      <c r="E607" s="159" t="s">
        <v>882</v>
      </c>
      <c r="F607" s="159" t="s">
        <v>494</v>
      </c>
      <c r="G607" s="177"/>
      <c r="H607" s="169"/>
      <c r="I607" s="177"/>
      <c r="J607" s="170">
        <v>43.5</v>
      </c>
      <c r="K607" s="170">
        <v>-43.5</v>
      </c>
      <c r="L607" s="170">
        <f>J607+K607</f>
        <v>0</v>
      </c>
      <c r="M607" s="171"/>
      <c r="N607" s="172"/>
    </row>
    <row r="608" spans="1:14" ht="26.25">
      <c r="A608" s="230" t="s">
        <v>991</v>
      </c>
      <c r="B608" s="159" t="s">
        <v>657</v>
      </c>
      <c r="C608" s="159" t="s">
        <v>410</v>
      </c>
      <c r="D608" s="159" t="s">
        <v>382</v>
      </c>
      <c r="E608" s="159" t="s">
        <v>992</v>
      </c>
      <c r="F608" s="159"/>
      <c r="G608" s="170">
        <f aca="true" t="shared" si="133" ref="G608:L608">G609</f>
        <v>0</v>
      </c>
      <c r="H608" s="170">
        <f t="shared" si="133"/>
        <v>0</v>
      </c>
      <c r="I608" s="170">
        <f t="shared" si="133"/>
        <v>0</v>
      </c>
      <c r="J608" s="170">
        <f t="shared" si="133"/>
        <v>0</v>
      </c>
      <c r="K608" s="170">
        <f t="shared" si="133"/>
        <v>36.8</v>
      </c>
      <c r="L608" s="170">
        <f t="shared" si="133"/>
        <v>36.8</v>
      </c>
      <c r="M608" s="171"/>
      <c r="N608" s="172"/>
    </row>
    <row r="609" spans="1:14" ht="25.5">
      <c r="A609" s="213" t="s">
        <v>665</v>
      </c>
      <c r="B609" s="159" t="s">
        <v>657</v>
      </c>
      <c r="C609" s="159" t="s">
        <v>410</v>
      </c>
      <c r="D609" s="159" t="s">
        <v>382</v>
      </c>
      <c r="E609" s="159" t="s">
        <v>992</v>
      </c>
      <c r="F609" s="159" t="s">
        <v>579</v>
      </c>
      <c r="G609" s="177"/>
      <c r="H609" s="169"/>
      <c r="I609" s="177"/>
      <c r="J609" s="170"/>
      <c r="K609" s="170">
        <f>43.5-43.5+36.8</f>
        <v>36.8</v>
      </c>
      <c r="L609" s="170">
        <f>J609+K609</f>
        <v>36.8</v>
      </c>
      <c r="M609" s="171"/>
      <c r="N609" s="172"/>
    </row>
    <row r="610" spans="1:14" ht="26.25">
      <c r="A610" s="229" t="s">
        <v>883</v>
      </c>
      <c r="B610" s="168" t="s">
        <v>657</v>
      </c>
      <c r="C610" s="168" t="s">
        <v>410</v>
      </c>
      <c r="D610" s="168" t="s">
        <v>385</v>
      </c>
      <c r="E610" s="168"/>
      <c r="F610" s="168"/>
      <c r="G610" s="155">
        <f aca="true" t="shared" si="134" ref="G610:L612">G611</f>
        <v>0</v>
      </c>
      <c r="H610" s="155">
        <f t="shared" si="134"/>
        <v>1780.9</v>
      </c>
      <c r="I610" s="155">
        <f t="shared" si="134"/>
        <v>0</v>
      </c>
      <c r="J610" s="161">
        <f t="shared" si="134"/>
        <v>2676.03</v>
      </c>
      <c r="K610" s="161">
        <f t="shared" si="134"/>
        <v>86.79099999999978</v>
      </c>
      <c r="L610" s="161">
        <f t="shared" si="134"/>
        <v>2762.821</v>
      </c>
      <c r="M610" s="171"/>
      <c r="N610" s="172"/>
    </row>
    <row r="611" spans="1:14" ht="39">
      <c r="A611" s="230" t="s">
        <v>862</v>
      </c>
      <c r="B611" s="159" t="s">
        <v>657</v>
      </c>
      <c r="C611" s="159" t="s">
        <v>410</v>
      </c>
      <c r="D611" s="159" t="s">
        <v>385</v>
      </c>
      <c r="E611" s="159" t="s">
        <v>527</v>
      </c>
      <c r="F611" s="159"/>
      <c r="G611" s="177">
        <f t="shared" si="134"/>
        <v>0</v>
      </c>
      <c r="H611" s="177">
        <f t="shared" si="134"/>
        <v>1780.9</v>
      </c>
      <c r="I611" s="177">
        <f t="shared" si="134"/>
        <v>0</v>
      </c>
      <c r="J611" s="170">
        <f t="shared" si="134"/>
        <v>2676.03</v>
      </c>
      <c r="K611" s="170">
        <f t="shared" si="134"/>
        <v>86.79099999999978</v>
      </c>
      <c r="L611" s="170">
        <f>L612</f>
        <v>2762.821</v>
      </c>
      <c r="M611" s="171"/>
      <c r="N611" s="172"/>
    </row>
    <row r="612" spans="1:14" ht="26.25">
      <c r="A612" s="230" t="s">
        <v>497</v>
      </c>
      <c r="B612" s="159" t="s">
        <v>657</v>
      </c>
      <c r="C612" s="159" t="s">
        <v>410</v>
      </c>
      <c r="D612" s="159" t="s">
        <v>385</v>
      </c>
      <c r="E612" s="159" t="s">
        <v>528</v>
      </c>
      <c r="F612" s="159"/>
      <c r="G612" s="177">
        <f t="shared" si="134"/>
        <v>0</v>
      </c>
      <c r="H612" s="177">
        <f t="shared" si="134"/>
        <v>1780.9</v>
      </c>
      <c r="I612" s="177">
        <f t="shared" si="134"/>
        <v>0</v>
      </c>
      <c r="J612" s="170">
        <f>J613+J614+J615+J617+J616</f>
        <v>2676.03</v>
      </c>
      <c r="K612" s="170">
        <f>K613+K614+K615+K617+K616</f>
        <v>86.79099999999978</v>
      </c>
      <c r="L612" s="170">
        <f>L613+L614+L615+L617+L616</f>
        <v>2762.821</v>
      </c>
      <c r="M612" s="171"/>
      <c r="N612" s="172"/>
    </row>
    <row r="613" spans="1:14" ht="26.25">
      <c r="A613" s="230" t="s">
        <v>493</v>
      </c>
      <c r="B613" s="159" t="s">
        <v>657</v>
      </c>
      <c r="C613" s="159" t="s">
        <v>410</v>
      </c>
      <c r="D613" s="159" t="s">
        <v>385</v>
      </c>
      <c r="E613" s="159" t="s">
        <v>528</v>
      </c>
      <c r="F613" s="159" t="s">
        <v>494</v>
      </c>
      <c r="G613" s="177"/>
      <c r="H613" s="169">
        <v>1780.9</v>
      </c>
      <c r="I613" s="177"/>
      <c r="J613" s="170">
        <v>2676.03</v>
      </c>
      <c r="K613" s="170">
        <v>-2676.03</v>
      </c>
      <c r="L613" s="170">
        <f>J613+K613</f>
        <v>0</v>
      </c>
      <c r="M613" s="171"/>
      <c r="N613" s="172"/>
    </row>
    <row r="614" spans="1:14" ht="15.75" thickBot="1">
      <c r="A614" s="213" t="s">
        <v>871</v>
      </c>
      <c r="B614" s="159" t="s">
        <v>657</v>
      </c>
      <c r="C614" s="159" t="s">
        <v>410</v>
      </c>
      <c r="D614" s="159" t="s">
        <v>385</v>
      </c>
      <c r="E614" s="159" t="s">
        <v>528</v>
      </c>
      <c r="F614" s="159" t="s">
        <v>585</v>
      </c>
      <c r="G614" s="177"/>
      <c r="H614" s="169"/>
      <c r="I614" s="177"/>
      <c r="J614" s="170"/>
      <c r="K614" s="170">
        <f>1676.819+573.428-315.647</f>
        <v>1934.6</v>
      </c>
      <c r="L614" s="170">
        <f>J614+K614</f>
        <v>1934.6</v>
      </c>
      <c r="M614" s="276"/>
      <c r="N614" s="267"/>
    </row>
    <row r="615" spans="1:14" ht="26.25" hidden="1" thickBot="1">
      <c r="A615" s="213" t="s">
        <v>664</v>
      </c>
      <c r="B615" s="159" t="s">
        <v>657</v>
      </c>
      <c r="C615" s="159" t="s">
        <v>410</v>
      </c>
      <c r="D615" s="159" t="s">
        <v>385</v>
      </c>
      <c r="E615" s="159" t="s">
        <v>528</v>
      </c>
      <c r="F615" s="159" t="s">
        <v>588</v>
      </c>
      <c r="G615" s="177"/>
      <c r="H615" s="169"/>
      <c r="I615" s="177"/>
      <c r="J615" s="170"/>
      <c r="K615" s="170"/>
      <c r="L615" s="170">
        <f>J615+K615</f>
        <v>0</v>
      </c>
      <c r="M615" s="276"/>
      <c r="N615" s="267"/>
    </row>
    <row r="616" spans="1:14" ht="51.75" thickBot="1">
      <c r="A616" s="213" t="s">
        <v>591</v>
      </c>
      <c r="B616" s="159" t="s">
        <v>657</v>
      </c>
      <c r="C616" s="159" t="s">
        <v>410</v>
      </c>
      <c r="D616" s="159" t="s">
        <v>385</v>
      </c>
      <c r="E616" s="159" t="s">
        <v>528</v>
      </c>
      <c r="F616" s="159" t="s">
        <v>592</v>
      </c>
      <c r="G616" s="177"/>
      <c r="H616" s="169"/>
      <c r="I616" s="177"/>
      <c r="J616" s="170"/>
      <c r="K616" s="170">
        <v>82.83</v>
      </c>
      <c r="L616" s="170">
        <f>J616+K616</f>
        <v>82.83</v>
      </c>
      <c r="M616" s="276"/>
      <c r="N616" s="267"/>
    </row>
    <row r="617" spans="1:14" ht="26.25" thickBot="1">
      <c r="A617" s="213" t="s">
        <v>665</v>
      </c>
      <c r="B617" s="159" t="s">
        <v>657</v>
      </c>
      <c r="C617" s="159" t="s">
        <v>410</v>
      </c>
      <c r="D617" s="159" t="s">
        <v>385</v>
      </c>
      <c r="E617" s="159" t="s">
        <v>528</v>
      </c>
      <c r="F617" s="159" t="s">
        <v>579</v>
      </c>
      <c r="G617" s="177"/>
      <c r="H617" s="169"/>
      <c r="I617" s="177"/>
      <c r="J617" s="170"/>
      <c r="K617" s="170">
        <f>2360.471-1934.6-82.83+402.35</f>
        <v>745.3910000000001</v>
      </c>
      <c r="L617" s="170">
        <f>J617+K617</f>
        <v>745.3910000000001</v>
      </c>
      <c r="M617" s="276"/>
      <c r="N617" s="267"/>
    </row>
    <row r="618" spans="1:14" s="340" customFormat="1" ht="14.25">
      <c r="A618" s="231" t="s">
        <v>438</v>
      </c>
      <c r="B618" s="168" t="s">
        <v>657</v>
      </c>
      <c r="C618" s="168" t="s">
        <v>437</v>
      </c>
      <c r="D618" s="168" t="s">
        <v>641</v>
      </c>
      <c r="E618" s="168"/>
      <c r="F618" s="168"/>
      <c r="G618" s="155"/>
      <c r="H618" s="164"/>
      <c r="I618" s="155"/>
      <c r="J618" s="161">
        <f aca="true" t="shared" si="135" ref="J618:L619">J619</f>
        <v>0</v>
      </c>
      <c r="K618" s="161">
        <f t="shared" si="135"/>
        <v>321</v>
      </c>
      <c r="L618" s="161">
        <f t="shared" si="135"/>
        <v>321</v>
      </c>
      <c r="M618" s="398"/>
      <c r="N618" s="471"/>
    </row>
    <row r="619" spans="1:14" s="340" customFormat="1" ht="25.5">
      <c r="A619" s="272" t="s">
        <v>444</v>
      </c>
      <c r="B619" s="168" t="s">
        <v>657</v>
      </c>
      <c r="C619" s="168" t="s">
        <v>437</v>
      </c>
      <c r="D619" s="168" t="s">
        <v>388</v>
      </c>
      <c r="E619" s="168"/>
      <c r="F619" s="168"/>
      <c r="G619" s="155"/>
      <c r="H619" s="164"/>
      <c r="I619" s="155"/>
      <c r="J619" s="161">
        <f t="shared" si="135"/>
        <v>0</v>
      </c>
      <c r="K619" s="161">
        <f t="shared" si="135"/>
        <v>321</v>
      </c>
      <c r="L619" s="161">
        <f t="shared" si="135"/>
        <v>321</v>
      </c>
      <c r="M619" s="398"/>
      <c r="N619" s="471"/>
    </row>
    <row r="620" spans="1:14" ht="15">
      <c r="A620" s="230" t="s">
        <v>835</v>
      </c>
      <c r="B620" s="159" t="s">
        <v>657</v>
      </c>
      <c r="C620" s="159" t="s">
        <v>437</v>
      </c>
      <c r="D620" s="159" t="s">
        <v>388</v>
      </c>
      <c r="E620" s="159" t="s">
        <v>761</v>
      </c>
      <c r="F620" s="159"/>
      <c r="G620" s="177">
        <f aca="true" t="shared" si="136" ref="G620:M620">G621+G623</f>
        <v>75</v>
      </c>
      <c r="H620" s="177">
        <f t="shared" si="136"/>
        <v>62.88</v>
      </c>
      <c r="I620" s="177">
        <f t="shared" si="136"/>
        <v>0</v>
      </c>
      <c r="J620" s="170">
        <f t="shared" si="136"/>
        <v>0</v>
      </c>
      <c r="K620" s="170">
        <f t="shared" si="136"/>
        <v>321</v>
      </c>
      <c r="L620" s="170">
        <f t="shared" si="136"/>
        <v>321</v>
      </c>
      <c r="M620" s="171">
        <f t="shared" si="136"/>
        <v>40</v>
      </c>
      <c r="N620" s="172">
        <f>N621+N623</f>
        <v>361</v>
      </c>
    </row>
    <row r="621" spans="1:14" ht="39">
      <c r="A621" s="173" t="s">
        <v>762</v>
      </c>
      <c r="B621" s="159" t="s">
        <v>657</v>
      </c>
      <c r="C621" s="159" t="s">
        <v>437</v>
      </c>
      <c r="D621" s="159" t="s">
        <v>388</v>
      </c>
      <c r="E621" s="159" t="s">
        <v>763</v>
      </c>
      <c r="F621" s="159"/>
      <c r="G621" s="177">
        <f aca="true" t="shared" si="137" ref="G621:N621">G622</f>
        <v>35</v>
      </c>
      <c r="H621" s="177">
        <f t="shared" si="137"/>
        <v>62.88</v>
      </c>
      <c r="I621" s="177">
        <f t="shared" si="137"/>
        <v>0</v>
      </c>
      <c r="J621" s="170">
        <f t="shared" si="137"/>
        <v>0</v>
      </c>
      <c r="K621" s="170">
        <f t="shared" si="137"/>
        <v>321</v>
      </c>
      <c r="L621" s="170">
        <f t="shared" si="137"/>
        <v>321</v>
      </c>
      <c r="M621" s="171">
        <f t="shared" si="137"/>
        <v>40</v>
      </c>
      <c r="N621" s="172">
        <f t="shared" si="137"/>
        <v>361</v>
      </c>
    </row>
    <row r="622" spans="1:14" ht="38.25">
      <c r="A622" s="213" t="s">
        <v>577</v>
      </c>
      <c r="B622" s="159" t="s">
        <v>657</v>
      </c>
      <c r="C622" s="159" t="s">
        <v>437</v>
      </c>
      <c r="D622" s="159" t="s">
        <v>388</v>
      </c>
      <c r="E622" s="159" t="s">
        <v>763</v>
      </c>
      <c r="F622" s="159" t="s">
        <v>579</v>
      </c>
      <c r="G622" s="177">
        <f>15.4+19.6</f>
        <v>35</v>
      </c>
      <c r="H622" s="169">
        <v>62.88</v>
      </c>
      <c r="I622" s="177"/>
      <c r="J622" s="170"/>
      <c r="K622" s="170">
        <v>321</v>
      </c>
      <c r="L622" s="170">
        <f>J622+K622</f>
        <v>321</v>
      </c>
      <c r="M622" s="171">
        <f>40</f>
        <v>40</v>
      </c>
      <c r="N622" s="172">
        <f>L622+M622</f>
        <v>361</v>
      </c>
    </row>
    <row r="623" spans="1:14" ht="30" customHeight="1" hidden="1">
      <c r="A623" s="230" t="s">
        <v>765</v>
      </c>
      <c r="B623" s="159" t="s">
        <v>657</v>
      </c>
      <c r="C623" s="159" t="s">
        <v>437</v>
      </c>
      <c r="D623" s="159" t="s">
        <v>388</v>
      </c>
      <c r="E623" s="159" t="s">
        <v>766</v>
      </c>
      <c r="F623" s="159"/>
      <c r="G623" s="177">
        <f aca="true" t="shared" si="138" ref="G623:N623">G624</f>
        <v>40</v>
      </c>
      <c r="H623" s="169">
        <f t="shared" si="138"/>
        <v>0</v>
      </c>
      <c r="I623" s="177">
        <f t="shared" si="138"/>
        <v>0</v>
      </c>
      <c r="J623" s="170">
        <f t="shared" si="138"/>
        <v>0</v>
      </c>
      <c r="K623" s="170">
        <f t="shared" si="138"/>
        <v>0</v>
      </c>
      <c r="L623" s="170">
        <f t="shared" si="138"/>
        <v>0</v>
      </c>
      <c r="M623" s="171">
        <f t="shared" si="138"/>
        <v>0</v>
      </c>
      <c r="N623" s="172">
        <f t="shared" si="138"/>
        <v>0</v>
      </c>
    </row>
    <row r="624" spans="1:14" ht="38.25" hidden="1">
      <c r="A624" s="213" t="s">
        <v>577</v>
      </c>
      <c r="B624" s="159" t="s">
        <v>772</v>
      </c>
      <c r="C624" s="159" t="s">
        <v>437</v>
      </c>
      <c r="D624" s="159" t="s">
        <v>388</v>
      </c>
      <c r="E624" s="159" t="s">
        <v>766</v>
      </c>
      <c r="F624" s="159" t="s">
        <v>579</v>
      </c>
      <c r="G624" s="177">
        <v>40</v>
      </c>
      <c r="H624" s="169"/>
      <c r="I624" s="177"/>
      <c r="J624" s="170"/>
      <c r="K624" s="170"/>
      <c r="L624" s="170">
        <f>J624+K624</f>
        <v>0</v>
      </c>
      <c r="M624" s="171"/>
      <c r="N624" s="172">
        <f>L624+M624</f>
        <v>0</v>
      </c>
    </row>
    <row r="625" spans="1:14" ht="15.75" thickBot="1">
      <c r="A625" s="167" t="s">
        <v>434</v>
      </c>
      <c r="B625" s="168" t="s">
        <v>657</v>
      </c>
      <c r="C625" s="168" t="s">
        <v>392</v>
      </c>
      <c r="D625" s="159"/>
      <c r="E625" s="159"/>
      <c r="F625" s="159"/>
      <c r="G625" s="177"/>
      <c r="H625" s="169">
        <f>H626</f>
        <v>0</v>
      </c>
      <c r="I625" s="169">
        <f>I626</f>
        <v>0</v>
      </c>
      <c r="J625" s="161">
        <f>J626</f>
        <v>1000</v>
      </c>
      <c r="K625" s="161">
        <f>K626</f>
        <v>-600</v>
      </c>
      <c r="L625" s="161">
        <f>L626</f>
        <v>400</v>
      </c>
      <c r="M625" s="276"/>
      <c r="N625" s="267"/>
    </row>
    <row r="626" spans="1:14" ht="15.75" thickBot="1">
      <c r="A626" s="229" t="s">
        <v>886</v>
      </c>
      <c r="B626" s="168" t="s">
        <v>657</v>
      </c>
      <c r="C626" s="168" t="s">
        <v>392</v>
      </c>
      <c r="D626" s="168" t="s">
        <v>382</v>
      </c>
      <c r="E626" s="168"/>
      <c r="F626" s="168"/>
      <c r="G626" s="155">
        <f aca="true" t="shared" si="139" ref="G626:L628">G627</f>
        <v>0</v>
      </c>
      <c r="H626" s="155">
        <f t="shared" si="139"/>
        <v>0</v>
      </c>
      <c r="I626" s="155">
        <f t="shared" si="139"/>
        <v>0</v>
      </c>
      <c r="J626" s="161">
        <f t="shared" si="139"/>
        <v>1000</v>
      </c>
      <c r="K626" s="161">
        <f t="shared" si="139"/>
        <v>-600</v>
      </c>
      <c r="L626" s="161">
        <f t="shared" si="139"/>
        <v>400</v>
      </c>
      <c r="M626" s="276"/>
      <c r="N626" s="267"/>
    </row>
    <row r="627" spans="1:14" ht="27" thickBot="1">
      <c r="A627" s="230" t="s">
        <v>863</v>
      </c>
      <c r="B627" s="159" t="s">
        <v>657</v>
      </c>
      <c r="C627" s="159" t="s">
        <v>392</v>
      </c>
      <c r="D627" s="159" t="s">
        <v>382</v>
      </c>
      <c r="E627" s="159" t="s">
        <v>884</v>
      </c>
      <c r="F627" s="159"/>
      <c r="G627" s="177">
        <f t="shared" si="139"/>
        <v>0</v>
      </c>
      <c r="H627" s="177">
        <f t="shared" si="139"/>
        <v>0</v>
      </c>
      <c r="I627" s="177">
        <f t="shared" si="139"/>
        <v>0</v>
      </c>
      <c r="J627" s="170">
        <f t="shared" si="139"/>
        <v>1000</v>
      </c>
      <c r="K627" s="170">
        <f t="shared" si="139"/>
        <v>-600</v>
      </c>
      <c r="L627" s="170">
        <f t="shared" si="139"/>
        <v>400</v>
      </c>
      <c r="M627" s="276"/>
      <c r="N627" s="267"/>
    </row>
    <row r="628" spans="1:14" ht="26.25">
      <c r="A628" s="230" t="s">
        <v>887</v>
      </c>
      <c r="B628" s="159" t="s">
        <v>657</v>
      </c>
      <c r="C628" s="159" t="s">
        <v>392</v>
      </c>
      <c r="D628" s="159" t="s">
        <v>382</v>
      </c>
      <c r="E628" s="159" t="s">
        <v>885</v>
      </c>
      <c r="F628" s="159"/>
      <c r="G628" s="177">
        <f t="shared" si="139"/>
        <v>0</v>
      </c>
      <c r="H628" s="177">
        <f t="shared" si="139"/>
        <v>0</v>
      </c>
      <c r="I628" s="177">
        <f t="shared" si="139"/>
        <v>0</v>
      </c>
      <c r="J628" s="170">
        <f>J629+J630+J631</f>
        <v>1000</v>
      </c>
      <c r="K628" s="170">
        <f>K629+K630+K631</f>
        <v>-600</v>
      </c>
      <c r="L628" s="170">
        <f>L629+L630+L631</f>
        <v>400</v>
      </c>
      <c r="M628" s="171">
        <f>M629+M630+M631</f>
        <v>0</v>
      </c>
      <c r="N628" s="171">
        <f>N629+N630+N631</f>
        <v>0</v>
      </c>
    </row>
    <row r="629" spans="1:14" ht="27" thickBot="1">
      <c r="A629" s="230" t="s">
        <v>487</v>
      </c>
      <c r="B629" s="159" t="s">
        <v>657</v>
      </c>
      <c r="C629" s="159" t="s">
        <v>392</v>
      </c>
      <c r="D629" s="159" t="s">
        <v>382</v>
      </c>
      <c r="E629" s="159" t="s">
        <v>885</v>
      </c>
      <c r="F629" s="159" t="s">
        <v>485</v>
      </c>
      <c r="G629" s="177"/>
      <c r="H629" s="169"/>
      <c r="I629" s="177"/>
      <c r="J629" s="170">
        <v>1000</v>
      </c>
      <c r="K629" s="170">
        <v>-1000</v>
      </c>
      <c r="L629" s="170">
        <f>J629+K629</f>
        <v>0</v>
      </c>
      <c r="M629" s="276"/>
      <c r="N629" s="276"/>
    </row>
    <row r="630" spans="1:14" ht="26.25" thickBot="1">
      <c r="A630" s="213" t="s">
        <v>664</v>
      </c>
      <c r="B630" s="159" t="s">
        <v>657</v>
      </c>
      <c r="C630" s="159" t="s">
        <v>392</v>
      </c>
      <c r="D630" s="159" t="s">
        <v>382</v>
      </c>
      <c r="E630" s="159" t="s">
        <v>885</v>
      </c>
      <c r="F630" s="159" t="s">
        <v>588</v>
      </c>
      <c r="G630" s="177"/>
      <c r="H630" s="169"/>
      <c r="I630" s="177"/>
      <c r="J630" s="170"/>
      <c r="K630" s="170">
        <v>49</v>
      </c>
      <c r="L630" s="170">
        <f>J630+K630</f>
        <v>49</v>
      </c>
      <c r="M630" s="276"/>
      <c r="N630" s="276"/>
    </row>
    <row r="631" spans="1:14" ht="26.25" thickBot="1">
      <c r="A631" s="213" t="s">
        <v>665</v>
      </c>
      <c r="B631" s="159" t="s">
        <v>657</v>
      </c>
      <c r="C631" s="159" t="s">
        <v>392</v>
      </c>
      <c r="D631" s="159" t="s">
        <v>382</v>
      </c>
      <c r="E631" s="159" t="s">
        <v>885</v>
      </c>
      <c r="F631" s="159" t="s">
        <v>579</v>
      </c>
      <c r="G631" s="177"/>
      <c r="H631" s="169"/>
      <c r="I631" s="177"/>
      <c r="J631" s="170"/>
      <c r="K631" s="170">
        <v>351</v>
      </c>
      <c r="L631" s="170">
        <f>J631+K631</f>
        <v>351</v>
      </c>
      <c r="M631" s="276"/>
      <c r="N631" s="276"/>
    </row>
    <row r="632" spans="1:14" ht="15.75" thickBot="1">
      <c r="A632" s="230" t="s">
        <v>888</v>
      </c>
      <c r="B632" s="159"/>
      <c r="C632" s="159" t="s">
        <v>889</v>
      </c>
      <c r="D632" s="159" t="s">
        <v>889</v>
      </c>
      <c r="E632" s="159" t="s">
        <v>890</v>
      </c>
      <c r="F632" s="159" t="s">
        <v>891</v>
      </c>
      <c r="G632" s="177"/>
      <c r="H632" s="169"/>
      <c r="I632" s="177"/>
      <c r="J632" s="170">
        <v>9647.17</v>
      </c>
      <c r="K632" s="170">
        <v>-9647.17</v>
      </c>
      <c r="L632" s="170">
        <f>J632+K632</f>
        <v>0</v>
      </c>
      <c r="M632" s="276"/>
      <c r="N632" s="267"/>
    </row>
    <row r="633" spans="1:18" s="477" customFormat="1" ht="13.5" customHeight="1" thickBot="1">
      <c r="A633" s="472" t="s">
        <v>892</v>
      </c>
      <c r="B633" s="473"/>
      <c r="C633" s="473"/>
      <c r="D633" s="473"/>
      <c r="E633" s="473"/>
      <c r="F633" s="473"/>
      <c r="G633" s="474" t="e">
        <f>G11+G90+G184+G287+G373+G380+G571</f>
        <v>#REF!</v>
      </c>
      <c r="H633" s="475" t="e">
        <f>H11+H90+H184+H287+H373+H380+H571</f>
        <v>#REF!</v>
      </c>
      <c r="I633" s="474" t="e">
        <f>I11+I90+I184+I287+I373+I380+I571</f>
        <v>#REF!</v>
      </c>
      <c r="J633" s="541">
        <f>J11+J90+J184+J287+J373+J380+J571+J632</f>
        <v>371045.14999999997</v>
      </c>
      <c r="K633" s="542">
        <f>K11+K90+K184+K287+K373+K380+K571+K632</f>
        <v>-61614.929999999986</v>
      </c>
      <c r="L633" s="475">
        <f>L11+L90+L184+L287+L373+L380+L571+L632</f>
        <v>309430.22</v>
      </c>
      <c r="M633" s="277" t="e">
        <f>M11+M90+M184+M287+M373+M380+M571</f>
        <v>#REF!</v>
      </c>
      <c r="N633" s="278" t="e">
        <f>N11+N90+N184+N287+N373+N380+N571</f>
        <v>#REF!</v>
      </c>
      <c r="O633" s="476"/>
      <c r="P633" s="477">
        <v>349447.45</v>
      </c>
      <c r="Q633" s="478">
        <v>371045.15</v>
      </c>
      <c r="R633" s="478">
        <v>369911.81</v>
      </c>
    </row>
    <row r="634" spans="1:18" s="477" customFormat="1" ht="13.5" customHeight="1">
      <c r="A634" s="479"/>
      <c r="B634" s="480"/>
      <c r="C634" s="480"/>
      <c r="D634" s="480"/>
      <c r="E634" s="480"/>
      <c r="F634" s="480"/>
      <c r="G634" s="481"/>
      <c r="H634" s="284"/>
      <c r="I634" s="481"/>
      <c r="J634" s="427">
        <v>371045.15</v>
      </c>
      <c r="K634" s="427">
        <f>SUM(K635:K638)</f>
        <v>-98821.78</v>
      </c>
      <c r="L634" s="427">
        <f>J634-(-K634)</f>
        <v>272223.37</v>
      </c>
      <c r="M634" s="284"/>
      <c r="N634" s="284"/>
      <c r="O634" s="476"/>
      <c r="Q634" s="478"/>
      <c r="R634" s="478"/>
    </row>
    <row r="635" spans="1:18" ht="15">
      <c r="A635" s="482" t="s">
        <v>476</v>
      </c>
      <c r="B635" s="288"/>
      <c r="C635" s="288"/>
      <c r="D635" s="288"/>
      <c r="E635" s="288"/>
      <c r="F635" s="288"/>
      <c r="G635" s="288"/>
      <c r="H635" s="287"/>
      <c r="I635" s="288"/>
      <c r="J635" s="428">
        <f>J633-J634</f>
        <v>0</v>
      </c>
      <c r="K635" s="428">
        <v>-16098.35</v>
      </c>
      <c r="L635" s="428">
        <f>L633-L634</f>
        <v>37206.84999999998</v>
      </c>
      <c r="N635" s="289"/>
      <c r="P635" s="448" t="e">
        <f>P633-#REF!</f>
        <v>#REF!</v>
      </c>
      <c r="Q635" s="289">
        <f>L635+8002.4</f>
        <v>45209.24999999998</v>
      </c>
      <c r="R635" s="289" t="e">
        <f>#REF!+8002.4</f>
        <v>#REF!</v>
      </c>
    </row>
    <row r="636" spans="1:18" ht="25.5" customHeight="1">
      <c r="A636" s="483" t="s">
        <v>700</v>
      </c>
      <c r="B636" s="288"/>
      <c r="C636" s="288"/>
      <c r="D636" s="288"/>
      <c r="E636" s="288"/>
      <c r="F636" s="288"/>
      <c r="G636" s="288"/>
      <c r="H636" s="287"/>
      <c r="I636" s="288"/>
      <c r="J636" s="428"/>
      <c r="K636" s="428">
        <v>-57415.78</v>
      </c>
      <c r="L636" s="431">
        <f>283315.42+1800</f>
        <v>285115.42</v>
      </c>
      <c r="N636" s="289"/>
      <c r="O636" s="152" t="s">
        <v>893</v>
      </c>
      <c r="P636" s="448" t="e">
        <f>P635+#REF!</f>
        <v>#REF!</v>
      </c>
      <c r="Q636" s="289">
        <f>Q633-Q635</f>
        <v>325835.9</v>
      </c>
      <c r="R636" s="289" t="e">
        <f>R633-R635</f>
        <v>#REF!</v>
      </c>
    </row>
    <row r="637" spans="1:18" ht="15.75" customHeight="1">
      <c r="A637" s="483" t="s">
        <v>894</v>
      </c>
      <c r="B637" s="288"/>
      <c r="C637" s="288"/>
      <c r="D637" s="288"/>
      <c r="E637" s="288"/>
      <c r="F637" s="288"/>
      <c r="G637" s="288"/>
      <c r="H637" s="287"/>
      <c r="I637" s="288"/>
      <c r="J637" s="428"/>
      <c r="K637" s="428">
        <f>930.07+336</f>
        <v>1266.0700000000002</v>
      </c>
      <c r="L637" s="428">
        <f>L633-L636</f>
        <v>24314.79999999999</v>
      </c>
      <c r="N637" s="289"/>
      <c r="P637" s="448"/>
      <c r="Q637" s="289"/>
      <c r="R637" s="289"/>
    </row>
    <row r="638" spans="1:16" ht="15">
      <c r="A638" s="484" t="s">
        <v>895</v>
      </c>
      <c r="B638" s="288"/>
      <c r="C638" s="288"/>
      <c r="D638" s="288"/>
      <c r="E638" s="288"/>
      <c r="F638" s="288"/>
      <c r="G638" s="288"/>
      <c r="H638" s="287"/>
      <c r="I638" s="288"/>
      <c r="J638" s="428"/>
      <c r="K638" s="428">
        <v>-26573.72</v>
      </c>
      <c r="L638" s="428"/>
      <c r="N638" s="289"/>
      <c r="P638" s="448"/>
    </row>
    <row r="639" spans="1:18" ht="15.75" thickBot="1">
      <c r="A639" s="289"/>
      <c r="H639" s="289"/>
      <c r="N639" s="289"/>
      <c r="P639" s="448"/>
      <c r="Q639" s="152">
        <f>L633*2.6%</f>
        <v>8045.18572</v>
      </c>
      <c r="R639" s="152" t="e">
        <f>#REF!*5.1%</f>
        <v>#REF!</v>
      </c>
    </row>
    <row r="640" spans="1:18" ht="15.75" thickBot="1">
      <c r="A640" s="289"/>
      <c r="E640" s="505">
        <f>SUM(J641:J651)</f>
        <v>23509.36</v>
      </c>
      <c r="F640" s="325" t="s">
        <v>382</v>
      </c>
      <c r="G640" s="296" t="e">
        <f>#REF!+G185+G381+G572</f>
        <v>#REF!</v>
      </c>
      <c r="H640" s="296" t="e">
        <f>#REF!+H185+H381+H572</f>
        <v>#REF!</v>
      </c>
      <c r="I640" s="295" t="e">
        <f>#REF!+I185+I381+I572</f>
        <v>#REF!</v>
      </c>
      <c r="J640" s="429">
        <f>J641+J642+J643+J644+J645+J646+J647+J648+J649+J650+J651</f>
        <v>23509.36</v>
      </c>
      <c r="K640" s="429">
        <f>K641+K642+K643+K644+K645+K646+K647+K648+K649+K650+K651</f>
        <v>115.73099999999988</v>
      </c>
      <c r="L640" s="429">
        <f>L641+L642+L643+L644+L645+L646+L647+L648+L649+L650+L651</f>
        <v>23625.091</v>
      </c>
      <c r="M640" s="295" t="e">
        <f>#REF!+M185+M381+M572</f>
        <v>#REF!</v>
      </c>
      <c r="N640" s="296" t="e">
        <f>#REF!+N185+N381+N572</f>
        <v>#REF!</v>
      </c>
      <c r="O640" s="424">
        <f>SUM(L641:L651)</f>
        <v>23625.091</v>
      </c>
      <c r="Q640" s="152">
        <v>9647.1739</v>
      </c>
      <c r="R640" s="152">
        <v>18865.50231</v>
      </c>
    </row>
    <row r="641" spans="1:18" ht="15">
      <c r="A641" s="289"/>
      <c r="E641" s="446"/>
      <c r="F641" s="485" t="s">
        <v>896</v>
      </c>
      <c r="G641" s="298" t="e">
        <f aca="true" t="shared" si="140" ref="G641:N641">G382</f>
        <v>#REF!</v>
      </c>
      <c r="H641" s="298" t="e">
        <f t="shared" si="140"/>
        <v>#REF!</v>
      </c>
      <c r="I641" s="298" t="e">
        <f t="shared" si="140"/>
        <v>#REF!</v>
      </c>
      <c r="J641" s="430">
        <f t="shared" si="140"/>
        <v>1012.93</v>
      </c>
      <c r="K641" s="430">
        <f t="shared" si="140"/>
        <v>-30.191999999999894</v>
      </c>
      <c r="L641" s="430">
        <f t="shared" si="140"/>
        <v>982.738</v>
      </c>
      <c r="M641" s="298" t="e">
        <f t="shared" si="140"/>
        <v>#REF!</v>
      </c>
      <c r="N641" s="298" t="e">
        <f t="shared" si="140"/>
        <v>#REF!</v>
      </c>
      <c r="O641" s="152">
        <f>J641+K641</f>
        <v>982.738</v>
      </c>
      <c r="Q641" s="424">
        <f>L639+Q640</f>
        <v>9647.1739</v>
      </c>
      <c r="R641" s="424" t="e">
        <f>R640+#REF!</f>
        <v>#REF!</v>
      </c>
    </row>
    <row r="642" spans="1:15" ht="15">
      <c r="A642" s="289"/>
      <c r="E642" s="446"/>
      <c r="F642" s="486" t="s">
        <v>897</v>
      </c>
      <c r="G642" s="301" t="e">
        <f>G388</f>
        <v>#REF!</v>
      </c>
      <c r="H642" s="301" t="e">
        <f aca="true" t="shared" si="141" ref="H642:N642">H387</f>
        <v>#REF!</v>
      </c>
      <c r="I642" s="301" t="e">
        <f t="shared" si="141"/>
        <v>#REF!</v>
      </c>
      <c r="J642" s="431">
        <f t="shared" si="141"/>
        <v>1589.6999999999998</v>
      </c>
      <c r="K642" s="431">
        <f t="shared" si="141"/>
        <v>-373.2529999999998</v>
      </c>
      <c r="L642" s="431">
        <f t="shared" si="141"/>
        <v>1216.4470000000001</v>
      </c>
      <c r="M642" s="301" t="e">
        <f t="shared" si="141"/>
        <v>#REF!</v>
      </c>
      <c r="N642" s="301" t="e">
        <f t="shared" si="141"/>
        <v>#REF!</v>
      </c>
      <c r="O642" s="152">
        <f>J642+K642</f>
        <v>1216.4470000000001</v>
      </c>
    </row>
    <row r="643" spans="5:15" ht="15">
      <c r="E643" s="446"/>
      <c r="F643" s="486" t="s">
        <v>898</v>
      </c>
      <c r="G643" s="301" t="e">
        <f>G397+G573+#REF!+G186</f>
        <v>#REF!</v>
      </c>
      <c r="H643" s="218" t="e">
        <f>H397+H573+#REF!+H186</f>
        <v>#REF!</v>
      </c>
      <c r="I643" s="218" t="e">
        <f>I397+I573+#REF!+I186</f>
        <v>#REF!</v>
      </c>
      <c r="J643" s="431">
        <f>J397+J573+J186</f>
        <v>16755.98</v>
      </c>
      <c r="K643" s="431">
        <f>K397+K573+K186</f>
        <v>-776.4680000000004</v>
      </c>
      <c r="L643" s="431">
        <f>L397+L573+L186</f>
        <v>15979.512</v>
      </c>
      <c r="M643" s="218" t="e">
        <f>M397+M573+#REF!+M186</f>
        <v>#REF!</v>
      </c>
      <c r="N643" s="218" t="e">
        <f>N397+N573+#REF!+N186</f>
        <v>#REF!</v>
      </c>
      <c r="O643" s="152">
        <f aca="true" t="shared" si="142" ref="O643:O706">J643+K643</f>
        <v>15979.511999999999</v>
      </c>
    </row>
    <row r="644" spans="5:15" ht="15">
      <c r="E644" s="446"/>
      <c r="F644" s="486" t="s">
        <v>899</v>
      </c>
      <c r="G644" s="301" t="e">
        <f>#REF!</f>
        <v>#REF!</v>
      </c>
      <c r="H644" s="304">
        <f aca="true" t="shared" si="143" ref="H644:N644">H415</f>
        <v>0</v>
      </c>
      <c r="I644" s="304">
        <f t="shared" si="143"/>
        <v>0</v>
      </c>
      <c r="J644" s="431">
        <f t="shared" si="143"/>
        <v>6.8</v>
      </c>
      <c r="K644" s="431">
        <f t="shared" si="143"/>
        <v>4.8999999999999995</v>
      </c>
      <c r="L644" s="431">
        <f t="shared" si="143"/>
        <v>11.7</v>
      </c>
      <c r="M644" s="304">
        <f t="shared" si="143"/>
        <v>0</v>
      </c>
      <c r="N644" s="304">
        <f t="shared" si="143"/>
        <v>0</v>
      </c>
      <c r="O644" s="152">
        <f t="shared" si="142"/>
        <v>11.7</v>
      </c>
    </row>
    <row r="645" spans="5:15" ht="15">
      <c r="E645" s="446"/>
      <c r="F645" s="486" t="s">
        <v>900</v>
      </c>
      <c r="G645" s="301" t="e">
        <f>G192</f>
        <v>#REF!</v>
      </c>
      <c r="H645" s="301" t="e">
        <f>H192</f>
        <v>#REF!</v>
      </c>
      <c r="I645" s="301" t="e">
        <f>I192</f>
        <v>#REF!</v>
      </c>
      <c r="J645" s="431">
        <f>J192+J419</f>
        <v>3092.22</v>
      </c>
      <c r="K645" s="431">
        <f>K192+K419</f>
        <v>654.3739999999998</v>
      </c>
      <c r="L645" s="431">
        <f>L192+L419</f>
        <v>3746.5939999999996</v>
      </c>
      <c r="M645" s="301" t="e">
        <f>M192</f>
        <v>#REF!</v>
      </c>
      <c r="N645" s="218" t="e">
        <f>N192</f>
        <v>#REF!</v>
      </c>
      <c r="O645" s="152">
        <f t="shared" si="142"/>
        <v>3746.5939999999996</v>
      </c>
    </row>
    <row r="646" spans="5:15" ht="15">
      <c r="E646" s="446"/>
      <c r="F646" s="486" t="s">
        <v>901</v>
      </c>
      <c r="G646" s="301">
        <f aca="true" t="shared" si="144" ref="G646:N646">G425</f>
        <v>0</v>
      </c>
      <c r="H646" s="301">
        <f t="shared" si="144"/>
        <v>20</v>
      </c>
      <c r="I646" s="301">
        <f t="shared" si="144"/>
        <v>0</v>
      </c>
      <c r="J646" s="431">
        <f t="shared" si="144"/>
        <v>150</v>
      </c>
      <c r="K646" s="431">
        <f t="shared" si="144"/>
        <v>-150</v>
      </c>
      <c r="L646" s="431">
        <f t="shared" si="144"/>
        <v>0</v>
      </c>
      <c r="M646" s="301">
        <f t="shared" si="144"/>
        <v>0</v>
      </c>
      <c r="N646" s="218">
        <f t="shared" si="144"/>
        <v>0</v>
      </c>
      <c r="O646" s="152">
        <f t="shared" si="142"/>
        <v>0</v>
      </c>
    </row>
    <row r="647" spans="5:15" ht="15" hidden="1">
      <c r="E647" s="446"/>
      <c r="F647" s="487" t="s">
        <v>902</v>
      </c>
      <c r="G647" s="488" t="e">
        <f>#REF!</f>
        <v>#REF!</v>
      </c>
      <c r="H647" s="488" t="e">
        <f>#REF!</f>
        <v>#REF!</v>
      </c>
      <c r="I647" s="488" t="e">
        <f>#REF!</f>
        <v>#REF!</v>
      </c>
      <c r="J647" s="432"/>
      <c r="K647" s="432"/>
      <c r="L647" s="432"/>
      <c r="M647" s="301" t="e">
        <f>#REF!</f>
        <v>#REF!</v>
      </c>
      <c r="N647" s="218" t="e">
        <f>#REF!</f>
        <v>#REF!</v>
      </c>
      <c r="O647" s="152">
        <f t="shared" si="142"/>
        <v>0</v>
      </c>
    </row>
    <row r="648" spans="5:15" ht="15">
      <c r="E648" s="446"/>
      <c r="F648" s="487" t="s">
        <v>902</v>
      </c>
      <c r="G648" s="488"/>
      <c r="H648" s="488"/>
      <c r="I648" s="488"/>
      <c r="J648" s="432">
        <f>J201</f>
        <v>333</v>
      </c>
      <c r="K648" s="432">
        <f>K201</f>
        <v>0</v>
      </c>
      <c r="L648" s="432">
        <f>L201</f>
        <v>333</v>
      </c>
      <c r="M648" s="306">
        <f>M201</f>
        <v>0</v>
      </c>
      <c r="N648" s="306">
        <f>N201</f>
        <v>0</v>
      </c>
      <c r="O648" s="152">
        <f t="shared" si="142"/>
        <v>333</v>
      </c>
    </row>
    <row r="649" spans="5:15" ht="15" hidden="1">
      <c r="E649" s="446"/>
      <c r="F649" s="486" t="s">
        <v>903</v>
      </c>
      <c r="G649" s="301" t="e">
        <f>#REF!</f>
        <v>#REF!</v>
      </c>
      <c r="H649" s="301" t="e">
        <f>#REF!</f>
        <v>#REF!</v>
      </c>
      <c r="I649" s="301" t="e">
        <f>#REF!</f>
        <v>#REF!</v>
      </c>
      <c r="J649" s="431"/>
      <c r="K649" s="431"/>
      <c r="L649" s="431"/>
      <c r="M649" s="301" t="e">
        <f>#REF!</f>
        <v>#REF!</v>
      </c>
      <c r="N649" s="218" t="e">
        <f>#REF!</f>
        <v>#REF!</v>
      </c>
      <c r="O649" s="152">
        <f t="shared" si="142"/>
        <v>0</v>
      </c>
    </row>
    <row r="650" spans="5:15" ht="15.75" thickBot="1">
      <c r="E650" s="446"/>
      <c r="F650" s="486" t="s">
        <v>904</v>
      </c>
      <c r="G650" s="301"/>
      <c r="H650" s="301"/>
      <c r="I650" s="301"/>
      <c r="J650" s="431">
        <f>J430+J210+J208</f>
        <v>568.73</v>
      </c>
      <c r="K650" s="431">
        <f>K430+K210+K208</f>
        <v>786.37</v>
      </c>
      <c r="L650" s="431">
        <f>L430+L210+L208</f>
        <v>1355.1</v>
      </c>
      <c r="M650" s="218">
        <f>M430+M210</f>
        <v>0</v>
      </c>
      <c r="N650" s="218">
        <f>N430+N210</f>
        <v>0</v>
      </c>
      <c r="O650" s="152">
        <f t="shared" si="142"/>
        <v>1355.1</v>
      </c>
    </row>
    <row r="651" spans="5:15" ht="15.75" hidden="1" thickBot="1">
      <c r="E651" s="446"/>
      <c r="F651" s="489" t="s">
        <v>905</v>
      </c>
      <c r="G651" s="310" t="e">
        <f>G212+#REF!</f>
        <v>#REF!</v>
      </c>
      <c r="H651" s="310" t="e">
        <f>H212+#REF!</f>
        <v>#REF!</v>
      </c>
      <c r="I651" s="310" t="e">
        <f>I212+#REF!</f>
        <v>#REF!</v>
      </c>
      <c r="J651" s="433"/>
      <c r="K651" s="433"/>
      <c r="L651" s="433"/>
      <c r="M651" s="310" t="e">
        <f>M212+#REF!</f>
        <v>#REF!</v>
      </c>
      <c r="N651" s="309" t="e">
        <f>N212+#REF!</f>
        <v>#REF!</v>
      </c>
      <c r="O651" s="152">
        <f t="shared" si="142"/>
        <v>0</v>
      </c>
    </row>
    <row r="652" spans="5:15" ht="15.75" thickBot="1">
      <c r="E652" s="505">
        <f>J653</f>
        <v>526.6</v>
      </c>
      <c r="F652" s="490" t="s">
        <v>383</v>
      </c>
      <c r="G652" s="491"/>
      <c r="H652" s="491"/>
      <c r="I652" s="491"/>
      <c r="J652" s="434">
        <f>J653</f>
        <v>526.6</v>
      </c>
      <c r="K652" s="434">
        <f>K653</f>
        <v>16.5</v>
      </c>
      <c r="L652" s="435">
        <f>L653</f>
        <v>543.1</v>
      </c>
      <c r="M652" s="314"/>
      <c r="N652" s="315"/>
      <c r="O652" s="152">
        <f t="shared" si="142"/>
        <v>543.1</v>
      </c>
    </row>
    <row r="653" spans="5:15" ht="15.75" thickBot="1">
      <c r="E653" s="446"/>
      <c r="F653" s="492" t="s">
        <v>906</v>
      </c>
      <c r="G653" s="317"/>
      <c r="H653" s="317"/>
      <c r="I653" s="317"/>
      <c r="J653" s="436">
        <f>J213</f>
        <v>526.6</v>
      </c>
      <c r="K653" s="436">
        <f>K213</f>
        <v>16.5</v>
      </c>
      <c r="L653" s="436">
        <f>L213</f>
        <v>543.1</v>
      </c>
      <c r="M653" s="317"/>
      <c r="N653" s="315"/>
      <c r="O653" s="152">
        <f t="shared" si="142"/>
        <v>543.1</v>
      </c>
    </row>
    <row r="654" spans="5:15" ht="15.75" thickBot="1">
      <c r="E654" s="505">
        <f>SUM(J655:J657)</f>
        <v>575</v>
      </c>
      <c r="F654" s="325" t="s">
        <v>384</v>
      </c>
      <c r="G654" s="320">
        <f>G444+G374</f>
        <v>0</v>
      </c>
      <c r="H654" s="320">
        <f>H444+H374</f>
        <v>583.7</v>
      </c>
      <c r="I654" s="320">
        <f>I444+I374</f>
        <v>0</v>
      </c>
      <c r="J654" s="434">
        <f>J655+J656+J657</f>
        <v>575</v>
      </c>
      <c r="K654" s="434">
        <f>K655+K656+K657</f>
        <v>-275</v>
      </c>
      <c r="L654" s="434">
        <f>L655+L656+L657</f>
        <v>300</v>
      </c>
      <c r="M654" s="312">
        <f>M655+M656+M657</f>
        <v>0</v>
      </c>
      <c r="N654" s="312">
        <f>N655+N656+N657</f>
        <v>0</v>
      </c>
      <c r="O654" s="152">
        <f t="shared" si="142"/>
        <v>300</v>
      </c>
    </row>
    <row r="655" spans="5:15" ht="15">
      <c r="E655" s="446"/>
      <c r="F655" s="485" t="s">
        <v>907</v>
      </c>
      <c r="G655" s="298">
        <f>G375</f>
        <v>0</v>
      </c>
      <c r="H655" s="298">
        <f>H375</f>
        <v>526.1</v>
      </c>
      <c r="I655" s="298">
        <f>I375</f>
        <v>0</v>
      </c>
      <c r="J655" s="430">
        <f>J375+J218</f>
        <v>500</v>
      </c>
      <c r="K655" s="430">
        <f>K375+K218</f>
        <v>-300</v>
      </c>
      <c r="L655" s="430">
        <f>L375+L218</f>
        <v>200</v>
      </c>
      <c r="M655" s="319">
        <f>M375+M218</f>
        <v>0</v>
      </c>
      <c r="N655" s="319">
        <f>N375+N218</f>
        <v>0</v>
      </c>
      <c r="O655" s="152">
        <f t="shared" si="142"/>
        <v>200</v>
      </c>
    </row>
    <row r="656" spans="5:15" ht="15">
      <c r="E656" s="446"/>
      <c r="F656" s="486" t="s">
        <v>908</v>
      </c>
      <c r="G656" s="301">
        <f aca="true" t="shared" si="145" ref="G656:N656">G445</f>
        <v>0</v>
      </c>
      <c r="H656" s="301">
        <f t="shared" si="145"/>
        <v>57.6</v>
      </c>
      <c r="I656" s="301">
        <f t="shared" si="145"/>
        <v>0</v>
      </c>
      <c r="J656" s="431">
        <f t="shared" si="145"/>
        <v>75</v>
      </c>
      <c r="K656" s="431">
        <f t="shared" si="145"/>
        <v>0</v>
      </c>
      <c r="L656" s="431">
        <f t="shared" si="145"/>
        <v>75</v>
      </c>
      <c r="M656" s="301">
        <f t="shared" si="145"/>
        <v>0</v>
      </c>
      <c r="N656" s="218">
        <f t="shared" si="145"/>
        <v>0</v>
      </c>
      <c r="O656" s="152">
        <f t="shared" si="142"/>
        <v>75</v>
      </c>
    </row>
    <row r="657" spans="5:15" ht="15.75" thickBot="1">
      <c r="E657" s="446"/>
      <c r="F657" s="493" t="s">
        <v>909</v>
      </c>
      <c r="G657" s="317"/>
      <c r="H657" s="317"/>
      <c r="I657" s="317"/>
      <c r="J657" s="436">
        <f>J450</f>
        <v>0</v>
      </c>
      <c r="K657" s="436">
        <f>K450</f>
        <v>25</v>
      </c>
      <c r="L657" s="436">
        <f>L450</f>
        <v>25</v>
      </c>
      <c r="M657" s="315">
        <f>M450</f>
        <v>0</v>
      </c>
      <c r="N657" s="315">
        <f>N450</f>
        <v>0</v>
      </c>
      <c r="O657" s="152">
        <f t="shared" si="142"/>
        <v>25</v>
      </c>
    </row>
    <row r="658" spans="5:15" ht="15.75" thickBot="1">
      <c r="E658" s="505">
        <f>SUM(J659:J662)</f>
        <v>1435</v>
      </c>
      <c r="F658" s="494" t="s">
        <v>385</v>
      </c>
      <c r="G658" s="320" t="e">
        <f>G226+G456</f>
        <v>#REF!</v>
      </c>
      <c r="H658" s="320" t="e">
        <f>H226+H456</f>
        <v>#REF!</v>
      </c>
      <c r="I658" s="320" t="e">
        <f>I226+I456</f>
        <v>#REF!</v>
      </c>
      <c r="J658" s="434">
        <f>J659+J660+J661+J662</f>
        <v>1435</v>
      </c>
      <c r="K658" s="434">
        <f>K659+K660+K661+K662</f>
        <v>2129.3900000000003</v>
      </c>
      <c r="L658" s="434">
        <f>L659+L660+L661+L662</f>
        <v>3564.3900000000003</v>
      </c>
      <c r="M658" s="320" t="e">
        <f>M226+M456</f>
        <v>#REF!</v>
      </c>
      <c r="N658" s="321" t="e">
        <f>N226+N456</f>
        <v>#REF!</v>
      </c>
      <c r="O658" s="152">
        <f t="shared" si="142"/>
        <v>3564.3900000000003</v>
      </c>
    </row>
    <row r="659" spans="5:15" ht="15">
      <c r="E659" s="446"/>
      <c r="F659" s="485" t="s">
        <v>910</v>
      </c>
      <c r="G659" s="298" t="e">
        <f>#REF!+G457</f>
        <v>#REF!</v>
      </c>
      <c r="H659" s="495" t="e">
        <f>#REF!+H457</f>
        <v>#REF!</v>
      </c>
      <c r="I659" s="298" t="e">
        <f>#REF!+I457</f>
        <v>#REF!</v>
      </c>
      <c r="J659" s="430">
        <f>J457</f>
        <v>160</v>
      </c>
      <c r="K659" s="430">
        <f>K457</f>
        <v>70</v>
      </c>
      <c r="L659" s="430">
        <f>L457</f>
        <v>230</v>
      </c>
      <c r="M659" s="298" t="e">
        <f>#REF!+M457</f>
        <v>#REF!</v>
      </c>
      <c r="N659" s="319" t="e">
        <f>#REF!+N457</f>
        <v>#REF!</v>
      </c>
      <c r="O659" s="152">
        <f t="shared" si="142"/>
        <v>230</v>
      </c>
    </row>
    <row r="660" spans="5:15" ht="15" hidden="1">
      <c r="E660" s="446"/>
      <c r="F660" s="486" t="s">
        <v>911</v>
      </c>
      <c r="G660" s="317" t="e">
        <f>#REF!</f>
        <v>#REF!</v>
      </c>
      <c r="H660" s="317" t="e">
        <f>#REF!</f>
        <v>#REF!</v>
      </c>
      <c r="I660" s="317" t="e">
        <f>#REF!</f>
        <v>#REF!</v>
      </c>
      <c r="J660" s="431"/>
      <c r="K660" s="431"/>
      <c r="L660" s="431"/>
      <c r="M660" s="317" t="e">
        <f>#REF!</f>
        <v>#REF!</v>
      </c>
      <c r="N660" s="315" t="e">
        <f>#REF!</f>
        <v>#REF!</v>
      </c>
      <c r="O660" s="152">
        <f t="shared" si="142"/>
        <v>0</v>
      </c>
    </row>
    <row r="661" spans="5:15" ht="15" hidden="1">
      <c r="E661" s="446"/>
      <c r="F661" s="492" t="s">
        <v>912</v>
      </c>
      <c r="G661" s="317"/>
      <c r="H661" s="324" t="e">
        <f>#REF!</f>
        <v>#REF!</v>
      </c>
      <c r="I661" s="324" t="e">
        <f>#REF!</f>
        <v>#REF!</v>
      </c>
      <c r="J661" s="436"/>
      <c r="K661" s="436"/>
      <c r="L661" s="436"/>
      <c r="M661" s="324" t="e">
        <f>#REF!</f>
        <v>#REF!</v>
      </c>
      <c r="N661" s="315" t="e">
        <f>#REF!</f>
        <v>#REF!</v>
      </c>
      <c r="O661" s="152">
        <f t="shared" si="142"/>
        <v>0</v>
      </c>
    </row>
    <row r="662" spans="5:15" ht="15.75" thickBot="1">
      <c r="E662" s="446"/>
      <c r="F662" s="489" t="s">
        <v>913</v>
      </c>
      <c r="G662" s="310" t="e">
        <f aca="true" t="shared" si="146" ref="G662:N662">G462+G227</f>
        <v>#REF!</v>
      </c>
      <c r="H662" s="310" t="e">
        <f t="shared" si="146"/>
        <v>#REF!</v>
      </c>
      <c r="I662" s="310" t="e">
        <f t="shared" si="146"/>
        <v>#REF!</v>
      </c>
      <c r="J662" s="433">
        <f t="shared" si="146"/>
        <v>1275</v>
      </c>
      <c r="K662" s="433">
        <f t="shared" si="146"/>
        <v>2059.3900000000003</v>
      </c>
      <c r="L662" s="433">
        <f t="shared" si="146"/>
        <v>3334.3900000000003</v>
      </c>
      <c r="M662" s="310" t="e">
        <f t="shared" si="146"/>
        <v>#REF!</v>
      </c>
      <c r="N662" s="309" t="e">
        <f t="shared" si="146"/>
        <v>#REF!</v>
      </c>
      <c r="O662" s="152">
        <f t="shared" si="142"/>
        <v>3334.3900000000003</v>
      </c>
    </row>
    <row r="663" spans="5:15" ht="15.75" thickBot="1">
      <c r="E663" s="503">
        <f>SUM(J664:J667)</f>
        <v>500</v>
      </c>
      <c r="F663" s="325" t="s">
        <v>387</v>
      </c>
      <c r="G663" s="320" t="e">
        <f>G472</f>
        <v>#REF!</v>
      </c>
      <c r="H663" s="328" t="e">
        <f>H472+H234</f>
        <v>#REF!</v>
      </c>
      <c r="I663" s="328" t="e">
        <f>I472+I234</f>
        <v>#REF!</v>
      </c>
      <c r="J663" s="434">
        <f>J664+J665+J666+J667</f>
        <v>500</v>
      </c>
      <c r="K663" s="434">
        <f>K664+K665+K666+K667</f>
        <v>6600.32</v>
      </c>
      <c r="L663" s="434">
        <f>L664+L665+L666+L667</f>
        <v>7100.32</v>
      </c>
      <c r="M663" s="328" t="e">
        <f>M472+M234</f>
        <v>#REF!</v>
      </c>
      <c r="N663" s="328" t="e">
        <f>N472+N234</f>
        <v>#REF!</v>
      </c>
      <c r="O663" s="424">
        <f>J663+K663</f>
        <v>7100.32</v>
      </c>
    </row>
    <row r="664" spans="5:15" ht="15">
      <c r="E664" s="446"/>
      <c r="F664" s="485" t="s">
        <v>914</v>
      </c>
      <c r="G664" s="298">
        <f>G477</f>
        <v>-40</v>
      </c>
      <c r="H664" s="330">
        <f>H477+H235</f>
        <v>0</v>
      </c>
      <c r="I664" s="330">
        <f>I477+I235</f>
        <v>31353.699999999997</v>
      </c>
      <c r="J664" s="430">
        <f>J477+J235+J473</f>
        <v>0</v>
      </c>
      <c r="K664" s="430">
        <f>K235+K473</f>
        <v>260</v>
      </c>
      <c r="L664" s="430">
        <f>L235+L473</f>
        <v>260</v>
      </c>
      <c r="M664" s="330" t="e">
        <f>M235+M473</f>
        <v>#REF!</v>
      </c>
      <c r="N664" s="330" t="e">
        <f>N235+N473</f>
        <v>#REF!</v>
      </c>
      <c r="O664" s="152">
        <f t="shared" si="142"/>
        <v>260</v>
      </c>
    </row>
    <row r="665" spans="5:15" ht="15">
      <c r="E665" s="446"/>
      <c r="F665" s="486" t="s">
        <v>915</v>
      </c>
      <c r="G665" s="301" t="e">
        <f aca="true" t="shared" si="147" ref="G665:N665">G479</f>
        <v>#REF!</v>
      </c>
      <c r="H665" s="301" t="e">
        <f t="shared" si="147"/>
        <v>#REF!</v>
      </c>
      <c r="I665" s="304" t="e">
        <f t="shared" si="147"/>
        <v>#REF!</v>
      </c>
      <c r="J665" s="431">
        <f t="shared" si="147"/>
        <v>500</v>
      </c>
      <c r="K665" s="431">
        <f t="shared" si="147"/>
        <v>5840.32</v>
      </c>
      <c r="L665" s="431">
        <f t="shared" si="147"/>
        <v>6340.32</v>
      </c>
      <c r="M665" s="304" t="e">
        <f t="shared" si="147"/>
        <v>#REF!</v>
      </c>
      <c r="N665" s="218" t="e">
        <f t="shared" si="147"/>
        <v>#REF!</v>
      </c>
      <c r="O665" s="152">
        <f t="shared" si="142"/>
        <v>6340.32</v>
      </c>
    </row>
    <row r="666" spans="5:15" ht="15.75" thickBot="1">
      <c r="E666" s="446"/>
      <c r="F666" s="486" t="s">
        <v>916</v>
      </c>
      <c r="G666" s="301">
        <f aca="true" t="shared" si="148" ref="G666:N666">G490</f>
        <v>-786.5</v>
      </c>
      <c r="H666" s="301">
        <f t="shared" si="148"/>
        <v>0</v>
      </c>
      <c r="I666" s="301">
        <f t="shared" si="148"/>
        <v>0</v>
      </c>
      <c r="J666" s="431">
        <f t="shared" si="148"/>
        <v>0</v>
      </c>
      <c r="K666" s="431">
        <f t="shared" si="148"/>
        <v>500</v>
      </c>
      <c r="L666" s="431">
        <f t="shared" si="148"/>
        <v>500</v>
      </c>
      <c r="M666" s="301">
        <f t="shared" si="148"/>
        <v>0</v>
      </c>
      <c r="N666" s="218">
        <f t="shared" si="148"/>
        <v>500</v>
      </c>
      <c r="O666" s="152">
        <f t="shared" si="142"/>
        <v>500</v>
      </c>
    </row>
    <row r="667" spans="5:15" ht="15.75" hidden="1" thickBot="1">
      <c r="E667" s="446"/>
      <c r="F667" s="489" t="s">
        <v>917</v>
      </c>
      <c r="G667" s="310" t="e">
        <f>#REF!</f>
        <v>#REF!</v>
      </c>
      <c r="H667" s="310" t="e">
        <f>#REF!</f>
        <v>#REF!</v>
      </c>
      <c r="I667" s="310" t="e">
        <f>#REF!</f>
        <v>#REF!</v>
      </c>
      <c r="J667" s="433"/>
      <c r="K667" s="433"/>
      <c r="L667" s="433"/>
      <c r="M667" s="310" t="e">
        <f>#REF!</f>
        <v>#REF!</v>
      </c>
      <c r="N667" s="309" t="e">
        <f>#REF!</f>
        <v>#REF!</v>
      </c>
      <c r="O667" s="152">
        <f t="shared" si="142"/>
        <v>0</v>
      </c>
    </row>
    <row r="668" spans="5:15" ht="15.75" thickBot="1">
      <c r="E668" s="503">
        <f>SUM(J669:J673)</f>
        <v>182151.95</v>
      </c>
      <c r="F668" s="325" t="s">
        <v>390</v>
      </c>
      <c r="G668" s="335" t="e">
        <f>G12+G91+G242+#REF!+G494</f>
        <v>#REF!</v>
      </c>
      <c r="H668" s="335" t="e">
        <f>H12+H91+H242+#REF!+H494</f>
        <v>#REF!</v>
      </c>
      <c r="I668" s="335" t="e">
        <f>I12+I91+I242+#REF!+I494</f>
        <v>#REF!</v>
      </c>
      <c r="J668" s="434">
        <f>J669+J670+J671+J672+J673</f>
        <v>182151.95</v>
      </c>
      <c r="K668" s="434">
        <f>K669+K670+K671+K672+K673</f>
        <v>29656.892000000003</v>
      </c>
      <c r="L668" s="434">
        <f>L669+L670+L671+L672+L673</f>
        <v>211808.84199999998</v>
      </c>
      <c r="M668" s="321" t="e">
        <f>M12+M91+M242+#REF!+M494+M578</f>
        <v>#REF!</v>
      </c>
      <c r="N668" s="321" t="e">
        <f>N12+N91+N242+#REF!+N494+N578</f>
        <v>#REF!</v>
      </c>
      <c r="O668" s="152">
        <f t="shared" si="142"/>
        <v>211808.842</v>
      </c>
    </row>
    <row r="669" spans="5:15" ht="15">
      <c r="E669" s="446"/>
      <c r="F669" s="485" t="s">
        <v>918</v>
      </c>
      <c r="G669" s="298">
        <f>G92</f>
        <v>-926.36</v>
      </c>
      <c r="H669" s="330">
        <f aca="true" t="shared" si="149" ref="H669:N669">H92+H495</f>
        <v>4401</v>
      </c>
      <c r="I669" s="330">
        <f t="shared" si="149"/>
        <v>0</v>
      </c>
      <c r="J669" s="430">
        <f t="shared" si="149"/>
        <v>0</v>
      </c>
      <c r="K669" s="430">
        <f t="shared" si="149"/>
        <v>451.78</v>
      </c>
      <c r="L669" s="430">
        <f t="shared" si="149"/>
        <v>451.78</v>
      </c>
      <c r="M669" s="330">
        <f t="shared" si="149"/>
        <v>805.6</v>
      </c>
      <c r="N669" s="330">
        <f t="shared" si="149"/>
        <v>1257.38</v>
      </c>
      <c r="O669" s="152">
        <f t="shared" si="142"/>
        <v>451.78</v>
      </c>
    </row>
    <row r="670" spans="5:15" ht="15">
      <c r="E670" s="446"/>
      <c r="F670" s="486" t="s">
        <v>919</v>
      </c>
      <c r="G670" s="218" t="e">
        <f>G97+#REF!</f>
        <v>#REF!</v>
      </c>
      <c r="H670" s="218" t="e">
        <f>H97</f>
        <v>#REF!</v>
      </c>
      <c r="I670" s="218" t="e">
        <f>I97</f>
        <v>#REF!</v>
      </c>
      <c r="J670" s="431">
        <f>J97+J499</f>
        <v>172097.77000000002</v>
      </c>
      <c r="K670" s="431">
        <f>K97+K499</f>
        <v>31364.870000000003</v>
      </c>
      <c r="L670" s="431">
        <f>L97+L499</f>
        <v>203462.63999999998</v>
      </c>
      <c r="M670" s="218" t="e">
        <f>M97+M499</f>
        <v>#REF!</v>
      </c>
      <c r="N670" s="218" t="e">
        <f>N97+N499</f>
        <v>#REF!</v>
      </c>
      <c r="O670" s="152">
        <f t="shared" si="142"/>
        <v>203462.64</v>
      </c>
    </row>
    <row r="671" spans="5:15" ht="15">
      <c r="E671" s="446"/>
      <c r="F671" s="486" t="s">
        <v>920</v>
      </c>
      <c r="G671" s="304" t="e">
        <f>G13+G129+#REF!+G518+G243</f>
        <v>#REF!</v>
      </c>
      <c r="H671" s="218" t="e">
        <f>H13+H129+#REF!+H518+H243</f>
        <v>#REF!</v>
      </c>
      <c r="I671" s="218" t="e">
        <f>I13+I129+#REF!+I518+I243</f>
        <v>#REF!</v>
      </c>
      <c r="J671" s="431">
        <f>J13+J129+J518+J243</f>
        <v>950.51</v>
      </c>
      <c r="K671" s="431">
        <f>K13+K129+K518+K243</f>
        <v>-750.51</v>
      </c>
      <c r="L671" s="431">
        <f>L13+L129+L518+L243</f>
        <v>200</v>
      </c>
      <c r="M671" s="218" t="e">
        <f>M13+M129+#REF!+M518+M243</f>
        <v>#REF!</v>
      </c>
      <c r="N671" s="218" t="e">
        <f>N13+N129+#REF!+N518+N243</f>
        <v>#REF!</v>
      </c>
      <c r="O671" s="152">
        <f t="shared" si="142"/>
        <v>200</v>
      </c>
    </row>
    <row r="672" spans="5:17" ht="15">
      <c r="E672" s="446"/>
      <c r="F672" s="486" t="s">
        <v>921</v>
      </c>
      <c r="G672" s="301" t="e">
        <f>G134+#REF!</f>
        <v>#REF!</v>
      </c>
      <c r="H672" s="301" t="e">
        <f>H134+#REF!+H288</f>
        <v>#REF!</v>
      </c>
      <c r="I672" s="301" t="e">
        <f>I134+#REF!+I288</f>
        <v>#REF!</v>
      </c>
      <c r="J672" s="431">
        <f>J134+J288+J579+J524</f>
        <v>2380.06</v>
      </c>
      <c r="K672" s="431">
        <f>K134+K288+K579+K524</f>
        <v>-1924.62</v>
      </c>
      <c r="L672" s="431">
        <f>L134+L288+L579+L524</f>
        <v>455.44</v>
      </c>
      <c r="M672" s="218" t="e">
        <f>M134+#REF!+M288+M579+M524</f>
        <v>#REF!</v>
      </c>
      <c r="N672" s="218" t="e">
        <f>N134+#REF!+N288+N579+N524</f>
        <v>#REF!</v>
      </c>
      <c r="O672" s="152">
        <f t="shared" si="142"/>
        <v>455.44000000000005</v>
      </c>
      <c r="Q672" s="448">
        <f>L672-O672</f>
        <v>0</v>
      </c>
    </row>
    <row r="673" spans="5:15" ht="15.75" thickBot="1">
      <c r="E673" s="446"/>
      <c r="F673" s="489" t="s">
        <v>922</v>
      </c>
      <c r="G673" s="310" t="e">
        <f aca="true" t="shared" si="150" ref="G673:N673">G144</f>
        <v>#REF!</v>
      </c>
      <c r="H673" s="310" t="e">
        <f t="shared" si="150"/>
        <v>#REF!</v>
      </c>
      <c r="I673" s="310" t="e">
        <f t="shared" si="150"/>
        <v>#REF!</v>
      </c>
      <c r="J673" s="433">
        <f t="shared" si="150"/>
        <v>6723.61</v>
      </c>
      <c r="K673" s="433">
        <f t="shared" si="150"/>
        <v>515.3720000000001</v>
      </c>
      <c r="L673" s="433">
        <f t="shared" si="150"/>
        <v>7238.982</v>
      </c>
      <c r="M673" s="310" t="e">
        <f t="shared" si="150"/>
        <v>#REF!</v>
      </c>
      <c r="N673" s="309" t="e">
        <f t="shared" si="150"/>
        <v>#REF!</v>
      </c>
      <c r="O673" s="152">
        <f t="shared" si="142"/>
        <v>7238.982</v>
      </c>
    </row>
    <row r="674" spans="5:15" ht="15.75" thickBot="1">
      <c r="E674" s="504">
        <f>SUM(J675:J678)</f>
        <v>6838.02</v>
      </c>
      <c r="F674" s="325" t="s">
        <v>410</v>
      </c>
      <c r="G674" s="320" t="e">
        <f>G528+G587</f>
        <v>#REF!</v>
      </c>
      <c r="H674" s="320" t="e">
        <f>H528+H587</f>
        <v>#REF!</v>
      </c>
      <c r="I674" s="320" t="e">
        <f>I528+I587</f>
        <v>#REF!</v>
      </c>
      <c r="J674" s="434">
        <f>J675+J676+J678+J677</f>
        <v>6838.02</v>
      </c>
      <c r="K674" s="434">
        <f>K675+K676+K678+K677</f>
        <v>1194.2569999999996</v>
      </c>
      <c r="L674" s="434">
        <f>L675+L676+L678+L677</f>
        <v>8032.277</v>
      </c>
      <c r="M674" s="320" t="e">
        <f>M528+M587</f>
        <v>#REF!</v>
      </c>
      <c r="N674" s="321" t="e">
        <f>N528+N587</f>
        <v>#REF!</v>
      </c>
      <c r="O674" s="152">
        <f t="shared" si="142"/>
        <v>8032.277</v>
      </c>
    </row>
    <row r="675" spans="5:15" ht="15">
      <c r="E675" s="446"/>
      <c r="F675" s="485" t="s">
        <v>923</v>
      </c>
      <c r="G675" s="298">
        <f>G588</f>
        <v>137.57999999999998</v>
      </c>
      <c r="H675" s="298">
        <f>H588</f>
        <v>3820.25</v>
      </c>
      <c r="I675" s="319">
        <f>I588</f>
        <v>0</v>
      </c>
      <c r="J675" s="430">
        <f>J588+J529</f>
        <v>4116.25</v>
      </c>
      <c r="K675" s="430">
        <f>K588+K529</f>
        <v>1078.206</v>
      </c>
      <c r="L675" s="430">
        <f>L588+L529</f>
        <v>5194.456</v>
      </c>
      <c r="M675" s="319" t="e">
        <f>M588+M529</f>
        <v>#REF!</v>
      </c>
      <c r="N675" s="319" t="e">
        <f>N588+N529</f>
        <v>#REF!</v>
      </c>
      <c r="O675" s="152">
        <f t="shared" si="142"/>
        <v>5194.456</v>
      </c>
    </row>
    <row r="676" spans="5:15" ht="15" hidden="1">
      <c r="E676" s="446"/>
      <c r="F676" s="487" t="s">
        <v>924</v>
      </c>
      <c r="G676" s="488" t="e">
        <f>#REF!</f>
        <v>#REF!</v>
      </c>
      <c r="H676" s="306" t="e">
        <f>#REF!</f>
        <v>#REF!</v>
      </c>
      <c r="I676" s="306" t="e">
        <f>#REF!</f>
        <v>#REF!</v>
      </c>
      <c r="J676" s="432"/>
      <c r="K676" s="432"/>
      <c r="L676" s="432"/>
      <c r="M676" s="218" t="e">
        <f>#REF!</f>
        <v>#REF!</v>
      </c>
      <c r="N676" s="218" t="e">
        <f>#REF!</f>
        <v>#REF!</v>
      </c>
      <c r="O676" s="152">
        <f t="shared" si="142"/>
        <v>0</v>
      </c>
    </row>
    <row r="677" spans="5:15" ht="15.75" thickBot="1">
      <c r="E677" s="446"/>
      <c r="F677" s="496" t="s">
        <v>924</v>
      </c>
      <c r="G677" s="497"/>
      <c r="H677" s="334"/>
      <c r="I677" s="334"/>
      <c r="J677" s="437">
        <f>J610+J532</f>
        <v>2721.77</v>
      </c>
      <c r="K677" s="437">
        <f>K610+K532</f>
        <v>116.05099999999979</v>
      </c>
      <c r="L677" s="437">
        <f>L610+L532</f>
        <v>2837.821</v>
      </c>
      <c r="M677" s="309"/>
      <c r="N677" s="309"/>
      <c r="O677" s="152">
        <f t="shared" si="142"/>
        <v>2837.821</v>
      </c>
    </row>
    <row r="678" spans="5:15" ht="15.75" hidden="1" thickBot="1">
      <c r="E678" s="446"/>
      <c r="F678" s="489" t="s">
        <v>925</v>
      </c>
      <c r="G678" s="310" t="e">
        <f>#REF!+#REF!</f>
        <v>#REF!</v>
      </c>
      <c r="H678" s="309" t="e">
        <f>#REF!+#REF!</f>
        <v>#REF!</v>
      </c>
      <c r="I678" s="309" t="e">
        <f>#REF!+#REF!</f>
        <v>#REF!</v>
      </c>
      <c r="J678" s="433"/>
      <c r="K678" s="433"/>
      <c r="L678" s="433"/>
      <c r="M678" s="309" t="e">
        <f>#REF!+#REF!</f>
        <v>#REF!</v>
      </c>
      <c r="N678" s="309" t="e">
        <f>#REF!+#REF!</f>
        <v>#REF!</v>
      </c>
      <c r="O678" s="152">
        <f t="shared" si="142"/>
        <v>0</v>
      </c>
    </row>
    <row r="679" spans="5:15" ht="15.75" thickBot="1">
      <c r="E679" s="446" t="e">
        <f>SUM(H680:H685)</f>
        <v>#REF!</v>
      </c>
      <c r="F679" s="325" t="s">
        <v>404</v>
      </c>
      <c r="G679" s="320" t="e">
        <f>G19+#REF!</f>
        <v>#REF!</v>
      </c>
      <c r="H679" s="335" t="e">
        <f>H19+#REF!+#REF!</f>
        <v>#REF!</v>
      </c>
      <c r="I679" s="335" t="e">
        <f>I19+#REF!+#REF!</f>
        <v>#REF!</v>
      </c>
      <c r="J679" s="434">
        <f>J680+J681+J682+J683+J684+J685</f>
        <v>42672.07000000001</v>
      </c>
      <c r="K679" s="434">
        <f>K680+K681+K682+K683+K684+K685</f>
        <v>-42282.07000000001</v>
      </c>
      <c r="L679" s="434">
        <f>L680+L681+L682+L683+L684+L685</f>
        <v>390</v>
      </c>
      <c r="M679" s="335" t="e">
        <f>M19+#REF!+#REF!</f>
        <v>#REF!</v>
      </c>
      <c r="N679" s="321" t="e">
        <f>N19+#REF!+#REF!</f>
        <v>#REF!</v>
      </c>
      <c r="O679" s="152">
        <f t="shared" si="142"/>
        <v>390</v>
      </c>
    </row>
    <row r="680" spans="5:15" ht="15">
      <c r="E680" s="446"/>
      <c r="F680" s="485" t="s">
        <v>926</v>
      </c>
      <c r="G680" s="298">
        <f>G20</f>
        <v>-5232</v>
      </c>
      <c r="H680" s="298">
        <f>H20</f>
        <v>30796.129999999997</v>
      </c>
      <c r="I680" s="298">
        <f>I20</f>
        <v>0</v>
      </c>
      <c r="J680" s="430">
        <f>J20+J249</f>
        <v>38155.97</v>
      </c>
      <c r="K680" s="430">
        <f>K20+K249</f>
        <v>-38155.97</v>
      </c>
      <c r="L680" s="430">
        <f>L20+L249</f>
        <v>0</v>
      </c>
      <c r="M680" s="319">
        <f>M20+M249</f>
        <v>-265.3600000000001</v>
      </c>
      <c r="N680" s="319">
        <f>N20+N249</f>
        <v>-265.3600000000001</v>
      </c>
      <c r="O680" s="152">
        <f t="shared" si="142"/>
        <v>0</v>
      </c>
    </row>
    <row r="681" spans="5:15" ht="15">
      <c r="E681" s="446"/>
      <c r="F681" s="486" t="s">
        <v>927</v>
      </c>
      <c r="G681" s="301" t="e">
        <f>G37+#REF!</f>
        <v>#REF!</v>
      </c>
      <c r="H681" s="301" t="e">
        <f>H37+#REF!</f>
        <v>#REF!</v>
      </c>
      <c r="I681" s="301" t="e">
        <f>I37+#REF!</f>
        <v>#REF!</v>
      </c>
      <c r="J681" s="431">
        <f>J37</f>
        <v>3243.4</v>
      </c>
      <c r="K681" s="431">
        <f>K37</f>
        <v>-3243.4</v>
      </c>
      <c r="L681" s="431">
        <f>L37</f>
        <v>0</v>
      </c>
      <c r="M681" s="431">
        <f>M37</f>
        <v>657.7</v>
      </c>
      <c r="N681" s="431">
        <f>N37</f>
        <v>657.7</v>
      </c>
      <c r="O681" s="152">
        <f t="shared" si="142"/>
        <v>0</v>
      </c>
    </row>
    <row r="682" spans="5:15" ht="15">
      <c r="E682" s="446"/>
      <c r="F682" s="486" t="s">
        <v>928</v>
      </c>
      <c r="G682" s="301">
        <f aca="true" t="shared" si="151" ref="G682:N682">G57</f>
        <v>2852</v>
      </c>
      <c r="H682" s="301">
        <f t="shared" si="151"/>
        <v>0</v>
      </c>
      <c r="I682" s="301">
        <f t="shared" si="151"/>
        <v>0</v>
      </c>
      <c r="J682" s="431">
        <f t="shared" si="151"/>
        <v>749.9</v>
      </c>
      <c r="K682" s="431">
        <f t="shared" si="151"/>
        <v>-749.9</v>
      </c>
      <c r="L682" s="431">
        <f t="shared" si="151"/>
        <v>0</v>
      </c>
      <c r="M682" s="301">
        <f t="shared" si="151"/>
        <v>-1.8800000000000026</v>
      </c>
      <c r="N682" s="218">
        <f t="shared" si="151"/>
        <v>-1.8800000000000026</v>
      </c>
      <c r="O682" s="152">
        <f t="shared" si="142"/>
        <v>0</v>
      </c>
    </row>
    <row r="683" spans="3:15" ht="15" hidden="1">
      <c r="C683" s="152" t="s">
        <v>929</v>
      </c>
      <c r="E683" s="446"/>
      <c r="F683" s="487" t="s">
        <v>930</v>
      </c>
      <c r="G683" s="488" t="e">
        <f>#REF!</f>
        <v>#REF!</v>
      </c>
      <c r="H683" s="488" t="e">
        <f>#REF!+#REF!</f>
        <v>#REF!</v>
      </c>
      <c r="I683" s="488" t="e">
        <f>#REF!+#REF!</f>
        <v>#REF!</v>
      </c>
      <c r="J683" s="432"/>
      <c r="K683" s="432"/>
      <c r="L683" s="432"/>
      <c r="M683" s="301" t="e">
        <f>#REF!+#REF!</f>
        <v>#REF!</v>
      </c>
      <c r="N683" s="218" t="e">
        <f>#REF!+#REF!</f>
        <v>#REF!</v>
      </c>
      <c r="O683" s="152">
        <f t="shared" si="142"/>
        <v>0</v>
      </c>
    </row>
    <row r="684" spans="5:15" ht="15">
      <c r="E684" s="446"/>
      <c r="F684" s="496" t="s">
        <v>931</v>
      </c>
      <c r="G684" s="497"/>
      <c r="H684" s="497"/>
      <c r="I684" s="497"/>
      <c r="J684" s="437">
        <f>J62+J538</f>
        <v>522.8</v>
      </c>
      <c r="K684" s="437">
        <f>K62+K538</f>
        <v>-132.79999999999995</v>
      </c>
      <c r="L684" s="437">
        <f>L62+L538</f>
        <v>390</v>
      </c>
      <c r="M684" s="310"/>
      <c r="N684" s="309"/>
      <c r="O684" s="152">
        <f t="shared" si="142"/>
        <v>390</v>
      </c>
    </row>
    <row r="685" spans="5:15" ht="15.75" thickBot="1">
      <c r="E685" s="446"/>
      <c r="F685" s="489" t="s">
        <v>932</v>
      </c>
      <c r="G685" s="310">
        <f aca="true" t="shared" si="152" ref="G685:N685">G76</f>
        <v>0</v>
      </c>
      <c r="H685" s="310">
        <f t="shared" si="152"/>
        <v>1049.66</v>
      </c>
      <c r="I685" s="310">
        <f t="shared" si="152"/>
        <v>0</v>
      </c>
      <c r="J685" s="433">
        <f t="shared" si="152"/>
        <v>0</v>
      </c>
      <c r="K685" s="433">
        <f t="shared" si="152"/>
        <v>0</v>
      </c>
      <c r="L685" s="433">
        <f t="shared" si="152"/>
        <v>0</v>
      </c>
      <c r="M685" s="310">
        <f t="shared" si="152"/>
        <v>33</v>
      </c>
      <c r="N685" s="309">
        <f t="shared" si="152"/>
        <v>33</v>
      </c>
      <c r="O685" s="152">
        <f t="shared" si="142"/>
        <v>0</v>
      </c>
    </row>
    <row r="686" spans="5:15" ht="15.75" thickBot="1">
      <c r="E686" s="446" t="e">
        <f>SUM(H687:H691)</f>
        <v>#REF!</v>
      </c>
      <c r="F686" s="325" t="s">
        <v>437</v>
      </c>
      <c r="G686" s="320" t="e">
        <f>G165+G292+#REF!</f>
        <v>#REF!</v>
      </c>
      <c r="H686" s="321" t="e">
        <f>H165+H292+#REF!</f>
        <v>#REF!</v>
      </c>
      <c r="I686" s="321" t="e">
        <f>I165+I292+#REF!</f>
        <v>#REF!</v>
      </c>
      <c r="J686" s="434">
        <f>J687+J688+J689+J690+J691</f>
        <v>72073.88</v>
      </c>
      <c r="K686" s="434">
        <f>K687+K688+K689+K690+K691</f>
        <v>-50330.579999999994</v>
      </c>
      <c r="L686" s="434">
        <f>L687+L688+L689+L690+L691</f>
        <v>21743.300000000003</v>
      </c>
      <c r="M686" s="321" t="e">
        <f>M165+M292+#REF!</f>
        <v>#REF!</v>
      </c>
      <c r="N686" s="321" t="e">
        <f>N165+N292+#REF!</f>
        <v>#REF!</v>
      </c>
      <c r="O686" s="152">
        <f t="shared" si="142"/>
        <v>21743.30000000001</v>
      </c>
    </row>
    <row r="687" spans="5:15" ht="15">
      <c r="E687" s="446"/>
      <c r="F687" s="485" t="s">
        <v>933</v>
      </c>
      <c r="G687" s="298" t="e">
        <f>G293</f>
        <v>#REF!</v>
      </c>
      <c r="H687" s="298">
        <f>H293</f>
        <v>1925.2</v>
      </c>
      <c r="I687" s="298">
        <f>I293</f>
        <v>0</v>
      </c>
      <c r="J687" s="430">
        <f>J293+J543</f>
        <v>1606.18</v>
      </c>
      <c r="K687" s="430">
        <f>K293+K543</f>
        <v>-1561.18</v>
      </c>
      <c r="L687" s="430">
        <f>L293+L543</f>
        <v>45</v>
      </c>
      <c r="M687" s="298">
        <f>M293</f>
        <v>0</v>
      </c>
      <c r="N687" s="319">
        <f>N293</f>
        <v>0</v>
      </c>
      <c r="O687" s="152">
        <f t="shared" si="142"/>
        <v>45</v>
      </c>
    </row>
    <row r="688" spans="5:15" ht="15">
      <c r="E688" s="446"/>
      <c r="F688" s="486" t="s">
        <v>934</v>
      </c>
      <c r="G688" s="301">
        <f>G300</f>
        <v>6</v>
      </c>
      <c r="H688" s="301">
        <f>H300</f>
        <v>4331.9</v>
      </c>
      <c r="I688" s="301">
        <f>I300</f>
        <v>0</v>
      </c>
      <c r="J688" s="431">
        <f>J300+J546</f>
        <v>6938.29</v>
      </c>
      <c r="K688" s="431">
        <f>K300+K546</f>
        <v>-6782.05</v>
      </c>
      <c r="L688" s="431">
        <f>L300+L546</f>
        <v>156.24</v>
      </c>
      <c r="M688" s="301">
        <f>M300</f>
        <v>182.5</v>
      </c>
      <c r="N688" s="218">
        <f>N300</f>
        <v>182.5</v>
      </c>
      <c r="O688" s="152">
        <f t="shared" si="142"/>
        <v>156.23999999999978</v>
      </c>
    </row>
    <row r="689" spans="5:15" ht="15">
      <c r="E689" s="446"/>
      <c r="F689" s="486" t="s">
        <v>935</v>
      </c>
      <c r="G689" s="301" t="e">
        <f>#REF!+G310+G166</f>
        <v>#REF!</v>
      </c>
      <c r="H689" s="301" t="e">
        <f>#REF!+H310+H166</f>
        <v>#REF!</v>
      </c>
      <c r="I689" s="301" t="e">
        <f>#REF!+I310+I166</f>
        <v>#REF!</v>
      </c>
      <c r="J689" s="431">
        <f>J310+J166+J551</f>
        <v>49869.2</v>
      </c>
      <c r="K689" s="431">
        <f>K310+K166+K551</f>
        <v>-46651.2</v>
      </c>
      <c r="L689" s="431">
        <f>L310+L166+L551</f>
        <v>3218</v>
      </c>
      <c r="M689" s="218" t="e">
        <f>#REF!+M310+M166</f>
        <v>#REF!</v>
      </c>
      <c r="N689" s="218" t="e">
        <f>#REF!+N310+N166</f>
        <v>#REF!</v>
      </c>
      <c r="O689" s="152">
        <f t="shared" si="142"/>
        <v>3218</v>
      </c>
    </row>
    <row r="690" spans="5:15" ht="15">
      <c r="E690" s="446"/>
      <c r="F690" s="489" t="s">
        <v>936</v>
      </c>
      <c r="G690" s="310" t="e">
        <f aca="true" t="shared" si="153" ref="G690:N690">G169</f>
        <v>#REF!</v>
      </c>
      <c r="H690" s="310" t="e">
        <f t="shared" si="153"/>
        <v>#REF!</v>
      </c>
      <c r="I690" s="310" t="e">
        <f t="shared" si="153"/>
        <v>#REF!</v>
      </c>
      <c r="J690" s="433">
        <f t="shared" si="153"/>
        <v>11733.1</v>
      </c>
      <c r="K690" s="433">
        <f t="shared" si="153"/>
        <v>6097.6</v>
      </c>
      <c r="L690" s="433">
        <f t="shared" si="153"/>
        <v>17830.7</v>
      </c>
      <c r="M690" s="310" t="e">
        <f t="shared" si="153"/>
        <v>#REF!</v>
      </c>
      <c r="N690" s="309" t="e">
        <f t="shared" si="153"/>
        <v>#REF!</v>
      </c>
      <c r="O690" s="152">
        <f t="shared" si="142"/>
        <v>17830.7</v>
      </c>
    </row>
    <row r="691" spans="5:15" ht="15.75" thickBot="1">
      <c r="E691" s="446"/>
      <c r="F691" s="489" t="s">
        <v>937</v>
      </c>
      <c r="G691" s="310">
        <f>G361</f>
        <v>75</v>
      </c>
      <c r="H691" s="310">
        <f>H361</f>
        <v>1158.1000000000001</v>
      </c>
      <c r="I691" s="310">
        <f>I361</f>
        <v>0</v>
      </c>
      <c r="J691" s="433">
        <f>J361+J561+J619</f>
        <v>1927.1100000000001</v>
      </c>
      <c r="K691" s="433">
        <f>K361+K561+K619</f>
        <v>-1433.7500000000002</v>
      </c>
      <c r="L691" s="433">
        <f>L361+L561+L619</f>
        <v>493.36</v>
      </c>
      <c r="M691" s="310">
        <f>M361</f>
        <v>-169</v>
      </c>
      <c r="N691" s="309">
        <f>N361</f>
        <v>-169</v>
      </c>
      <c r="O691" s="152">
        <f t="shared" si="142"/>
        <v>493.3599999999999</v>
      </c>
    </row>
    <row r="692" spans="5:15" ht="15.75" hidden="1" thickBot="1">
      <c r="E692" s="446" t="e">
        <f>SUM(H693:H696)</f>
        <v>#REF!</v>
      </c>
      <c r="F692" s="325" t="s">
        <v>392</v>
      </c>
      <c r="G692" s="320" t="e">
        <f aca="true" t="shared" si="154" ref="G692:I693">G251</f>
        <v>#REF!</v>
      </c>
      <c r="H692" s="320" t="e">
        <f t="shared" si="154"/>
        <v>#REF!</v>
      </c>
      <c r="I692" s="320" t="e">
        <f t="shared" si="154"/>
        <v>#REF!</v>
      </c>
      <c r="J692" s="434">
        <f>J693+J694+J695+J696</f>
        <v>0</v>
      </c>
      <c r="K692" s="434">
        <f>K693+K694+K695+K696</f>
        <v>0</v>
      </c>
      <c r="L692" s="434">
        <f>L693+L694+L695+L696</f>
        <v>0</v>
      </c>
      <c r="M692" s="320" t="e">
        <f>M251</f>
        <v>#REF!</v>
      </c>
      <c r="N692" s="321" t="e">
        <f>N251</f>
        <v>#REF!</v>
      </c>
      <c r="O692" s="152">
        <f t="shared" si="142"/>
        <v>0</v>
      </c>
    </row>
    <row r="693" spans="5:15" ht="15" hidden="1">
      <c r="E693" s="446"/>
      <c r="F693" s="485" t="s">
        <v>938</v>
      </c>
      <c r="G693" s="298">
        <f t="shared" si="154"/>
        <v>264</v>
      </c>
      <c r="H693" s="298">
        <f t="shared" si="154"/>
        <v>20914.8</v>
      </c>
      <c r="I693" s="298">
        <f t="shared" si="154"/>
        <v>0</v>
      </c>
      <c r="J693" s="430">
        <f>J252</f>
        <v>0</v>
      </c>
      <c r="K693" s="430">
        <f>K252</f>
        <v>0</v>
      </c>
      <c r="L693" s="430">
        <f>L252</f>
        <v>0</v>
      </c>
      <c r="M693" s="298">
        <f>M252</f>
        <v>8.4</v>
      </c>
      <c r="N693" s="319">
        <f>N252</f>
        <v>8.4</v>
      </c>
      <c r="O693" s="152">
        <f t="shared" si="142"/>
        <v>0</v>
      </c>
    </row>
    <row r="694" spans="5:15" ht="15" hidden="1">
      <c r="E694" s="446"/>
      <c r="F694" s="486" t="s">
        <v>939</v>
      </c>
      <c r="G694" s="301">
        <f aca="true" t="shared" si="155" ref="G694:N694">G257</f>
        <v>0</v>
      </c>
      <c r="H694" s="301">
        <f t="shared" si="155"/>
        <v>9363.8</v>
      </c>
      <c r="I694" s="301">
        <f t="shared" si="155"/>
        <v>0</v>
      </c>
      <c r="J694" s="431">
        <f t="shared" si="155"/>
        <v>0</v>
      </c>
      <c r="K694" s="431">
        <f t="shared" si="155"/>
        <v>0</v>
      </c>
      <c r="L694" s="431">
        <f t="shared" si="155"/>
        <v>0</v>
      </c>
      <c r="M694" s="301">
        <f t="shared" si="155"/>
        <v>-768</v>
      </c>
      <c r="N694" s="218">
        <f t="shared" si="155"/>
        <v>-768</v>
      </c>
      <c r="O694" s="152">
        <f t="shared" si="142"/>
        <v>0</v>
      </c>
    </row>
    <row r="695" spans="5:15" ht="15.75" hidden="1" thickBot="1">
      <c r="E695" s="446"/>
      <c r="F695" s="486" t="s">
        <v>940</v>
      </c>
      <c r="G695" s="301">
        <f aca="true" t="shared" si="156" ref="G695:N695">G265</f>
        <v>42.8</v>
      </c>
      <c r="H695" s="301">
        <f t="shared" si="156"/>
        <v>573.7</v>
      </c>
      <c r="I695" s="301">
        <f t="shared" si="156"/>
        <v>0</v>
      </c>
      <c r="J695" s="431">
        <f t="shared" si="156"/>
        <v>0</v>
      </c>
      <c r="K695" s="431">
        <f t="shared" si="156"/>
        <v>0</v>
      </c>
      <c r="L695" s="431">
        <f t="shared" si="156"/>
        <v>0</v>
      </c>
      <c r="M695" s="301">
        <f t="shared" si="156"/>
        <v>0</v>
      </c>
      <c r="N695" s="218">
        <f t="shared" si="156"/>
        <v>0</v>
      </c>
      <c r="O695" s="152">
        <f t="shared" si="142"/>
        <v>0</v>
      </c>
    </row>
    <row r="696" spans="5:15" ht="15.75" hidden="1" thickBot="1">
      <c r="E696" s="446"/>
      <c r="F696" s="317">
        <v>1104</v>
      </c>
      <c r="G696" s="317" t="e">
        <f>G270</f>
        <v>#REF!</v>
      </c>
      <c r="H696" s="317" t="e">
        <f>H270</f>
        <v>#REF!</v>
      </c>
      <c r="I696" s="317" t="e">
        <f>I270</f>
        <v>#REF!</v>
      </c>
      <c r="J696" s="436"/>
      <c r="K696" s="436"/>
      <c r="L696" s="436"/>
      <c r="M696" s="317" t="e">
        <f>M270</f>
        <v>#REF!</v>
      </c>
      <c r="N696" s="315" t="e">
        <f>N270</f>
        <v>#REF!</v>
      </c>
      <c r="O696" s="152">
        <f t="shared" si="142"/>
        <v>0</v>
      </c>
    </row>
    <row r="697" spans="5:15" ht="15.75" thickBot="1">
      <c r="E697" s="446"/>
      <c r="F697" s="498">
        <v>11</v>
      </c>
      <c r="G697" s="320"/>
      <c r="H697" s="320"/>
      <c r="I697" s="320"/>
      <c r="J697" s="434">
        <f>J698</f>
        <v>1000</v>
      </c>
      <c r="K697" s="434">
        <f>K698</f>
        <v>-600</v>
      </c>
      <c r="L697" s="435">
        <f>L698</f>
        <v>400</v>
      </c>
      <c r="M697" s="314"/>
      <c r="N697" s="315"/>
      <c r="O697" s="152">
        <f t="shared" si="142"/>
        <v>400</v>
      </c>
    </row>
    <row r="698" spans="5:15" ht="15.75" thickBot="1">
      <c r="E698" s="446"/>
      <c r="F698" s="317">
        <v>1101</v>
      </c>
      <c r="G698" s="317"/>
      <c r="H698" s="317"/>
      <c r="I698" s="317"/>
      <c r="J698" s="436">
        <f>J626</f>
        <v>1000</v>
      </c>
      <c r="K698" s="436">
        <f>K626</f>
        <v>-600</v>
      </c>
      <c r="L698" s="436">
        <f>L626</f>
        <v>400</v>
      </c>
      <c r="M698" s="314"/>
      <c r="N698" s="315"/>
      <c r="O698" s="152">
        <f t="shared" si="142"/>
        <v>400</v>
      </c>
    </row>
    <row r="699" spans="5:15" ht="15.75" thickBot="1">
      <c r="E699" s="446"/>
      <c r="F699" s="499">
        <v>12</v>
      </c>
      <c r="G699" s="320"/>
      <c r="H699" s="320"/>
      <c r="I699" s="320"/>
      <c r="J699" s="434">
        <f>J700+J701+J702+J703</f>
        <v>890</v>
      </c>
      <c r="K699" s="434">
        <f>K700+K701+K702+K703</f>
        <v>13.600000000000023</v>
      </c>
      <c r="L699" s="435">
        <f>L700+L701+L702+L703</f>
        <v>903.6</v>
      </c>
      <c r="M699" s="314"/>
      <c r="N699" s="315"/>
      <c r="O699" s="152">
        <f t="shared" si="142"/>
        <v>903.6</v>
      </c>
    </row>
    <row r="700" spans="5:15" ht="15" hidden="1">
      <c r="E700" s="446"/>
      <c r="F700" s="298">
        <v>1201</v>
      </c>
      <c r="G700" s="298"/>
      <c r="H700" s="298"/>
      <c r="I700" s="298"/>
      <c r="J700" s="430"/>
      <c r="K700" s="430"/>
      <c r="L700" s="430"/>
      <c r="M700" s="317"/>
      <c r="N700" s="315"/>
      <c r="O700" s="152">
        <f t="shared" si="142"/>
        <v>0</v>
      </c>
    </row>
    <row r="701" spans="5:15" ht="15.75" thickBot="1">
      <c r="E701" s="446"/>
      <c r="F701" s="301">
        <v>1202</v>
      </c>
      <c r="G701" s="301"/>
      <c r="H701" s="301"/>
      <c r="I701" s="301"/>
      <c r="J701" s="431">
        <f>J566</f>
        <v>890</v>
      </c>
      <c r="K701" s="431">
        <f>K566</f>
        <v>13.600000000000023</v>
      </c>
      <c r="L701" s="431">
        <f>L566</f>
        <v>903.6</v>
      </c>
      <c r="M701" s="317"/>
      <c r="N701" s="315"/>
      <c r="O701" s="152">
        <f t="shared" si="142"/>
        <v>903.6</v>
      </c>
    </row>
    <row r="702" spans="5:15" ht="15" hidden="1">
      <c r="E702" s="446"/>
      <c r="F702" s="301">
        <v>1203</v>
      </c>
      <c r="G702" s="301"/>
      <c r="H702" s="301"/>
      <c r="I702" s="301"/>
      <c r="J702" s="431"/>
      <c r="K702" s="431"/>
      <c r="L702" s="431"/>
      <c r="M702" s="317"/>
      <c r="N702" s="315"/>
      <c r="O702" s="152">
        <f t="shared" si="142"/>
        <v>0</v>
      </c>
    </row>
    <row r="703" spans="5:15" ht="15.75" hidden="1" thickBot="1">
      <c r="E703" s="446"/>
      <c r="F703" s="310">
        <v>1204</v>
      </c>
      <c r="G703" s="310"/>
      <c r="H703" s="310"/>
      <c r="I703" s="310"/>
      <c r="J703" s="433"/>
      <c r="K703" s="433"/>
      <c r="L703" s="433"/>
      <c r="M703" s="317"/>
      <c r="N703" s="315"/>
      <c r="O703" s="152">
        <f t="shared" si="142"/>
        <v>0</v>
      </c>
    </row>
    <row r="704" spans="5:15" ht="15.75" thickBot="1">
      <c r="E704" s="446"/>
      <c r="F704" s="499">
        <v>13</v>
      </c>
      <c r="G704" s="320"/>
      <c r="H704" s="320"/>
      <c r="I704" s="320"/>
      <c r="J704" s="434">
        <f>J705+J706</f>
        <v>100</v>
      </c>
      <c r="K704" s="434">
        <f>K705+K706</f>
        <v>42.19999999999999</v>
      </c>
      <c r="L704" s="434">
        <f>L705+L706</f>
        <v>142.2</v>
      </c>
      <c r="M704" s="314"/>
      <c r="N704" s="315"/>
      <c r="O704" s="152">
        <f t="shared" si="142"/>
        <v>142.2</v>
      </c>
    </row>
    <row r="705" spans="5:15" ht="15.75" thickBot="1">
      <c r="E705" s="446"/>
      <c r="F705" s="298">
        <v>1301</v>
      </c>
      <c r="G705" s="298"/>
      <c r="H705" s="298"/>
      <c r="I705" s="298"/>
      <c r="J705" s="430">
        <f>J270</f>
        <v>100</v>
      </c>
      <c r="K705" s="430">
        <f>K270</f>
        <v>42.19999999999999</v>
      </c>
      <c r="L705" s="430">
        <f>L270</f>
        <v>142.2</v>
      </c>
      <c r="M705" s="317"/>
      <c r="N705" s="315"/>
      <c r="O705" s="152">
        <f t="shared" si="142"/>
        <v>142.2</v>
      </c>
    </row>
    <row r="706" spans="5:15" ht="15.75" hidden="1" thickBot="1">
      <c r="E706" s="446"/>
      <c r="F706" s="310">
        <v>1302</v>
      </c>
      <c r="G706" s="310"/>
      <c r="H706" s="310"/>
      <c r="I706" s="310"/>
      <c r="J706" s="433"/>
      <c r="K706" s="433"/>
      <c r="L706" s="433"/>
      <c r="M706" s="317"/>
      <c r="N706" s="315"/>
      <c r="O706" s="152">
        <f t="shared" si="142"/>
        <v>0</v>
      </c>
    </row>
    <row r="707" spans="5:15" ht="15.75" thickBot="1">
      <c r="E707" s="446"/>
      <c r="F707" s="499">
        <v>14</v>
      </c>
      <c r="G707" s="320"/>
      <c r="H707" s="320"/>
      <c r="I707" s="320"/>
      <c r="J707" s="434">
        <f>J708+J709+J710</f>
        <v>29126.1</v>
      </c>
      <c r="K707" s="434">
        <f>K708+K709+K710</f>
        <v>1751.000000000001</v>
      </c>
      <c r="L707" s="434">
        <f>L708+L709+L710</f>
        <v>30877.1</v>
      </c>
      <c r="M707" s="314"/>
      <c r="N707" s="315"/>
      <c r="O707" s="152">
        <f aca="true" t="shared" si="157" ref="O707:O712">J707+K707</f>
        <v>30877.1</v>
      </c>
    </row>
    <row r="708" spans="5:15" ht="15">
      <c r="E708" s="446"/>
      <c r="F708" s="298">
        <v>1401</v>
      </c>
      <c r="G708" s="298"/>
      <c r="H708" s="298"/>
      <c r="I708" s="298"/>
      <c r="J708" s="430">
        <f>J275</f>
        <v>23512.3</v>
      </c>
      <c r="K708" s="430">
        <f>K275</f>
        <v>7364.800000000001</v>
      </c>
      <c r="L708" s="430">
        <f>L275</f>
        <v>30877.1</v>
      </c>
      <c r="M708" s="317"/>
      <c r="N708" s="315"/>
      <c r="O708" s="152">
        <f t="shared" si="157"/>
        <v>30877.1</v>
      </c>
    </row>
    <row r="709" spans="5:15" ht="15" hidden="1">
      <c r="E709" s="446"/>
      <c r="F709" s="301">
        <v>1402</v>
      </c>
      <c r="G709" s="301"/>
      <c r="H709" s="301"/>
      <c r="I709" s="301"/>
      <c r="J709" s="431"/>
      <c r="K709" s="431"/>
      <c r="L709" s="431"/>
      <c r="M709" s="317"/>
      <c r="N709" s="315"/>
      <c r="O709" s="152">
        <f t="shared" si="157"/>
        <v>0</v>
      </c>
    </row>
    <row r="710" spans="5:15" ht="15">
      <c r="E710" s="446"/>
      <c r="F710" s="310">
        <v>1403</v>
      </c>
      <c r="G710" s="310"/>
      <c r="H710" s="310"/>
      <c r="I710" s="310"/>
      <c r="J710" s="433">
        <f>J283</f>
        <v>5613.8</v>
      </c>
      <c r="K710" s="433">
        <f>K283</f>
        <v>-5613.8</v>
      </c>
      <c r="L710" s="433">
        <f>L283</f>
        <v>0</v>
      </c>
      <c r="M710" s="317"/>
      <c r="N710" s="315"/>
      <c r="O710" s="152">
        <f t="shared" si="157"/>
        <v>0</v>
      </c>
    </row>
    <row r="711" spans="5:15" ht="15">
      <c r="E711" s="446"/>
      <c r="F711" s="301">
        <v>9999</v>
      </c>
      <c r="G711" s="301"/>
      <c r="H711" s="301"/>
      <c r="I711" s="301"/>
      <c r="J711" s="431">
        <v>9647.17</v>
      </c>
      <c r="K711" s="431">
        <f>K632</f>
        <v>-9647.17</v>
      </c>
      <c r="L711" s="431">
        <f>L632</f>
        <v>0</v>
      </c>
      <c r="M711" s="301"/>
      <c r="N711" s="218"/>
      <c r="O711" s="152">
        <f t="shared" si="157"/>
        <v>0</v>
      </c>
    </row>
    <row r="712" spans="5:15" ht="15.75" thickBot="1">
      <c r="E712" s="446"/>
      <c r="F712" s="500" t="s">
        <v>941</v>
      </c>
      <c r="G712" s="501" t="e">
        <f>G640+G654+G658+G663+G668+G674+G679+G686+G692</f>
        <v>#REF!</v>
      </c>
      <c r="H712" s="501" t="e">
        <f>H640+H654+H658+H663+H668+H674+H679+H686+H692</f>
        <v>#REF!</v>
      </c>
      <c r="I712" s="501" t="e">
        <f>I640+I654+I658+I663+I668+I674+I679+I686+I692</f>
        <v>#REF!</v>
      </c>
      <c r="J712" s="438">
        <f>J640+J654+J658+J663+J668+J674+J679+J686+J692+J699+J704+J707+J697+J652+J632</f>
        <v>371045.14999999997</v>
      </c>
      <c r="K712" s="438">
        <f>K640+K654+K658+K663+K668+K674+K679+K686+K692+K699+K704+K707+K697+K652+K632</f>
        <v>-61614.93000000001</v>
      </c>
      <c r="L712" s="438">
        <f>L640+L654+L658+L663+L668+L674+L679+L686+L692+L699+L704+L707+L697+L652+L632</f>
        <v>309430.2199999999</v>
      </c>
      <c r="M712" s="338" t="e">
        <f>M640+M654+M658+M663+M668+M674+M679+M686+M692+M699+M704+M707+M697+M652</f>
        <v>#REF!</v>
      </c>
      <c r="N712" s="338" t="e">
        <f>N640+N654+N658+N663+N668+N674+N679+N686+N692+N699+N704+N707+N697+N652</f>
        <v>#REF!</v>
      </c>
      <c r="O712" s="152">
        <f t="shared" si="157"/>
        <v>309430.22</v>
      </c>
    </row>
    <row r="713" spans="6:13" ht="15">
      <c r="F713" s="502"/>
      <c r="G713" s="340"/>
      <c r="I713" s="340"/>
      <c r="K713" s="439"/>
      <c r="L713" s="424">
        <v>309430.22</v>
      </c>
      <c r="M713" s="340"/>
    </row>
    <row r="714" spans="6:13" ht="15">
      <c r="F714" s="502"/>
      <c r="G714" s="340"/>
      <c r="I714" s="340"/>
      <c r="K714" s="439"/>
      <c r="L714" s="424">
        <f>L712-L713</f>
        <v>0</v>
      </c>
      <c r="M714" s="340"/>
    </row>
    <row r="715" spans="6:13" ht="15">
      <c r="F715" s="502"/>
      <c r="G715" s="340"/>
      <c r="I715" s="340"/>
      <c r="K715" s="439"/>
      <c r="M715" s="340"/>
    </row>
    <row r="716" spans="6:13" ht="15">
      <c r="F716" s="502"/>
      <c r="G716" s="340"/>
      <c r="I716" s="340"/>
      <c r="K716" s="439"/>
      <c r="M716" s="340"/>
    </row>
    <row r="717" spans="6:13" ht="15">
      <c r="F717" s="502"/>
      <c r="G717" s="340"/>
      <c r="I717" s="340"/>
      <c r="K717" s="439"/>
      <c r="M717" s="340"/>
    </row>
    <row r="718" spans="6:13" ht="15">
      <c r="F718" s="502"/>
      <c r="G718" s="340"/>
      <c r="I718" s="340"/>
      <c r="K718" s="439"/>
      <c r="M718" s="340"/>
    </row>
    <row r="719" spans="6:13" ht="15">
      <c r="F719" s="502"/>
      <c r="G719" s="340"/>
      <c r="I719" s="340"/>
      <c r="K719" s="439"/>
      <c r="M719" s="340"/>
    </row>
    <row r="720" spans="7:13" ht="15">
      <c r="G720" s="340"/>
      <c r="I720" s="340"/>
      <c r="K720" s="439"/>
      <c r="M720" s="340"/>
    </row>
    <row r="721" spans="7:13" ht="15">
      <c r="G721" s="340"/>
      <c r="I721" s="340"/>
      <c r="K721" s="439"/>
      <c r="M721" s="340"/>
    </row>
    <row r="722" spans="7:13" ht="15">
      <c r="G722" s="340"/>
      <c r="I722" s="340"/>
      <c r="K722" s="439"/>
      <c r="M722" s="340"/>
    </row>
    <row r="723" spans="7:13" ht="15">
      <c r="G723" s="340"/>
      <c r="I723" s="340"/>
      <c r="K723" s="439"/>
      <c r="M723" s="340"/>
    </row>
    <row r="724" spans="7:13" ht="15">
      <c r="G724" s="340"/>
      <c r="I724" s="340"/>
      <c r="K724" s="439"/>
      <c r="M724" s="340"/>
    </row>
    <row r="725" spans="7:13" ht="15">
      <c r="G725" s="340"/>
      <c r="I725" s="340"/>
      <c r="K725" s="439"/>
      <c r="M725" s="340"/>
    </row>
    <row r="726" spans="7:13" ht="15">
      <c r="G726" s="340"/>
      <c r="I726" s="340"/>
      <c r="K726" s="439"/>
      <c r="M726" s="340"/>
    </row>
    <row r="727" spans="7:13" ht="15">
      <c r="G727" s="340"/>
      <c r="I727" s="340"/>
      <c r="K727" s="439"/>
      <c r="M727" s="340"/>
    </row>
    <row r="728" spans="7:13" ht="15">
      <c r="G728" s="340"/>
      <c r="I728" s="340"/>
      <c r="K728" s="439"/>
      <c r="M728" s="340"/>
    </row>
    <row r="729" spans="7:13" ht="15">
      <c r="G729" s="340"/>
      <c r="I729" s="340"/>
      <c r="K729" s="439"/>
      <c r="M729" s="340"/>
    </row>
    <row r="730" spans="7:13" ht="15">
      <c r="G730" s="340"/>
      <c r="I730" s="340"/>
      <c r="K730" s="439"/>
      <c r="M730" s="340"/>
    </row>
    <row r="731" spans="7:13" ht="15">
      <c r="G731" s="340"/>
      <c r="I731" s="340"/>
      <c r="K731" s="439"/>
      <c r="M731" s="340"/>
    </row>
    <row r="732" spans="7:13" ht="15">
      <c r="G732" s="340"/>
      <c r="I732" s="340"/>
      <c r="K732" s="439"/>
      <c r="M732" s="340"/>
    </row>
    <row r="733" spans="7:13" ht="15">
      <c r="G733" s="340"/>
      <c r="I733" s="340"/>
      <c r="K733" s="439"/>
      <c r="M733" s="340"/>
    </row>
    <row r="734" spans="7:13" ht="15">
      <c r="G734" s="340"/>
      <c r="I734" s="340"/>
      <c r="K734" s="439"/>
      <c r="M734" s="340"/>
    </row>
    <row r="735" spans="7:13" ht="15">
      <c r="G735" s="340"/>
      <c r="I735" s="340"/>
      <c r="K735" s="439"/>
      <c r="M735" s="340"/>
    </row>
    <row r="736" spans="7:13" ht="15">
      <c r="G736" s="340"/>
      <c r="I736" s="340"/>
      <c r="K736" s="439"/>
      <c r="M736" s="340"/>
    </row>
    <row r="737" spans="7:13" ht="15">
      <c r="G737" s="340"/>
      <c r="I737" s="340"/>
      <c r="K737" s="439"/>
      <c r="M737" s="340"/>
    </row>
    <row r="738" spans="7:13" ht="15">
      <c r="G738" s="340"/>
      <c r="I738" s="340"/>
      <c r="K738" s="439"/>
      <c r="M738" s="340"/>
    </row>
    <row r="739" spans="7:13" ht="15">
      <c r="G739" s="340"/>
      <c r="I739" s="340"/>
      <c r="K739" s="439"/>
      <c r="M739" s="340"/>
    </row>
    <row r="740" spans="7:13" ht="15">
      <c r="G740" s="340"/>
      <c r="I740" s="340"/>
      <c r="K740" s="439"/>
      <c r="M740" s="340"/>
    </row>
    <row r="741" spans="7:13" ht="15">
      <c r="G741" s="340"/>
      <c r="I741" s="340"/>
      <c r="K741" s="439"/>
      <c r="M741" s="340"/>
    </row>
    <row r="742" spans="7:13" ht="15">
      <c r="G742" s="340"/>
      <c r="I742" s="340"/>
      <c r="K742" s="439"/>
      <c r="M742" s="340"/>
    </row>
    <row r="743" spans="7:13" ht="15">
      <c r="G743" s="340"/>
      <c r="I743" s="340"/>
      <c r="K743" s="439"/>
      <c r="M743" s="340"/>
    </row>
    <row r="744" spans="7:13" ht="15">
      <c r="G744" s="340"/>
      <c r="I744" s="340"/>
      <c r="K744" s="439"/>
      <c r="M744" s="340"/>
    </row>
    <row r="745" spans="7:13" ht="15">
      <c r="G745" s="340"/>
      <c r="I745" s="340"/>
      <c r="K745" s="439"/>
      <c r="M745" s="340"/>
    </row>
    <row r="746" spans="7:13" ht="15">
      <c r="G746" s="340"/>
      <c r="I746" s="340"/>
      <c r="K746" s="439"/>
      <c r="M746" s="340"/>
    </row>
    <row r="747" spans="7:13" ht="15">
      <c r="G747" s="340"/>
      <c r="I747" s="340"/>
      <c r="K747" s="439"/>
      <c r="M747" s="340"/>
    </row>
    <row r="748" spans="7:13" ht="15">
      <c r="G748" s="340"/>
      <c r="I748" s="340"/>
      <c r="K748" s="439"/>
      <c r="M748" s="340"/>
    </row>
    <row r="749" spans="7:13" ht="15">
      <c r="G749" s="340"/>
      <c r="I749" s="340"/>
      <c r="K749" s="439"/>
      <c r="M749" s="340"/>
    </row>
    <row r="750" spans="7:13" ht="15">
      <c r="G750" s="340"/>
      <c r="I750" s="340"/>
      <c r="K750" s="439"/>
      <c r="M750" s="340"/>
    </row>
    <row r="751" spans="7:13" ht="15">
      <c r="G751" s="340"/>
      <c r="I751" s="340"/>
      <c r="K751" s="439"/>
      <c r="M751" s="340"/>
    </row>
    <row r="752" spans="7:13" ht="15">
      <c r="G752" s="340"/>
      <c r="I752" s="340"/>
      <c r="K752" s="439"/>
      <c r="M752" s="340"/>
    </row>
    <row r="753" spans="7:13" ht="15">
      <c r="G753" s="340"/>
      <c r="I753" s="340"/>
      <c r="K753" s="439"/>
      <c r="M753" s="340"/>
    </row>
    <row r="754" spans="7:13" ht="15">
      <c r="G754" s="340"/>
      <c r="I754" s="340"/>
      <c r="K754" s="439"/>
      <c r="M754" s="340"/>
    </row>
    <row r="755" spans="7:13" ht="15">
      <c r="G755" s="340"/>
      <c r="I755" s="340"/>
      <c r="K755" s="439"/>
      <c r="M755" s="340"/>
    </row>
    <row r="756" spans="7:13" ht="15">
      <c r="G756" s="340"/>
      <c r="I756" s="340"/>
      <c r="K756" s="439"/>
      <c r="M756" s="340"/>
    </row>
    <row r="757" spans="7:13" ht="15">
      <c r="G757" s="340"/>
      <c r="I757" s="340"/>
      <c r="K757" s="439"/>
      <c r="M757" s="340"/>
    </row>
    <row r="758" spans="7:13" ht="15">
      <c r="G758" s="340"/>
      <c r="I758" s="340"/>
      <c r="K758" s="439"/>
      <c r="M758" s="340"/>
    </row>
    <row r="759" spans="7:13" ht="15">
      <c r="G759" s="340"/>
      <c r="I759" s="340"/>
      <c r="K759" s="439"/>
      <c r="M759" s="340"/>
    </row>
    <row r="760" spans="7:13" ht="15">
      <c r="G760" s="340"/>
      <c r="I760" s="340"/>
      <c r="K760" s="439"/>
      <c r="M760" s="340"/>
    </row>
    <row r="761" spans="7:13" ht="15">
      <c r="G761" s="340"/>
      <c r="I761" s="340"/>
      <c r="K761" s="439"/>
      <c r="M761" s="340"/>
    </row>
    <row r="762" spans="7:13" ht="15">
      <c r="G762" s="340"/>
      <c r="I762" s="340"/>
      <c r="K762" s="439"/>
      <c r="M762" s="340"/>
    </row>
    <row r="763" spans="7:13" ht="15">
      <c r="G763" s="340"/>
      <c r="I763" s="340"/>
      <c r="K763" s="439"/>
      <c r="M763" s="340"/>
    </row>
    <row r="764" spans="7:13" ht="15">
      <c r="G764" s="340"/>
      <c r="I764" s="340"/>
      <c r="K764" s="439"/>
      <c r="M764" s="340"/>
    </row>
    <row r="765" spans="7:13" ht="15">
      <c r="G765" s="340"/>
      <c r="I765" s="340"/>
      <c r="K765" s="439"/>
      <c r="M765" s="340"/>
    </row>
    <row r="766" spans="7:13" ht="15">
      <c r="G766" s="340"/>
      <c r="I766" s="340"/>
      <c r="K766" s="439"/>
      <c r="M766" s="340"/>
    </row>
    <row r="767" spans="7:13" ht="15">
      <c r="G767" s="340"/>
      <c r="I767" s="340"/>
      <c r="K767" s="439"/>
      <c r="M767" s="340"/>
    </row>
    <row r="768" spans="7:13" ht="15">
      <c r="G768" s="340"/>
      <c r="I768" s="340"/>
      <c r="K768" s="439"/>
      <c r="M768" s="340"/>
    </row>
    <row r="769" spans="7:13" ht="15">
      <c r="G769" s="340"/>
      <c r="I769" s="340"/>
      <c r="K769" s="439"/>
      <c r="M769" s="340"/>
    </row>
    <row r="770" spans="7:13" ht="15">
      <c r="G770" s="340"/>
      <c r="I770" s="340"/>
      <c r="K770" s="439"/>
      <c r="M770" s="340"/>
    </row>
    <row r="771" spans="7:13" ht="15">
      <c r="G771" s="340"/>
      <c r="I771" s="340"/>
      <c r="K771" s="439"/>
      <c r="M771" s="340"/>
    </row>
    <row r="772" spans="7:13" ht="15">
      <c r="G772" s="340"/>
      <c r="I772" s="340"/>
      <c r="K772" s="439"/>
      <c r="M772" s="340"/>
    </row>
    <row r="773" spans="7:13" ht="15">
      <c r="G773" s="340"/>
      <c r="I773" s="340"/>
      <c r="K773" s="439"/>
      <c r="M773" s="340"/>
    </row>
    <row r="774" spans="7:13" ht="15">
      <c r="G774" s="340"/>
      <c r="I774" s="340"/>
      <c r="K774" s="439"/>
      <c r="M774" s="340"/>
    </row>
    <row r="775" spans="7:13" ht="15">
      <c r="G775" s="340"/>
      <c r="I775" s="340"/>
      <c r="K775" s="439"/>
      <c r="M775" s="340"/>
    </row>
    <row r="776" spans="7:13" ht="15">
      <c r="G776" s="340"/>
      <c r="I776" s="340"/>
      <c r="K776" s="439"/>
      <c r="M776" s="340"/>
    </row>
    <row r="777" spans="7:13" ht="15">
      <c r="G777" s="340"/>
      <c r="I777" s="340"/>
      <c r="K777" s="439"/>
      <c r="M777" s="340"/>
    </row>
    <row r="778" spans="7:13" ht="15">
      <c r="G778" s="340"/>
      <c r="I778" s="340"/>
      <c r="K778" s="439"/>
      <c r="M778" s="340"/>
    </row>
    <row r="779" spans="7:13" ht="15">
      <c r="G779" s="340"/>
      <c r="I779" s="340"/>
      <c r="K779" s="439"/>
      <c r="M779" s="340"/>
    </row>
    <row r="780" spans="7:13" ht="15">
      <c r="G780" s="340"/>
      <c r="I780" s="340"/>
      <c r="K780" s="439"/>
      <c r="M780" s="340"/>
    </row>
    <row r="781" spans="7:13" ht="15">
      <c r="G781" s="340"/>
      <c r="I781" s="340"/>
      <c r="K781" s="439"/>
      <c r="M781" s="340"/>
    </row>
    <row r="782" spans="7:13" ht="15">
      <c r="G782" s="340"/>
      <c r="I782" s="340"/>
      <c r="K782" s="439"/>
      <c r="M782" s="340"/>
    </row>
    <row r="783" spans="7:13" ht="15">
      <c r="G783" s="340"/>
      <c r="I783" s="340"/>
      <c r="K783" s="439"/>
      <c r="M783" s="340"/>
    </row>
    <row r="784" spans="7:13" ht="15">
      <c r="G784" s="340"/>
      <c r="I784" s="340"/>
      <c r="K784" s="439"/>
      <c r="M784" s="340"/>
    </row>
    <row r="785" spans="7:13" ht="15">
      <c r="G785" s="340"/>
      <c r="I785" s="340"/>
      <c r="K785" s="439"/>
      <c r="M785" s="340"/>
    </row>
    <row r="786" spans="7:13" ht="15">
      <c r="G786" s="340"/>
      <c r="I786" s="340"/>
      <c r="K786" s="439"/>
      <c r="M786" s="340"/>
    </row>
    <row r="787" spans="7:13" ht="15">
      <c r="G787" s="340"/>
      <c r="I787" s="340"/>
      <c r="K787" s="439"/>
      <c r="M787" s="340"/>
    </row>
    <row r="788" spans="7:13" ht="15">
      <c r="G788" s="340"/>
      <c r="I788" s="340"/>
      <c r="K788" s="439"/>
      <c r="M788" s="340"/>
    </row>
    <row r="789" spans="7:13" ht="15">
      <c r="G789" s="340"/>
      <c r="I789" s="340"/>
      <c r="K789" s="439"/>
      <c r="M789" s="340"/>
    </row>
    <row r="790" spans="7:13" ht="15">
      <c r="G790" s="340"/>
      <c r="I790" s="340"/>
      <c r="K790" s="439"/>
      <c r="M790" s="340"/>
    </row>
    <row r="791" spans="7:13" ht="15">
      <c r="G791" s="340"/>
      <c r="I791" s="340"/>
      <c r="K791" s="439"/>
      <c r="M791" s="340"/>
    </row>
    <row r="792" spans="7:13" ht="15">
      <c r="G792" s="340"/>
      <c r="I792" s="340"/>
      <c r="K792" s="439"/>
      <c r="M792" s="340"/>
    </row>
    <row r="793" spans="7:13" ht="15">
      <c r="G793" s="340"/>
      <c r="I793" s="340"/>
      <c r="K793" s="439"/>
      <c r="M793" s="340"/>
    </row>
    <row r="794" spans="7:13" ht="15">
      <c r="G794" s="340"/>
      <c r="I794" s="340"/>
      <c r="K794" s="439"/>
      <c r="M794" s="340"/>
    </row>
    <row r="795" spans="7:13" ht="15">
      <c r="G795" s="340"/>
      <c r="I795" s="340"/>
      <c r="K795" s="439"/>
      <c r="M795" s="340"/>
    </row>
    <row r="796" spans="7:13" ht="15">
      <c r="G796" s="340"/>
      <c r="I796" s="340"/>
      <c r="K796" s="439"/>
      <c r="M796" s="340"/>
    </row>
    <row r="797" spans="7:13" ht="15">
      <c r="G797" s="340"/>
      <c r="I797" s="340"/>
      <c r="K797" s="439"/>
      <c r="M797" s="340"/>
    </row>
    <row r="798" spans="7:13" ht="15">
      <c r="G798" s="340"/>
      <c r="I798" s="340"/>
      <c r="K798" s="439"/>
      <c r="M798" s="340"/>
    </row>
    <row r="799" spans="7:13" ht="15">
      <c r="G799" s="340"/>
      <c r="I799" s="340"/>
      <c r="K799" s="439"/>
      <c r="M799" s="340"/>
    </row>
    <row r="800" spans="7:13" ht="15">
      <c r="G800" s="340"/>
      <c r="I800" s="340"/>
      <c r="K800" s="439"/>
      <c r="M800" s="340"/>
    </row>
    <row r="801" spans="7:13" ht="15">
      <c r="G801" s="340"/>
      <c r="I801" s="340"/>
      <c r="K801" s="439"/>
      <c r="M801" s="340"/>
    </row>
    <row r="802" spans="7:13" ht="15">
      <c r="G802" s="340"/>
      <c r="I802" s="340"/>
      <c r="K802" s="439"/>
      <c r="M802" s="340"/>
    </row>
    <row r="803" spans="7:13" ht="15">
      <c r="G803" s="340"/>
      <c r="I803" s="340"/>
      <c r="K803" s="439"/>
      <c r="M803" s="340"/>
    </row>
    <row r="804" spans="7:13" ht="15">
      <c r="G804" s="340"/>
      <c r="I804" s="340"/>
      <c r="K804" s="439"/>
      <c r="M804" s="340"/>
    </row>
    <row r="805" spans="7:13" ht="15">
      <c r="G805" s="340"/>
      <c r="I805" s="340"/>
      <c r="K805" s="439"/>
      <c r="M805" s="340"/>
    </row>
    <row r="806" spans="7:13" ht="15">
      <c r="G806" s="340"/>
      <c r="I806" s="340"/>
      <c r="K806" s="439"/>
      <c r="M806" s="340"/>
    </row>
    <row r="807" spans="7:13" ht="15">
      <c r="G807" s="340"/>
      <c r="I807" s="340"/>
      <c r="K807" s="439"/>
      <c r="M807" s="340"/>
    </row>
    <row r="808" spans="7:13" ht="15">
      <c r="G808" s="340"/>
      <c r="I808" s="340"/>
      <c r="K808" s="439"/>
      <c r="M808" s="340"/>
    </row>
    <row r="809" spans="7:13" ht="15">
      <c r="G809" s="340"/>
      <c r="I809" s="340"/>
      <c r="K809" s="439"/>
      <c r="M809" s="340"/>
    </row>
    <row r="810" spans="7:13" ht="15">
      <c r="G810" s="340"/>
      <c r="I810" s="340"/>
      <c r="K810" s="439"/>
      <c r="M810" s="340"/>
    </row>
    <row r="811" spans="7:13" ht="15">
      <c r="G811" s="340"/>
      <c r="I811" s="340"/>
      <c r="K811" s="439"/>
      <c r="M811" s="340"/>
    </row>
    <row r="812" spans="7:13" ht="15">
      <c r="G812" s="340"/>
      <c r="I812" s="340"/>
      <c r="K812" s="439"/>
      <c r="M812" s="340"/>
    </row>
    <row r="813" spans="7:13" ht="15">
      <c r="G813" s="340"/>
      <c r="I813" s="340"/>
      <c r="K813" s="439"/>
      <c r="M813" s="340"/>
    </row>
    <row r="814" spans="7:13" ht="15">
      <c r="G814" s="340"/>
      <c r="I814" s="340"/>
      <c r="K814" s="439"/>
      <c r="M814" s="340"/>
    </row>
    <row r="815" spans="7:13" ht="15">
      <c r="G815" s="340"/>
      <c r="I815" s="340"/>
      <c r="K815" s="439"/>
      <c r="M815" s="340"/>
    </row>
    <row r="816" spans="7:13" ht="15">
      <c r="G816" s="340"/>
      <c r="I816" s="340"/>
      <c r="K816" s="439"/>
      <c r="M816" s="340"/>
    </row>
    <row r="817" spans="7:13" ht="15">
      <c r="G817" s="340"/>
      <c r="I817" s="340"/>
      <c r="K817" s="439"/>
      <c r="M817" s="340"/>
    </row>
    <row r="818" spans="7:13" ht="15">
      <c r="G818" s="340"/>
      <c r="I818" s="340"/>
      <c r="K818" s="439"/>
      <c r="M818" s="340"/>
    </row>
    <row r="819" spans="7:13" ht="15">
      <c r="G819" s="340"/>
      <c r="I819" s="340"/>
      <c r="K819" s="439"/>
      <c r="M819" s="340"/>
    </row>
    <row r="820" spans="7:13" ht="15">
      <c r="G820" s="340"/>
      <c r="I820" s="340"/>
      <c r="K820" s="439"/>
      <c r="M820" s="340"/>
    </row>
    <row r="821" spans="7:13" ht="15">
      <c r="G821" s="340"/>
      <c r="I821" s="340"/>
      <c r="K821" s="439"/>
      <c r="M821" s="340"/>
    </row>
    <row r="822" spans="7:13" ht="15">
      <c r="G822" s="340"/>
      <c r="I822" s="340"/>
      <c r="K822" s="439"/>
      <c r="M822" s="340"/>
    </row>
    <row r="823" spans="7:13" ht="15">
      <c r="G823" s="340"/>
      <c r="I823" s="340"/>
      <c r="K823" s="439"/>
      <c r="M823" s="340"/>
    </row>
    <row r="824" spans="7:13" ht="15">
      <c r="G824" s="340"/>
      <c r="I824" s="340"/>
      <c r="K824" s="439"/>
      <c r="M824" s="340"/>
    </row>
    <row r="825" spans="7:13" ht="15">
      <c r="G825" s="340"/>
      <c r="I825" s="340"/>
      <c r="K825" s="439"/>
      <c r="M825" s="340"/>
    </row>
    <row r="826" spans="7:13" ht="15">
      <c r="G826" s="340"/>
      <c r="I826" s="340"/>
      <c r="K826" s="439"/>
      <c r="M826" s="340"/>
    </row>
    <row r="827" spans="7:13" ht="15">
      <c r="G827" s="340"/>
      <c r="I827" s="340"/>
      <c r="K827" s="439"/>
      <c r="M827" s="340"/>
    </row>
    <row r="828" spans="7:13" ht="15">
      <c r="G828" s="340"/>
      <c r="I828" s="340"/>
      <c r="K828" s="439"/>
      <c r="M828" s="340"/>
    </row>
    <row r="829" spans="7:13" ht="15">
      <c r="G829" s="340"/>
      <c r="I829" s="340"/>
      <c r="K829" s="439"/>
      <c r="M829" s="340"/>
    </row>
    <row r="830" spans="7:13" ht="15">
      <c r="G830" s="340"/>
      <c r="I830" s="340"/>
      <c r="K830" s="439"/>
      <c r="M830" s="340"/>
    </row>
    <row r="831" spans="7:13" ht="15">
      <c r="G831" s="340"/>
      <c r="I831" s="340"/>
      <c r="K831" s="439"/>
      <c r="M831" s="340"/>
    </row>
    <row r="832" spans="7:13" ht="15">
      <c r="G832" s="340"/>
      <c r="I832" s="340"/>
      <c r="K832" s="439"/>
      <c r="M832" s="340"/>
    </row>
    <row r="833" spans="7:13" ht="15">
      <c r="G833" s="340"/>
      <c r="I833" s="340"/>
      <c r="K833" s="439"/>
      <c r="M833" s="340"/>
    </row>
    <row r="834" spans="7:13" ht="15">
      <c r="G834" s="340"/>
      <c r="I834" s="340"/>
      <c r="K834" s="439"/>
      <c r="M834" s="340"/>
    </row>
    <row r="835" spans="7:13" ht="15">
      <c r="G835" s="340"/>
      <c r="I835" s="340"/>
      <c r="K835" s="439"/>
      <c r="M835" s="340"/>
    </row>
    <row r="836" spans="7:13" ht="15">
      <c r="G836" s="340"/>
      <c r="I836" s="340"/>
      <c r="K836" s="439"/>
      <c r="M836" s="340"/>
    </row>
    <row r="837" spans="7:13" ht="15">
      <c r="G837" s="340"/>
      <c r="I837" s="340"/>
      <c r="K837" s="439"/>
      <c r="M837" s="340"/>
    </row>
    <row r="838" spans="7:13" ht="15">
      <c r="G838" s="340"/>
      <c r="I838" s="340"/>
      <c r="K838" s="439"/>
      <c r="M838" s="340"/>
    </row>
    <row r="839" spans="7:13" ht="15">
      <c r="G839" s="340"/>
      <c r="I839" s="340"/>
      <c r="K839" s="439"/>
      <c r="M839" s="340"/>
    </row>
    <row r="840" spans="7:13" ht="15">
      <c r="G840" s="340"/>
      <c r="I840" s="340"/>
      <c r="K840" s="439"/>
      <c r="M840" s="340"/>
    </row>
    <row r="841" spans="7:13" ht="15">
      <c r="G841" s="340"/>
      <c r="I841" s="340"/>
      <c r="K841" s="439"/>
      <c r="M841" s="340"/>
    </row>
    <row r="842" spans="7:13" ht="15">
      <c r="G842" s="340"/>
      <c r="I842" s="340"/>
      <c r="K842" s="439"/>
      <c r="M842" s="340"/>
    </row>
    <row r="843" spans="7:13" ht="15">
      <c r="G843" s="340"/>
      <c r="I843" s="340"/>
      <c r="K843" s="439"/>
      <c r="M843" s="340"/>
    </row>
    <row r="844" spans="7:13" ht="15">
      <c r="G844" s="340"/>
      <c r="I844" s="340"/>
      <c r="K844" s="439"/>
      <c r="M844" s="340"/>
    </row>
    <row r="845" spans="7:13" ht="15">
      <c r="G845" s="340"/>
      <c r="I845" s="340"/>
      <c r="K845" s="439"/>
      <c r="M845" s="340"/>
    </row>
    <row r="846" spans="7:13" ht="15">
      <c r="G846" s="340"/>
      <c r="I846" s="340"/>
      <c r="K846" s="439"/>
      <c r="M846" s="340"/>
    </row>
    <row r="847" spans="7:13" ht="15">
      <c r="G847" s="340"/>
      <c r="I847" s="340"/>
      <c r="K847" s="439"/>
      <c r="M847" s="340"/>
    </row>
    <row r="848" spans="7:13" ht="15">
      <c r="G848" s="340"/>
      <c r="I848" s="340"/>
      <c r="K848" s="439"/>
      <c r="M848" s="340"/>
    </row>
    <row r="849" spans="7:13" ht="15">
      <c r="G849" s="340"/>
      <c r="I849" s="340"/>
      <c r="K849" s="439"/>
      <c r="M849" s="340"/>
    </row>
    <row r="850" spans="7:13" ht="15">
      <c r="G850" s="340"/>
      <c r="I850" s="340"/>
      <c r="K850" s="439"/>
      <c r="M850" s="340"/>
    </row>
    <row r="851" spans="7:13" ht="15">
      <c r="G851" s="340"/>
      <c r="I851" s="340"/>
      <c r="K851" s="439"/>
      <c r="M851" s="340"/>
    </row>
    <row r="852" spans="7:13" ht="15">
      <c r="G852" s="340"/>
      <c r="I852" s="340"/>
      <c r="K852" s="439"/>
      <c r="M852" s="340"/>
    </row>
    <row r="853" spans="7:13" ht="15">
      <c r="G853" s="340"/>
      <c r="I853" s="340"/>
      <c r="K853" s="439"/>
      <c r="M853" s="340"/>
    </row>
    <row r="854" spans="7:13" ht="15">
      <c r="G854" s="340"/>
      <c r="I854" s="340"/>
      <c r="K854" s="439"/>
      <c r="M854" s="340"/>
    </row>
    <row r="855" spans="7:13" ht="15">
      <c r="G855" s="340"/>
      <c r="I855" s="340"/>
      <c r="K855" s="439"/>
      <c r="M855" s="340"/>
    </row>
    <row r="856" spans="7:13" ht="15">
      <c r="G856" s="340"/>
      <c r="I856" s="340"/>
      <c r="K856" s="439"/>
      <c r="M856" s="340"/>
    </row>
    <row r="857" spans="7:13" ht="15">
      <c r="G857" s="340"/>
      <c r="I857" s="340"/>
      <c r="K857" s="439"/>
      <c r="M857" s="340"/>
    </row>
    <row r="858" spans="7:13" ht="15">
      <c r="G858" s="340"/>
      <c r="I858" s="340"/>
      <c r="K858" s="439"/>
      <c r="M858" s="340"/>
    </row>
    <row r="859" spans="7:13" ht="15">
      <c r="G859" s="340"/>
      <c r="I859" s="340"/>
      <c r="K859" s="439"/>
      <c r="M859" s="340"/>
    </row>
    <row r="860" spans="7:13" ht="15">
      <c r="G860" s="340"/>
      <c r="I860" s="340"/>
      <c r="K860" s="439"/>
      <c r="M860" s="340"/>
    </row>
    <row r="861" spans="7:13" ht="15">
      <c r="G861" s="340"/>
      <c r="I861" s="340"/>
      <c r="K861" s="439"/>
      <c r="M861" s="340"/>
    </row>
    <row r="862" spans="7:13" ht="15">
      <c r="G862" s="340"/>
      <c r="I862" s="340"/>
      <c r="K862" s="439"/>
      <c r="M862" s="340"/>
    </row>
    <row r="863" spans="7:13" ht="15">
      <c r="G863" s="340"/>
      <c r="I863" s="340"/>
      <c r="K863" s="439"/>
      <c r="M863" s="340"/>
    </row>
    <row r="864" spans="7:13" ht="15">
      <c r="G864" s="340"/>
      <c r="I864" s="340"/>
      <c r="K864" s="439"/>
      <c r="M864" s="340"/>
    </row>
    <row r="865" spans="7:13" ht="15">
      <c r="G865" s="340"/>
      <c r="I865" s="340"/>
      <c r="K865" s="439"/>
      <c r="M865" s="340"/>
    </row>
    <row r="866" spans="7:13" ht="15">
      <c r="G866" s="340"/>
      <c r="I866" s="340"/>
      <c r="K866" s="439"/>
      <c r="M866" s="340"/>
    </row>
    <row r="867" spans="7:13" ht="15">
      <c r="G867" s="340"/>
      <c r="I867" s="340"/>
      <c r="K867" s="439"/>
      <c r="M867" s="340"/>
    </row>
    <row r="868" spans="7:13" ht="15">
      <c r="G868" s="340"/>
      <c r="I868" s="340"/>
      <c r="K868" s="439"/>
      <c r="M868" s="340"/>
    </row>
    <row r="869" spans="7:13" ht="15">
      <c r="G869" s="340"/>
      <c r="I869" s="340"/>
      <c r="K869" s="439"/>
      <c r="M869" s="340"/>
    </row>
    <row r="870" spans="7:13" ht="15">
      <c r="G870" s="340"/>
      <c r="I870" s="340"/>
      <c r="K870" s="439"/>
      <c r="M870" s="340"/>
    </row>
    <row r="871" spans="7:13" ht="15">
      <c r="G871" s="340"/>
      <c r="I871" s="340"/>
      <c r="K871" s="439"/>
      <c r="M871" s="340"/>
    </row>
    <row r="872" spans="7:13" ht="15">
      <c r="G872" s="340"/>
      <c r="I872" s="340"/>
      <c r="K872" s="439"/>
      <c r="M872" s="340"/>
    </row>
    <row r="873" spans="7:13" ht="15">
      <c r="G873" s="340"/>
      <c r="I873" s="340"/>
      <c r="K873" s="439"/>
      <c r="M873" s="340"/>
    </row>
    <row r="874" spans="7:13" ht="15">
      <c r="G874" s="340"/>
      <c r="I874" s="340"/>
      <c r="K874" s="439"/>
      <c r="M874" s="340"/>
    </row>
    <row r="875" spans="7:13" ht="15">
      <c r="G875" s="340"/>
      <c r="I875" s="340"/>
      <c r="K875" s="439"/>
      <c r="M875" s="340"/>
    </row>
    <row r="876" spans="7:13" ht="15">
      <c r="G876" s="340"/>
      <c r="I876" s="340"/>
      <c r="K876" s="439"/>
      <c r="M876" s="340"/>
    </row>
    <row r="877" spans="7:13" ht="15">
      <c r="G877" s="340"/>
      <c r="I877" s="340"/>
      <c r="K877" s="439"/>
      <c r="M877" s="340"/>
    </row>
    <row r="878" spans="7:13" ht="15">
      <c r="G878" s="340"/>
      <c r="I878" s="340"/>
      <c r="K878" s="439"/>
      <c r="M878" s="340"/>
    </row>
    <row r="879" spans="7:13" ht="15">
      <c r="G879" s="340"/>
      <c r="I879" s="340"/>
      <c r="K879" s="439"/>
      <c r="M879" s="340"/>
    </row>
    <row r="880" spans="7:13" ht="15">
      <c r="G880" s="340"/>
      <c r="I880" s="340"/>
      <c r="K880" s="439"/>
      <c r="M880" s="340"/>
    </row>
    <row r="881" spans="7:13" ht="15">
      <c r="G881" s="340"/>
      <c r="I881" s="340"/>
      <c r="K881" s="439"/>
      <c r="M881" s="340"/>
    </row>
    <row r="882" spans="7:13" ht="15">
      <c r="G882" s="340"/>
      <c r="I882" s="340"/>
      <c r="K882" s="439"/>
      <c r="M882" s="340"/>
    </row>
    <row r="883" spans="7:13" ht="15">
      <c r="G883" s="340"/>
      <c r="I883" s="340"/>
      <c r="K883" s="439"/>
      <c r="M883" s="340"/>
    </row>
    <row r="884" spans="7:13" ht="15">
      <c r="G884" s="340"/>
      <c r="I884" s="340"/>
      <c r="K884" s="439"/>
      <c r="M884" s="340"/>
    </row>
    <row r="885" spans="7:13" ht="15">
      <c r="G885" s="340"/>
      <c r="I885" s="340"/>
      <c r="K885" s="439"/>
      <c r="M885" s="340"/>
    </row>
    <row r="886" spans="7:13" ht="15">
      <c r="G886" s="340"/>
      <c r="I886" s="340"/>
      <c r="K886" s="439"/>
      <c r="M886" s="340"/>
    </row>
    <row r="887" spans="7:13" ht="15">
      <c r="G887" s="340"/>
      <c r="I887" s="340"/>
      <c r="K887" s="439"/>
      <c r="M887" s="340"/>
    </row>
    <row r="888" spans="7:13" ht="15">
      <c r="G888" s="340"/>
      <c r="I888" s="340"/>
      <c r="K888" s="439"/>
      <c r="M888" s="340"/>
    </row>
    <row r="889" spans="7:13" ht="15">
      <c r="G889" s="340"/>
      <c r="I889" s="340"/>
      <c r="K889" s="439"/>
      <c r="M889" s="340"/>
    </row>
    <row r="890" spans="7:13" ht="15">
      <c r="G890" s="340"/>
      <c r="I890" s="340"/>
      <c r="K890" s="439"/>
      <c r="M890" s="340"/>
    </row>
    <row r="891" spans="7:13" ht="15">
      <c r="G891" s="340"/>
      <c r="I891" s="340"/>
      <c r="K891" s="439"/>
      <c r="M891" s="340"/>
    </row>
    <row r="892" spans="7:13" ht="15">
      <c r="G892" s="340"/>
      <c r="I892" s="340"/>
      <c r="K892" s="439"/>
      <c r="M892" s="340"/>
    </row>
    <row r="893" spans="7:13" ht="15">
      <c r="G893" s="340"/>
      <c r="I893" s="340"/>
      <c r="K893" s="439"/>
      <c r="M893" s="340"/>
    </row>
    <row r="894" spans="7:13" ht="15">
      <c r="G894" s="340"/>
      <c r="I894" s="340"/>
      <c r="K894" s="439"/>
      <c r="M894" s="340"/>
    </row>
    <row r="895" spans="7:13" ht="15">
      <c r="G895" s="340"/>
      <c r="I895" s="340"/>
      <c r="K895" s="439"/>
      <c r="M895" s="340"/>
    </row>
    <row r="896" spans="7:13" ht="15">
      <c r="G896" s="340"/>
      <c r="I896" s="340"/>
      <c r="K896" s="439"/>
      <c r="M896" s="340"/>
    </row>
    <row r="897" spans="7:13" ht="15">
      <c r="G897" s="340"/>
      <c r="I897" s="340"/>
      <c r="K897" s="439"/>
      <c r="M897" s="340"/>
    </row>
    <row r="898" spans="7:13" ht="15">
      <c r="G898" s="340"/>
      <c r="I898" s="340"/>
      <c r="K898" s="439"/>
      <c r="M898" s="340"/>
    </row>
    <row r="899" spans="7:13" ht="15">
      <c r="G899" s="340"/>
      <c r="I899" s="340"/>
      <c r="K899" s="439"/>
      <c r="M899" s="340"/>
    </row>
    <row r="900" spans="7:13" ht="15">
      <c r="G900" s="340"/>
      <c r="I900" s="340"/>
      <c r="K900" s="439"/>
      <c r="M900" s="340"/>
    </row>
    <row r="901" spans="7:13" ht="15">
      <c r="G901" s="340"/>
      <c r="I901" s="340"/>
      <c r="K901" s="439"/>
      <c r="M901" s="340"/>
    </row>
    <row r="902" spans="7:13" ht="15">
      <c r="G902" s="340"/>
      <c r="I902" s="340"/>
      <c r="K902" s="439"/>
      <c r="M902" s="340"/>
    </row>
    <row r="903" spans="7:13" ht="15">
      <c r="G903" s="340"/>
      <c r="I903" s="340"/>
      <c r="K903" s="439"/>
      <c r="M903" s="340"/>
    </row>
    <row r="904" spans="7:13" ht="15">
      <c r="G904" s="340"/>
      <c r="I904" s="340"/>
      <c r="K904" s="439"/>
      <c r="M904" s="340"/>
    </row>
    <row r="905" spans="7:13" ht="15">
      <c r="G905" s="340"/>
      <c r="I905" s="340"/>
      <c r="K905" s="439"/>
      <c r="M905" s="340"/>
    </row>
    <row r="906" spans="7:13" ht="15">
      <c r="G906" s="340"/>
      <c r="I906" s="340"/>
      <c r="K906" s="439"/>
      <c r="M906" s="340"/>
    </row>
    <row r="907" spans="7:13" ht="15">
      <c r="G907" s="340"/>
      <c r="I907" s="340"/>
      <c r="K907" s="439"/>
      <c r="M907" s="340"/>
    </row>
    <row r="908" spans="7:13" ht="15">
      <c r="G908" s="340"/>
      <c r="I908" s="340"/>
      <c r="K908" s="439"/>
      <c r="M908" s="340"/>
    </row>
    <row r="909" spans="7:13" ht="15">
      <c r="G909" s="340"/>
      <c r="I909" s="340"/>
      <c r="K909" s="439"/>
      <c r="M909" s="340"/>
    </row>
    <row r="910" spans="7:13" ht="15">
      <c r="G910" s="340"/>
      <c r="I910" s="340"/>
      <c r="K910" s="439"/>
      <c r="M910" s="340"/>
    </row>
    <row r="911" spans="7:13" ht="15">
      <c r="G911" s="340"/>
      <c r="I911" s="340"/>
      <c r="K911" s="439"/>
      <c r="M911" s="340"/>
    </row>
    <row r="912" spans="7:13" ht="15">
      <c r="G912" s="340"/>
      <c r="I912" s="340"/>
      <c r="K912" s="439"/>
      <c r="M912" s="340"/>
    </row>
    <row r="913" spans="7:13" ht="15">
      <c r="G913" s="340"/>
      <c r="I913" s="340"/>
      <c r="K913" s="439"/>
      <c r="M913" s="340"/>
    </row>
    <row r="914" spans="7:13" ht="15">
      <c r="G914" s="340"/>
      <c r="I914" s="340"/>
      <c r="K914" s="439"/>
      <c r="M914" s="340"/>
    </row>
    <row r="915" spans="7:13" ht="15">
      <c r="G915" s="340"/>
      <c r="I915" s="340"/>
      <c r="K915" s="439"/>
      <c r="M915" s="340"/>
    </row>
    <row r="916" spans="7:13" ht="15">
      <c r="G916" s="340"/>
      <c r="I916" s="340"/>
      <c r="K916" s="439"/>
      <c r="M916" s="340"/>
    </row>
    <row r="917" spans="7:13" ht="15">
      <c r="G917" s="340"/>
      <c r="I917" s="340"/>
      <c r="K917" s="439"/>
      <c r="M917" s="340"/>
    </row>
    <row r="918" spans="7:13" ht="15">
      <c r="G918" s="340"/>
      <c r="I918" s="340"/>
      <c r="K918" s="439"/>
      <c r="M918" s="340"/>
    </row>
    <row r="919" spans="7:13" ht="15">
      <c r="G919" s="340"/>
      <c r="I919" s="340"/>
      <c r="K919" s="439"/>
      <c r="M919" s="340"/>
    </row>
    <row r="920" spans="7:13" ht="15">
      <c r="G920" s="340"/>
      <c r="I920" s="340"/>
      <c r="K920" s="439"/>
      <c r="M920" s="340"/>
    </row>
    <row r="921" spans="7:13" ht="15">
      <c r="G921" s="340"/>
      <c r="I921" s="340"/>
      <c r="K921" s="439"/>
      <c r="M921" s="340"/>
    </row>
  </sheetData>
  <sheetProtection/>
  <mergeCells count="16">
    <mergeCell ref="J7:J9"/>
    <mergeCell ref="K7:K9"/>
    <mergeCell ref="L7:L9"/>
    <mergeCell ref="M7:M9"/>
    <mergeCell ref="N7:N9"/>
    <mergeCell ref="B8:F8"/>
    <mergeCell ref="E1:I1"/>
    <mergeCell ref="E2:I2"/>
    <mergeCell ref="M2:Q2"/>
    <mergeCell ref="J3:L3"/>
    <mergeCell ref="A5:L5"/>
    <mergeCell ref="A7:A9"/>
    <mergeCell ref="B7:F7"/>
    <mergeCell ref="G7:G9"/>
    <mergeCell ref="H7:H9"/>
    <mergeCell ref="I7:I9"/>
  </mergeCells>
  <printOptions/>
  <pageMargins left="0.7874015748031497" right="0" top="0.1968503937007874" bottom="0.1968503937007874" header="0.5118110236220472" footer="0.5118110236220472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894"/>
  <sheetViews>
    <sheetView tabSelected="1" view="pageBreakPreview" zoomScaleSheetLayoutView="100" zoomScalePageLayoutView="0" workbookViewId="0" topLeftCell="A606">
      <selection activeCell="N610" sqref="N610"/>
    </sheetView>
  </sheetViews>
  <sheetFormatPr defaultColWidth="9.140625" defaultRowHeight="12.75"/>
  <cols>
    <col min="1" max="1" width="35.8515625" style="150" customWidth="1"/>
    <col min="2" max="2" width="7.7109375" style="151" customWidth="1"/>
    <col min="3" max="3" width="7.421875" style="151" customWidth="1"/>
    <col min="4" max="4" width="5.140625" style="151" customWidth="1"/>
    <col min="5" max="5" width="11.57421875" style="151" customWidth="1"/>
    <col min="6" max="6" width="7.28125" style="151" customWidth="1"/>
    <col min="7" max="7" width="0.13671875" style="150" customWidth="1"/>
    <col min="8" max="8" width="13.8515625" style="150" hidden="1" customWidth="1"/>
    <col min="9" max="9" width="12.57421875" style="150" hidden="1" customWidth="1"/>
    <col min="10" max="10" width="13.28125" style="152" hidden="1" customWidth="1"/>
    <col min="11" max="11" width="13.8515625" style="152" hidden="1" customWidth="1"/>
    <col min="12" max="12" width="12.8515625" style="152" customWidth="1"/>
    <col min="13" max="13" width="12.421875" style="152" customWidth="1"/>
    <col min="14" max="14" width="12.57421875" style="152" customWidth="1"/>
    <col min="15" max="15" width="12.7109375" style="152" customWidth="1"/>
    <col min="16" max="16" width="12.7109375" style="150" bestFit="1" customWidth="1"/>
    <col min="17" max="17" width="14.140625" style="150" hidden="1" customWidth="1"/>
    <col min="18" max="19" width="15.421875" style="150" bestFit="1" customWidth="1"/>
    <col min="20" max="16384" width="9.140625" style="150" customWidth="1"/>
  </cols>
  <sheetData>
    <row r="1" spans="5:19" ht="15">
      <c r="E1" s="599"/>
      <c r="F1" s="600"/>
      <c r="G1" s="600"/>
      <c r="H1" s="600"/>
      <c r="I1" s="600"/>
      <c r="M1" s="601" t="s">
        <v>1084</v>
      </c>
      <c r="N1" s="602"/>
      <c r="O1" s="602"/>
      <c r="P1" s="602"/>
      <c r="Q1" s="602"/>
      <c r="R1" s="152"/>
      <c r="S1" s="152"/>
    </row>
    <row r="2" spans="5:19" ht="37.5" customHeight="1">
      <c r="E2" s="603"/>
      <c r="F2" s="603"/>
      <c r="G2" s="603"/>
      <c r="H2" s="603"/>
      <c r="I2" s="603"/>
      <c r="J2" s="546"/>
      <c r="K2" s="546"/>
      <c r="M2" s="604" t="s">
        <v>460</v>
      </c>
      <c r="N2" s="604"/>
      <c r="O2" s="604"/>
      <c r="P2" s="447"/>
      <c r="Q2" s="447"/>
      <c r="R2" s="82"/>
      <c r="S2" s="82"/>
    </row>
    <row r="3" spans="1:14" ht="36" customHeight="1">
      <c r="A3" s="605" t="s">
        <v>1080</v>
      </c>
      <c r="B3" s="606"/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</row>
    <row r="4" ht="15.75" thickBot="1"/>
    <row r="5" spans="1:15" ht="12.75" customHeight="1">
      <c r="A5" s="607" t="s">
        <v>462</v>
      </c>
      <c r="B5" s="609" t="s">
        <v>463</v>
      </c>
      <c r="C5" s="609"/>
      <c r="D5" s="609"/>
      <c r="E5" s="609"/>
      <c r="F5" s="609"/>
      <c r="G5" s="610" t="s">
        <v>464</v>
      </c>
      <c r="H5" s="612" t="s">
        <v>465</v>
      </c>
      <c r="I5" s="607" t="s">
        <v>464</v>
      </c>
      <c r="J5" s="615" t="s">
        <v>464</v>
      </c>
      <c r="K5" s="593" t="s">
        <v>468</v>
      </c>
      <c r="L5" s="596" t="s">
        <v>947</v>
      </c>
      <c r="M5" s="596" t="s">
        <v>464</v>
      </c>
      <c r="N5" s="619" t="s">
        <v>948</v>
      </c>
      <c r="O5" s="596" t="s">
        <v>1066</v>
      </c>
    </row>
    <row r="6" spans="1:15" ht="15">
      <c r="A6" s="607"/>
      <c r="B6" s="609" t="s">
        <v>469</v>
      </c>
      <c r="C6" s="609"/>
      <c r="D6" s="609"/>
      <c r="E6" s="609"/>
      <c r="F6" s="609"/>
      <c r="G6" s="610"/>
      <c r="H6" s="613"/>
      <c r="I6" s="620"/>
      <c r="J6" s="616"/>
      <c r="K6" s="594"/>
      <c r="L6" s="597"/>
      <c r="M6" s="617"/>
      <c r="N6" s="616"/>
      <c r="O6" s="597"/>
    </row>
    <row r="7" spans="1:15" ht="36" customHeight="1">
      <c r="A7" s="608"/>
      <c r="B7" s="347" t="s">
        <v>949</v>
      </c>
      <c r="C7" s="347" t="s">
        <v>471</v>
      </c>
      <c r="D7" s="347" t="s">
        <v>472</v>
      </c>
      <c r="E7" s="347" t="s">
        <v>473</v>
      </c>
      <c r="F7" s="347" t="s">
        <v>474</v>
      </c>
      <c r="G7" s="611"/>
      <c r="H7" s="614"/>
      <c r="I7" s="621"/>
      <c r="J7" s="616"/>
      <c r="K7" s="594"/>
      <c r="L7" s="598"/>
      <c r="M7" s="618"/>
      <c r="N7" s="616"/>
      <c r="O7" s="598"/>
    </row>
    <row r="8" spans="1:15" s="535" customFormat="1" ht="10.5">
      <c r="A8" s="529" t="s">
        <v>475</v>
      </c>
      <c r="B8" s="530">
        <v>1</v>
      </c>
      <c r="C8" s="530">
        <v>2</v>
      </c>
      <c r="D8" s="530">
        <v>3</v>
      </c>
      <c r="E8" s="530">
        <v>4</v>
      </c>
      <c r="F8" s="530">
        <v>5</v>
      </c>
      <c r="G8" s="529"/>
      <c r="H8" s="531"/>
      <c r="I8" s="532"/>
      <c r="J8" s="533">
        <v>7</v>
      </c>
      <c r="K8" s="534">
        <v>8</v>
      </c>
      <c r="L8" s="534">
        <v>9</v>
      </c>
      <c r="M8" s="533">
        <v>10</v>
      </c>
      <c r="N8" s="534">
        <v>11</v>
      </c>
      <c r="O8" s="533">
        <v>10</v>
      </c>
    </row>
    <row r="9" spans="1:15" ht="15">
      <c r="A9" s="349" t="s">
        <v>476</v>
      </c>
      <c r="B9" s="350" t="s">
        <v>477</v>
      </c>
      <c r="C9" s="351"/>
      <c r="D9" s="351"/>
      <c r="E9" s="351"/>
      <c r="F9" s="351"/>
      <c r="G9" s="352" t="e">
        <f>#REF!+G10</f>
        <v>#REF!</v>
      </c>
      <c r="H9" s="352" t="e">
        <f>#REF!+H10</f>
        <v>#REF!</v>
      </c>
      <c r="I9" s="352" t="e">
        <f>#REF!+I10</f>
        <v>#REF!</v>
      </c>
      <c r="J9" s="170" t="e">
        <f>#REF!+J10</f>
        <v>#REF!</v>
      </c>
      <c r="K9" s="170" t="e">
        <f>#REF!+K10</f>
        <v>#REF!</v>
      </c>
      <c r="L9" s="353">
        <f>L10</f>
        <v>12620.05</v>
      </c>
      <c r="M9" s="353">
        <f>M10</f>
        <v>-12620.05</v>
      </c>
      <c r="N9" s="353">
        <f>N10</f>
        <v>0</v>
      </c>
      <c r="O9" s="353">
        <f>O10</f>
        <v>0</v>
      </c>
    </row>
    <row r="10" spans="1:15" ht="15">
      <c r="A10" s="356" t="s">
        <v>488</v>
      </c>
      <c r="B10" s="350" t="s">
        <v>477</v>
      </c>
      <c r="C10" s="350" t="s">
        <v>404</v>
      </c>
      <c r="D10" s="351"/>
      <c r="E10" s="351"/>
      <c r="F10" s="351"/>
      <c r="G10" s="357">
        <f>G11+G28+G67+G48</f>
        <v>749.74424</v>
      </c>
      <c r="H10" s="357">
        <f>H11+H28+H67+H48</f>
        <v>37902.2</v>
      </c>
      <c r="I10" s="357">
        <f>I11+I28+I67+I48</f>
        <v>0</v>
      </c>
      <c r="J10" s="170">
        <f>J11+J28+J67+J48</f>
        <v>-317.84000000000003</v>
      </c>
      <c r="K10" s="170" t="e">
        <f>K11+K28+K67+K48</f>
        <v>#REF!</v>
      </c>
      <c r="L10" s="170">
        <f>L11+L28+L67+L48+L53</f>
        <v>12620.05</v>
      </c>
      <c r="M10" s="170">
        <f>M11+M28+M67+M48+M53</f>
        <v>-12620.05</v>
      </c>
      <c r="N10" s="170">
        <f>N11+N28+N67+N48+N53</f>
        <v>0</v>
      </c>
      <c r="O10" s="170">
        <f>O11+O28+O67+O48+O53</f>
        <v>0</v>
      </c>
    </row>
    <row r="11" spans="1:15" ht="15">
      <c r="A11" s="356" t="s">
        <v>431</v>
      </c>
      <c r="B11" s="350" t="s">
        <v>477</v>
      </c>
      <c r="C11" s="350" t="s">
        <v>404</v>
      </c>
      <c r="D11" s="350" t="s">
        <v>382</v>
      </c>
      <c r="E11" s="351"/>
      <c r="F11" s="351"/>
      <c r="G11" s="354">
        <f>G15+G19+G12</f>
        <v>-5232</v>
      </c>
      <c r="H11" s="354">
        <f>H15+H19+H12</f>
        <v>30796.129999999997</v>
      </c>
      <c r="I11" s="354">
        <f>I15+I19+I12</f>
        <v>0</v>
      </c>
      <c r="J11" s="355">
        <f aca="true" t="shared" si="0" ref="J11:O11">J15+J19+J12+J26</f>
        <v>-1006.6600000000001</v>
      </c>
      <c r="K11" s="355" t="e">
        <f t="shared" si="0"/>
        <v>#REF!</v>
      </c>
      <c r="L11" s="355">
        <f t="shared" si="0"/>
        <v>11032.25</v>
      </c>
      <c r="M11" s="161">
        <f t="shared" si="0"/>
        <v>-11032.25</v>
      </c>
      <c r="N11" s="161">
        <f t="shared" si="0"/>
        <v>0</v>
      </c>
      <c r="O11" s="161">
        <f t="shared" si="0"/>
        <v>0</v>
      </c>
    </row>
    <row r="12" spans="1:15" ht="51.75" customHeight="1" hidden="1">
      <c r="A12" s="358" t="s">
        <v>489</v>
      </c>
      <c r="B12" s="351" t="s">
        <v>477</v>
      </c>
      <c r="C12" s="351" t="s">
        <v>404</v>
      </c>
      <c r="D12" s="351" t="s">
        <v>382</v>
      </c>
      <c r="E12" s="351" t="s">
        <v>490</v>
      </c>
      <c r="F12" s="351"/>
      <c r="G12" s="359">
        <f aca="true" t="shared" si="1" ref="G12:O13">G13</f>
        <v>320</v>
      </c>
      <c r="H12" s="359">
        <f t="shared" si="1"/>
        <v>0</v>
      </c>
      <c r="I12" s="359">
        <f t="shared" si="1"/>
        <v>0</v>
      </c>
      <c r="J12" s="355">
        <f t="shared" si="1"/>
        <v>0</v>
      </c>
      <c r="K12" s="355" t="e">
        <f t="shared" si="1"/>
        <v>#REF!</v>
      </c>
      <c r="L12" s="355">
        <f t="shared" si="1"/>
        <v>0</v>
      </c>
      <c r="M12" s="161">
        <f t="shared" si="1"/>
        <v>0</v>
      </c>
      <c r="N12" s="161">
        <f t="shared" si="1"/>
        <v>0</v>
      </c>
      <c r="O12" s="161">
        <f t="shared" si="1"/>
        <v>0</v>
      </c>
    </row>
    <row r="13" spans="1:15" ht="26.25" customHeight="1" hidden="1">
      <c r="A13" s="358" t="s">
        <v>491</v>
      </c>
      <c r="B13" s="351" t="s">
        <v>477</v>
      </c>
      <c r="C13" s="351" t="s">
        <v>404</v>
      </c>
      <c r="D13" s="351" t="s">
        <v>382</v>
      </c>
      <c r="E13" s="351" t="s">
        <v>492</v>
      </c>
      <c r="F13" s="351"/>
      <c r="G13" s="359">
        <f t="shared" si="1"/>
        <v>320</v>
      </c>
      <c r="H13" s="359">
        <f t="shared" si="1"/>
        <v>0</v>
      </c>
      <c r="I13" s="359">
        <f t="shared" si="1"/>
        <v>0</v>
      </c>
      <c r="J13" s="355">
        <f t="shared" si="1"/>
        <v>0</v>
      </c>
      <c r="K13" s="355" t="e">
        <f t="shared" si="1"/>
        <v>#REF!</v>
      </c>
      <c r="L13" s="355">
        <f t="shared" si="1"/>
        <v>0</v>
      </c>
      <c r="M13" s="161">
        <f t="shared" si="1"/>
        <v>0</v>
      </c>
      <c r="N13" s="161">
        <f t="shared" si="1"/>
        <v>0</v>
      </c>
      <c r="O13" s="161">
        <f t="shared" si="1"/>
        <v>0</v>
      </c>
    </row>
    <row r="14" spans="1:15" ht="26.25" customHeight="1" hidden="1">
      <c r="A14" s="148" t="s">
        <v>493</v>
      </c>
      <c r="B14" s="351" t="s">
        <v>477</v>
      </c>
      <c r="C14" s="351" t="s">
        <v>404</v>
      </c>
      <c r="D14" s="351" t="s">
        <v>382</v>
      </c>
      <c r="E14" s="351" t="s">
        <v>492</v>
      </c>
      <c r="F14" s="351" t="s">
        <v>494</v>
      </c>
      <c r="G14" s="359">
        <v>320</v>
      </c>
      <c r="H14" s="357"/>
      <c r="I14" s="359"/>
      <c r="J14" s="355"/>
      <c r="K14" s="170" t="e">
        <f>#REF!+J14</f>
        <v>#REF!</v>
      </c>
      <c r="L14" s="170"/>
      <c r="M14" s="161"/>
      <c r="N14" s="170">
        <f>L14+M14</f>
        <v>0</v>
      </c>
      <c r="O14" s="161"/>
    </row>
    <row r="15" spans="1:15" ht="26.25">
      <c r="A15" s="148" t="s">
        <v>495</v>
      </c>
      <c r="B15" s="351" t="s">
        <v>477</v>
      </c>
      <c r="C15" s="351" t="s">
        <v>404</v>
      </c>
      <c r="D15" s="351" t="s">
        <v>382</v>
      </c>
      <c r="E15" s="351" t="s">
        <v>496</v>
      </c>
      <c r="F15" s="351"/>
      <c r="G15" s="360">
        <f aca="true" t="shared" si="2" ref="G15:O15">G16</f>
        <v>-1834</v>
      </c>
      <c r="H15" s="360">
        <f t="shared" si="2"/>
        <v>26303.19</v>
      </c>
      <c r="I15" s="360">
        <f t="shared" si="2"/>
        <v>0</v>
      </c>
      <c r="J15" s="170">
        <f t="shared" si="2"/>
        <v>-1747.96</v>
      </c>
      <c r="K15" s="170" t="e">
        <f t="shared" si="2"/>
        <v>#REF!</v>
      </c>
      <c r="L15" s="170">
        <f t="shared" si="2"/>
        <v>11032.25</v>
      </c>
      <c r="M15" s="170">
        <f t="shared" si="2"/>
        <v>-11032.25</v>
      </c>
      <c r="N15" s="170">
        <f t="shared" si="2"/>
        <v>0</v>
      </c>
      <c r="O15" s="170">
        <f t="shared" si="2"/>
        <v>0</v>
      </c>
    </row>
    <row r="16" spans="1:15" ht="26.25">
      <c r="A16" s="148" t="s">
        <v>497</v>
      </c>
      <c r="B16" s="351" t="s">
        <v>477</v>
      </c>
      <c r="C16" s="351" t="s">
        <v>404</v>
      </c>
      <c r="D16" s="351" t="s">
        <v>382</v>
      </c>
      <c r="E16" s="351" t="s">
        <v>498</v>
      </c>
      <c r="F16" s="351"/>
      <c r="G16" s="360">
        <f>G17+G18</f>
        <v>-1834</v>
      </c>
      <c r="H16" s="360">
        <f>H17+H18</f>
        <v>26303.19</v>
      </c>
      <c r="I16" s="360">
        <f>I17+I18</f>
        <v>0</v>
      </c>
      <c r="J16" s="170">
        <f>J17+J18</f>
        <v>-1747.96</v>
      </c>
      <c r="K16" s="170" t="e">
        <f>K17+K18</f>
        <v>#REF!</v>
      </c>
      <c r="L16" s="170">
        <f>L17+L18+L22+L24</f>
        <v>11032.25</v>
      </c>
      <c r="M16" s="170">
        <f>M17+M18+M22+M24</f>
        <v>-11032.25</v>
      </c>
      <c r="N16" s="170">
        <f>N17+N18+N22+N24</f>
        <v>0</v>
      </c>
      <c r="O16" s="170">
        <f>O17+O18+O22+O24</f>
        <v>0</v>
      </c>
    </row>
    <row r="17" spans="1:15" ht="26.25">
      <c r="A17" s="148" t="s">
        <v>493</v>
      </c>
      <c r="B17" s="351" t="s">
        <v>477</v>
      </c>
      <c r="C17" s="351" t="s">
        <v>404</v>
      </c>
      <c r="D17" s="351" t="s">
        <v>382</v>
      </c>
      <c r="E17" s="351" t="s">
        <v>498</v>
      </c>
      <c r="F17" s="351" t="s">
        <v>494</v>
      </c>
      <c r="G17" s="360">
        <f>-2164-3718+200-200+220+3718</f>
        <v>-1944</v>
      </c>
      <c r="H17" s="357">
        <v>25958.19</v>
      </c>
      <c r="I17" s="360"/>
      <c r="J17" s="170">
        <f>-155.84+35.88-1595-33</f>
        <v>-1747.96</v>
      </c>
      <c r="K17" s="170" t="e">
        <f>#REF!+J17</f>
        <v>#REF!</v>
      </c>
      <c r="L17" s="170">
        <f>6820.25+700+800+50+500-1500-1000</f>
        <v>6370.25</v>
      </c>
      <c r="M17" s="170">
        <v>-6370.25</v>
      </c>
      <c r="N17" s="170">
        <f>L17+M17</f>
        <v>0</v>
      </c>
      <c r="O17" s="170"/>
    </row>
    <row r="18" spans="1:15" ht="51.75">
      <c r="A18" s="148" t="s">
        <v>499</v>
      </c>
      <c r="B18" s="351" t="s">
        <v>477</v>
      </c>
      <c r="C18" s="351" t="s">
        <v>404</v>
      </c>
      <c r="D18" s="351" t="s">
        <v>382</v>
      </c>
      <c r="E18" s="351" t="s">
        <v>500</v>
      </c>
      <c r="F18" s="351" t="s">
        <v>494</v>
      </c>
      <c r="G18" s="357">
        <v>110</v>
      </c>
      <c r="H18" s="357">
        <v>345</v>
      </c>
      <c r="I18" s="357"/>
      <c r="J18" s="170"/>
      <c r="K18" s="170" t="e">
        <f>#REF!+J18</f>
        <v>#REF!</v>
      </c>
      <c r="L18" s="170">
        <v>4662</v>
      </c>
      <c r="M18" s="170">
        <v>-4662</v>
      </c>
      <c r="N18" s="170">
        <f>L18+M18</f>
        <v>0</v>
      </c>
      <c r="O18" s="170"/>
    </row>
    <row r="19" spans="1:15" ht="26.25" customHeight="1" hidden="1">
      <c r="A19" s="148" t="s">
        <v>501</v>
      </c>
      <c r="B19" s="351" t="s">
        <v>477</v>
      </c>
      <c r="C19" s="351" t="s">
        <v>404</v>
      </c>
      <c r="D19" s="351" t="s">
        <v>382</v>
      </c>
      <c r="E19" s="351" t="s">
        <v>502</v>
      </c>
      <c r="F19" s="351"/>
      <c r="G19" s="357">
        <f aca="true" t="shared" si="3" ref="G19:O20">G20</f>
        <v>-3718</v>
      </c>
      <c r="H19" s="357">
        <f t="shared" si="3"/>
        <v>4492.94</v>
      </c>
      <c r="I19" s="357">
        <f t="shared" si="3"/>
        <v>0</v>
      </c>
      <c r="J19" s="170">
        <f t="shared" si="3"/>
        <v>0</v>
      </c>
      <c r="K19" s="170" t="e">
        <f t="shared" si="3"/>
        <v>#REF!</v>
      </c>
      <c r="L19" s="170">
        <f t="shared" si="3"/>
        <v>0</v>
      </c>
      <c r="M19" s="170">
        <f t="shared" si="3"/>
        <v>0</v>
      </c>
      <c r="N19" s="170">
        <f t="shared" si="3"/>
        <v>0</v>
      </c>
      <c r="O19" s="170">
        <f t="shared" si="3"/>
        <v>0</v>
      </c>
    </row>
    <row r="20" spans="1:15" ht="26.25" customHeight="1" hidden="1">
      <c r="A20" s="148" t="s">
        <v>497</v>
      </c>
      <c r="B20" s="351" t="s">
        <v>477</v>
      </c>
      <c r="C20" s="351" t="s">
        <v>404</v>
      </c>
      <c r="D20" s="351" t="s">
        <v>382</v>
      </c>
      <c r="E20" s="351" t="s">
        <v>503</v>
      </c>
      <c r="F20" s="351"/>
      <c r="G20" s="357">
        <f t="shared" si="3"/>
        <v>-3718</v>
      </c>
      <c r="H20" s="357">
        <f t="shared" si="3"/>
        <v>4492.94</v>
      </c>
      <c r="I20" s="357">
        <f t="shared" si="3"/>
        <v>0</v>
      </c>
      <c r="J20" s="170">
        <f t="shared" si="3"/>
        <v>0</v>
      </c>
      <c r="K20" s="170" t="e">
        <f t="shared" si="3"/>
        <v>#REF!</v>
      </c>
      <c r="L20" s="170">
        <f t="shared" si="3"/>
        <v>0</v>
      </c>
      <c r="M20" s="170">
        <f t="shared" si="3"/>
        <v>0</v>
      </c>
      <c r="N20" s="170">
        <f t="shared" si="3"/>
        <v>0</v>
      </c>
      <c r="O20" s="170">
        <f t="shared" si="3"/>
        <v>0</v>
      </c>
    </row>
    <row r="21" spans="1:15" ht="26.25" customHeight="1" hidden="1">
      <c r="A21" s="148" t="s">
        <v>504</v>
      </c>
      <c r="B21" s="351" t="s">
        <v>477</v>
      </c>
      <c r="C21" s="351" t="s">
        <v>404</v>
      </c>
      <c r="D21" s="351" t="s">
        <v>382</v>
      </c>
      <c r="E21" s="351" t="s">
        <v>503</v>
      </c>
      <c r="F21" s="351" t="s">
        <v>494</v>
      </c>
      <c r="G21" s="357">
        <v>-3718</v>
      </c>
      <c r="H21" s="357">
        <v>4492.94</v>
      </c>
      <c r="I21" s="357"/>
      <c r="J21" s="170"/>
      <c r="K21" s="170" t="e">
        <f>#REF!+J21</f>
        <v>#REF!</v>
      </c>
      <c r="L21" s="170"/>
      <c r="M21" s="170"/>
      <c r="N21" s="170">
        <f>L21+M21</f>
        <v>0</v>
      </c>
      <c r="O21" s="170"/>
    </row>
    <row r="22" spans="1:15" ht="39" customHeight="1" hidden="1">
      <c r="A22" s="148" t="s">
        <v>505</v>
      </c>
      <c r="B22" s="351" t="s">
        <v>477</v>
      </c>
      <c r="C22" s="351" t="s">
        <v>404</v>
      </c>
      <c r="D22" s="351" t="s">
        <v>382</v>
      </c>
      <c r="E22" s="351" t="s">
        <v>506</v>
      </c>
      <c r="F22" s="351"/>
      <c r="G22" s="348"/>
      <c r="H22" s="357"/>
      <c r="I22" s="348"/>
      <c r="J22" s="170"/>
      <c r="K22" s="170"/>
      <c r="L22" s="170">
        <f>L23</f>
        <v>0</v>
      </c>
      <c r="M22" s="170">
        <f>M23</f>
        <v>0</v>
      </c>
      <c r="N22" s="170">
        <f>N23</f>
        <v>0</v>
      </c>
      <c r="O22" s="170">
        <f>O23</f>
        <v>0</v>
      </c>
    </row>
    <row r="23" spans="1:15" ht="26.25" customHeight="1" hidden="1">
      <c r="A23" s="148" t="s">
        <v>504</v>
      </c>
      <c r="B23" s="351" t="s">
        <v>477</v>
      </c>
      <c r="C23" s="351" t="s">
        <v>404</v>
      </c>
      <c r="D23" s="351" t="s">
        <v>382</v>
      </c>
      <c r="E23" s="351" t="s">
        <v>506</v>
      </c>
      <c r="F23" s="351" t="s">
        <v>494</v>
      </c>
      <c r="G23" s="348"/>
      <c r="H23" s="357"/>
      <c r="I23" s="348"/>
      <c r="J23" s="170"/>
      <c r="K23" s="170"/>
      <c r="L23" s="170">
        <f>J23+K23</f>
        <v>0</v>
      </c>
      <c r="M23" s="170"/>
      <c r="N23" s="170">
        <f>L23+M23</f>
        <v>0</v>
      </c>
      <c r="O23" s="170"/>
    </row>
    <row r="24" spans="1:15" ht="39" customHeight="1" hidden="1">
      <c r="A24" s="148" t="s">
        <v>507</v>
      </c>
      <c r="B24" s="351" t="s">
        <v>477</v>
      </c>
      <c r="C24" s="351" t="s">
        <v>404</v>
      </c>
      <c r="D24" s="351" t="s">
        <v>382</v>
      </c>
      <c r="E24" s="351" t="s">
        <v>508</v>
      </c>
      <c r="F24" s="351"/>
      <c r="G24" s="348"/>
      <c r="H24" s="357"/>
      <c r="I24" s="348"/>
      <c r="J24" s="170"/>
      <c r="K24" s="170"/>
      <c r="L24" s="170">
        <f>L25</f>
        <v>0</v>
      </c>
      <c r="M24" s="170">
        <f>M25</f>
        <v>0</v>
      </c>
      <c r="N24" s="170">
        <f>N25</f>
        <v>0</v>
      </c>
      <c r="O24" s="170">
        <f>O25</f>
        <v>0</v>
      </c>
    </row>
    <row r="25" spans="1:15" ht="26.25" customHeight="1" hidden="1">
      <c r="A25" s="148" t="s">
        <v>504</v>
      </c>
      <c r="B25" s="351" t="s">
        <v>477</v>
      </c>
      <c r="C25" s="351" t="s">
        <v>404</v>
      </c>
      <c r="D25" s="351" t="s">
        <v>382</v>
      </c>
      <c r="E25" s="351" t="s">
        <v>508</v>
      </c>
      <c r="F25" s="351" t="s">
        <v>494</v>
      </c>
      <c r="G25" s="348"/>
      <c r="H25" s="357"/>
      <c r="I25" s="348"/>
      <c r="J25" s="170"/>
      <c r="K25" s="170"/>
      <c r="L25" s="361">
        <f>J25+K25</f>
        <v>0</v>
      </c>
      <c r="M25" s="170"/>
      <c r="N25" s="170">
        <f>L25+M25</f>
        <v>0</v>
      </c>
      <c r="O25" s="170"/>
    </row>
    <row r="26" spans="1:15" ht="51.75" customHeight="1" hidden="1">
      <c r="A26" s="179" t="s">
        <v>509</v>
      </c>
      <c r="B26" s="351" t="s">
        <v>477</v>
      </c>
      <c r="C26" s="351" t="s">
        <v>404</v>
      </c>
      <c r="D26" s="351" t="s">
        <v>382</v>
      </c>
      <c r="E26" s="351" t="s">
        <v>510</v>
      </c>
      <c r="F26" s="351"/>
      <c r="G26" s="362"/>
      <c r="H26" s="363"/>
      <c r="I26" s="362"/>
      <c r="J26" s="170">
        <f aca="true" t="shared" si="4" ref="J26:O26">J27</f>
        <v>741.3</v>
      </c>
      <c r="K26" s="170" t="e">
        <f t="shared" si="4"/>
        <v>#REF!</v>
      </c>
      <c r="L26" s="361">
        <f t="shared" si="4"/>
        <v>0</v>
      </c>
      <c r="M26" s="170">
        <f t="shared" si="4"/>
        <v>0</v>
      </c>
      <c r="N26" s="170">
        <f t="shared" si="4"/>
        <v>0</v>
      </c>
      <c r="O26" s="170">
        <f t="shared" si="4"/>
        <v>0</v>
      </c>
    </row>
    <row r="27" spans="1:15" ht="39" customHeight="1" hidden="1">
      <c r="A27" s="179" t="s">
        <v>511</v>
      </c>
      <c r="B27" s="351" t="s">
        <v>477</v>
      </c>
      <c r="C27" s="351" t="s">
        <v>404</v>
      </c>
      <c r="D27" s="351" t="s">
        <v>382</v>
      </c>
      <c r="E27" s="351" t="s">
        <v>510</v>
      </c>
      <c r="F27" s="351" t="s">
        <v>512</v>
      </c>
      <c r="G27" s="362"/>
      <c r="H27" s="363"/>
      <c r="I27" s="362"/>
      <c r="J27" s="170">
        <v>741.3</v>
      </c>
      <c r="K27" s="170" t="e">
        <f>#REF!+J27</f>
        <v>#REF!</v>
      </c>
      <c r="L27" s="361"/>
      <c r="M27" s="170"/>
      <c r="N27" s="170">
        <f>L27+M27</f>
        <v>0</v>
      </c>
      <c r="O27" s="170"/>
    </row>
    <row r="28" spans="1:15" ht="15">
      <c r="A28" s="356" t="s">
        <v>432</v>
      </c>
      <c r="B28" s="350" t="s">
        <v>477</v>
      </c>
      <c r="C28" s="350" t="s">
        <v>404</v>
      </c>
      <c r="D28" s="350" t="s">
        <v>383</v>
      </c>
      <c r="E28" s="351"/>
      <c r="F28" s="351"/>
      <c r="G28" s="364">
        <f>G36+G45+G30</f>
        <v>3129.74424</v>
      </c>
      <c r="H28" s="364">
        <f>H36+H45+H30</f>
        <v>6056.41</v>
      </c>
      <c r="I28" s="364">
        <f>I36+I45+I30</f>
        <v>0</v>
      </c>
      <c r="J28" s="161">
        <f aca="true" t="shared" si="5" ref="J28:O28">J36+J45+J30+J43</f>
        <v>657.7</v>
      </c>
      <c r="K28" s="161" t="e">
        <f t="shared" si="5"/>
        <v>#REF!</v>
      </c>
      <c r="L28" s="161">
        <f t="shared" si="5"/>
        <v>1045</v>
      </c>
      <c r="M28" s="161">
        <f t="shared" si="5"/>
        <v>-1045</v>
      </c>
      <c r="N28" s="161">
        <f t="shared" si="5"/>
        <v>0</v>
      </c>
      <c r="O28" s="161">
        <f t="shared" si="5"/>
        <v>0</v>
      </c>
    </row>
    <row r="29" spans="1:15" ht="26.25">
      <c r="A29" s="148" t="s">
        <v>501</v>
      </c>
      <c r="B29" s="351" t="s">
        <v>477</v>
      </c>
      <c r="C29" s="351" t="s">
        <v>404</v>
      </c>
      <c r="D29" s="351" t="s">
        <v>383</v>
      </c>
      <c r="E29" s="351" t="s">
        <v>502</v>
      </c>
      <c r="F29" s="351"/>
      <c r="G29" s="364">
        <f aca="true" t="shared" si="6" ref="G29:O30">G30</f>
        <v>3718</v>
      </c>
      <c r="H29" s="364">
        <f t="shared" si="6"/>
        <v>0</v>
      </c>
      <c r="I29" s="364">
        <f t="shared" si="6"/>
        <v>0</v>
      </c>
      <c r="J29" s="170">
        <f t="shared" si="6"/>
        <v>163</v>
      </c>
      <c r="K29" s="170" t="e">
        <f t="shared" si="6"/>
        <v>#REF!</v>
      </c>
      <c r="L29" s="170">
        <f t="shared" si="6"/>
        <v>390</v>
      </c>
      <c r="M29" s="170">
        <f t="shared" si="6"/>
        <v>-390</v>
      </c>
      <c r="N29" s="170">
        <f t="shared" si="6"/>
        <v>0</v>
      </c>
      <c r="O29" s="170">
        <f t="shared" si="6"/>
        <v>0</v>
      </c>
    </row>
    <row r="30" spans="1:15" ht="26.25">
      <c r="A30" s="148" t="s">
        <v>497</v>
      </c>
      <c r="B30" s="351" t="s">
        <v>477</v>
      </c>
      <c r="C30" s="351" t="s">
        <v>404</v>
      </c>
      <c r="D30" s="351" t="s">
        <v>383</v>
      </c>
      <c r="E30" s="351" t="s">
        <v>503</v>
      </c>
      <c r="F30" s="351"/>
      <c r="G30" s="348">
        <f t="shared" si="6"/>
        <v>3718</v>
      </c>
      <c r="H30" s="365">
        <f t="shared" si="6"/>
        <v>0</v>
      </c>
      <c r="I30" s="348">
        <f t="shared" si="6"/>
        <v>0</v>
      </c>
      <c r="J30" s="170">
        <f t="shared" si="6"/>
        <v>163</v>
      </c>
      <c r="K30" s="170" t="e">
        <f t="shared" si="6"/>
        <v>#REF!</v>
      </c>
      <c r="L30" s="170">
        <f>L31+L32+L34</f>
        <v>390</v>
      </c>
      <c r="M30" s="170">
        <f>M31+M32+M34</f>
        <v>-390</v>
      </c>
      <c r="N30" s="170">
        <f>N31+N32+N34</f>
        <v>0</v>
      </c>
      <c r="O30" s="170">
        <f>O31+O32+O34</f>
        <v>0</v>
      </c>
    </row>
    <row r="31" spans="1:15" ht="26.25">
      <c r="A31" s="148" t="s">
        <v>504</v>
      </c>
      <c r="B31" s="351" t="s">
        <v>477</v>
      </c>
      <c r="C31" s="351" t="s">
        <v>404</v>
      </c>
      <c r="D31" s="351" t="s">
        <v>383</v>
      </c>
      <c r="E31" s="351" t="s">
        <v>503</v>
      </c>
      <c r="F31" s="351" t="s">
        <v>494</v>
      </c>
      <c r="G31" s="348">
        <v>3718</v>
      </c>
      <c r="H31" s="357"/>
      <c r="I31" s="348"/>
      <c r="J31" s="170">
        <f>16+147</f>
        <v>163</v>
      </c>
      <c r="K31" s="170" t="e">
        <f>#REF!+J31</f>
        <v>#REF!</v>
      </c>
      <c r="L31" s="170">
        <v>390</v>
      </c>
      <c r="M31" s="170">
        <v>-390</v>
      </c>
      <c r="N31" s="170">
        <f>L31+M31</f>
        <v>0</v>
      </c>
      <c r="O31" s="170"/>
    </row>
    <row r="32" spans="1:15" ht="39" customHeight="1" hidden="1">
      <c r="A32" s="148" t="s">
        <v>505</v>
      </c>
      <c r="B32" s="351" t="s">
        <v>477</v>
      </c>
      <c r="C32" s="351" t="s">
        <v>404</v>
      </c>
      <c r="D32" s="351" t="s">
        <v>383</v>
      </c>
      <c r="E32" s="351" t="s">
        <v>513</v>
      </c>
      <c r="F32" s="351"/>
      <c r="G32" s="348"/>
      <c r="H32" s="357"/>
      <c r="I32" s="348"/>
      <c r="J32" s="170"/>
      <c r="K32" s="170"/>
      <c r="L32" s="170">
        <f>L33</f>
        <v>0</v>
      </c>
      <c r="M32" s="170">
        <f>M33</f>
        <v>0</v>
      </c>
      <c r="N32" s="170">
        <f>N33</f>
        <v>0</v>
      </c>
      <c r="O32" s="170">
        <f>O33</f>
        <v>0</v>
      </c>
    </row>
    <row r="33" spans="1:15" ht="26.25" customHeight="1" hidden="1">
      <c r="A33" s="148" t="s">
        <v>504</v>
      </c>
      <c r="B33" s="351" t="s">
        <v>477</v>
      </c>
      <c r="C33" s="351" t="s">
        <v>404</v>
      </c>
      <c r="D33" s="351" t="s">
        <v>383</v>
      </c>
      <c r="E33" s="351" t="s">
        <v>513</v>
      </c>
      <c r="F33" s="351" t="s">
        <v>494</v>
      </c>
      <c r="G33" s="348"/>
      <c r="H33" s="357"/>
      <c r="I33" s="348"/>
      <c r="J33" s="170"/>
      <c r="K33" s="170"/>
      <c r="L33" s="170">
        <f>J33+K33</f>
        <v>0</v>
      </c>
      <c r="M33" s="170"/>
      <c r="N33" s="170">
        <f>L33+M33</f>
        <v>0</v>
      </c>
      <c r="O33" s="170"/>
    </row>
    <row r="34" spans="1:15" ht="39" customHeight="1" hidden="1">
      <c r="A34" s="148" t="s">
        <v>507</v>
      </c>
      <c r="B34" s="351" t="s">
        <v>477</v>
      </c>
      <c r="C34" s="351" t="s">
        <v>404</v>
      </c>
      <c r="D34" s="351" t="s">
        <v>383</v>
      </c>
      <c r="E34" s="351" t="s">
        <v>514</v>
      </c>
      <c r="F34" s="351"/>
      <c r="G34" s="348"/>
      <c r="H34" s="357"/>
      <c r="I34" s="348"/>
      <c r="J34" s="170"/>
      <c r="K34" s="170"/>
      <c r="L34" s="170">
        <f>L35</f>
        <v>0</v>
      </c>
      <c r="M34" s="170">
        <f>M35</f>
        <v>0</v>
      </c>
      <c r="N34" s="170">
        <f>N35</f>
        <v>0</v>
      </c>
      <c r="O34" s="170">
        <f>O35</f>
        <v>0</v>
      </c>
    </row>
    <row r="35" spans="1:15" ht="26.25" customHeight="1" hidden="1">
      <c r="A35" s="148" t="s">
        <v>504</v>
      </c>
      <c r="B35" s="351" t="s">
        <v>477</v>
      </c>
      <c r="C35" s="351" t="s">
        <v>404</v>
      </c>
      <c r="D35" s="351" t="s">
        <v>383</v>
      </c>
      <c r="E35" s="351" t="s">
        <v>514</v>
      </c>
      <c r="F35" s="351" t="s">
        <v>494</v>
      </c>
      <c r="G35" s="348"/>
      <c r="H35" s="357"/>
      <c r="I35" s="348"/>
      <c r="J35" s="170"/>
      <c r="K35" s="170"/>
      <c r="L35" s="170">
        <f>J35+K35</f>
        <v>0</v>
      </c>
      <c r="M35" s="170"/>
      <c r="N35" s="170">
        <f>L35+M35</f>
        <v>0</v>
      </c>
      <c r="O35" s="170"/>
    </row>
    <row r="36" spans="1:15" ht="15">
      <c r="A36" s="148" t="s">
        <v>515</v>
      </c>
      <c r="B36" s="351" t="s">
        <v>477</v>
      </c>
      <c r="C36" s="351" t="s">
        <v>404</v>
      </c>
      <c r="D36" s="351" t="s">
        <v>383</v>
      </c>
      <c r="E36" s="351" t="s">
        <v>516</v>
      </c>
      <c r="F36" s="351"/>
      <c r="G36" s="366">
        <f aca="true" t="shared" si="7" ref="G36:O37">G37</f>
        <v>0</v>
      </c>
      <c r="H36" s="366">
        <f t="shared" si="7"/>
        <v>4784.91</v>
      </c>
      <c r="I36" s="366">
        <f t="shared" si="7"/>
        <v>0</v>
      </c>
      <c r="J36" s="170">
        <f t="shared" si="7"/>
        <v>1270</v>
      </c>
      <c r="K36" s="170" t="e">
        <f t="shared" si="7"/>
        <v>#REF!</v>
      </c>
      <c r="L36" s="170">
        <f>L37+L39+L41</f>
        <v>655</v>
      </c>
      <c r="M36" s="170">
        <f>M37+M39+M41</f>
        <v>-655</v>
      </c>
      <c r="N36" s="170">
        <f>N37+N39+N41</f>
        <v>0</v>
      </c>
      <c r="O36" s="170">
        <f>O37+O39+O41</f>
        <v>0</v>
      </c>
    </row>
    <row r="37" spans="1:15" ht="26.25">
      <c r="A37" s="148" t="s">
        <v>497</v>
      </c>
      <c r="B37" s="351" t="s">
        <v>477</v>
      </c>
      <c r="C37" s="351" t="s">
        <v>404</v>
      </c>
      <c r="D37" s="351" t="s">
        <v>383</v>
      </c>
      <c r="E37" s="351" t="s">
        <v>517</v>
      </c>
      <c r="F37" s="351"/>
      <c r="G37" s="360">
        <f t="shared" si="7"/>
        <v>0</v>
      </c>
      <c r="H37" s="360">
        <f t="shared" si="7"/>
        <v>4784.91</v>
      </c>
      <c r="I37" s="360">
        <f t="shared" si="7"/>
        <v>0</v>
      </c>
      <c r="J37" s="170">
        <f t="shared" si="7"/>
        <v>1270</v>
      </c>
      <c r="K37" s="170" t="e">
        <f t="shared" si="7"/>
        <v>#REF!</v>
      </c>
      <c r="L37" s="170">
        <f t="shared" si="7"/>
        <v>655</v>
      </c>
      <c r="M37" s="170">
        <f t="shared" si="7"/>
        <v>-655</v>
      </c>
      <c r="N37" s="170">
        <f t="shared" si="7"/>
        <v>0</v>
      </c>
      <c r="O37" s="170">
        <f t="shared" si="7"/>
        <v>0</v>
      </c>
    </row>
    <row r="38" spans="1:15" ht="26.25">
      <c r="A38" s="148" t="s">
        <v>504</v>
      </c>
      <c r="B38" s="351" t="s">
        <v>477</v>
      </c>
      <c r="C38" s="351" t="s">
        <v>404</v>
      </c>
      <c r="D38" s="351" t="s">
        <v>383</v>
      </c>
      <c r="E38" s="351" t="s">
        <v>517</v>
      </c>
      <c r="F38" s="351" t="s">
        <v>494</v>
      </c>
      <c r="G38" s="360"/>
      <c r="H38" s="357">
        <v>4784.91</v>
      </c>
      <c r="I38" s="360"/>
      <c r="J38" s="170">
        <f>127+1143</f>
        <v>1270</v>
      </c>
      <c r="K38" s="170" t="e">
        <f>#REF!+J38</f>
        <v>#REF!</v>
      </c>
      <c r="L38" s="170">
        <v>655</v>
      </c>
      <c r="M38" s="170">
        <v>-655</v>
      </c>
      <c r="N38" s="170">
        <f>L38+M38</f>
        <v>0</v>
      </c>
      <c r="O38" s="170"/>
    </row>
    <row r="39" spans="1:15" ht="39" customHeight="1" hidden="1">
      <c r="A39" s="148" t="s">
        <v>505</v>
      </c>
      <c r="B39" s="351" t="s">
        <v>477</v>
      </c>
      <c r="C39" s="351" t="s">
        <v>404</v>
      </c>
      <c r="D39" s="351" t="s">
        <v>383</v>
      </c>
      <c r="E39" s="351" t="s">
        <v>518</v>
      </c>
      <c r="F39" s="351"/>
      <c r="G39" s="360"/>
      <c r="H39" s="357"/>
      <c r="I39" s="360"/>
      <c r="J39" s="170"/>
      <c r="K39" s="170"/>
      <c r="L39" s="170">
        <f>L40</f>
        <v>0</v>
      </c>
      <c r="M39" s="170">
        <f>M40</f>
        <v>0</v>
      </c>
      <c r="N39" s="170">
        <f>N40</f>
        <v>0</v>
      </c>
      <c r="O39" s="170">
        <f>O40</f>
        <v>0</v>
      </c>
    </row>
    <row r="40" spans="1:15" ht="26.25" customHeight="1" hidden="1">
      <c r="A40" s="148" t="s">
        <v>504</v>
      </c>
      <c r="B40" s="351" t="s">
        <v>477</v>
      </c>
      <c r="C40" s="351" t="s">
        <v>404</v>
      </c>
      <c r="D40" s="351" t="s">
        <v>383</v>
      </c>
      <c r="E40" s="351" t="s">
        <v>518</v>
      </c>
      <c r="F40" s="351" t="s">
        <v>494</v>
      </c>
      <c r="G40" s="360"/>
      <c r="H40" s="357"/>
      <c r="I40" s="360"/>
      <c r="J40" s="170"/>
      <c r="K40" s="170"/>
      <c r="L40" s="170">
        <f>J40+K40</f>
        <v>0</v>
      </c>
      <c r="M40" s="170"/>
      <c r="N40" s="170">
        <f>L40+M40</f>
        <v>0</v>
      </c>
      <c r="O40" s="170"/>
    </row>
    <row r="41" spans="1:15" ht="39" customHeight="1" hidden="1">
      <c r="A41" s="148" t="s">
        <v>507</v>
      </c>
      <c r="B41" s="351" t="s">
        <v>477</v>
      </c>
      <c r="C41" s="351" t="s">
        <v>404</v>
      </c>
      <c r="D41" s="351" t="s">
        <v>383</v>
      </c>
      <c r="E41" s="351" t="s">
        <v>519</v>
      </c>
      <c r="F41" s="351"/>
      <c r="G41" s="360"/>
      <c r="H41" s="357"/>
      <c r="I41" s="360"/>
      <c r="J41" s="170"/>
      <c r="K41" s="170"/>
      <c r="L41" s="170">
        <f>L42</f>
        <v>0</v>
      </c>
      <c r="M41" s="170">
        <f>M42</f>
        <v>0</v>
      </c>
      <c r="N41" s="170">
        <f>N42</f>
        <v>0</v>
      </c>
      <c r="O41" s="170">
        <f>O42</f>
        <v>0</v>
      </c>
    </row>
    <row r="42" spans="1:15" ht="26.25" customHeight="1" hidden="1">
      <c r="A42" s="148" t="s">
        <v>504</v>
      </c>
      <c r="B42" s="351" t="s">
        <v>477</v>
      </c>
      <c r="C42" s="351" t="s">
        <v>404</v>
      </c>
      <c r="D42" s="351" t="s">
        <v>383</v>
      </c>
      <c r="E42" s="351" t="s">
        <v>519</v>
      </c>
      <c r="F42" s="351" t="s">
        <v>494</v>
      </c>
      <c r="G42" s="360"/>
      <c r="H42" s="357"/>
      <c r="I42" s="360"/>
      <c r="J42" s="170"/>
      <c r="K42" s="170"/>
      <c r="L42" s="170">
        <f>J42+K42</f>
        <v>0</v>
      </c>
      <c r="M42" s="170"/>
      <c r="N42" s="170">
        <f>L42+M42</f>
        <v>0</v>
      </c>
      <c r="O42" s="170"/>
    </row>
    <row r="43" spans="1:15" ht="153.75" customHeight="1" hidden="1">
      <c r="A43" s="148" t="s">
        <v>520</v>
      </c>
      <c r="B43" s="351" t="s">
        <v>477</v>
      </c>
      <c r="C43" s="351" t="s">
        <v>404</v>
      </c>
      <c r="D43" s="351" t="s">
        <v>383</v>
      </c>
      <c r="E43" s="351" t="s">
        <v>521</v>
      </c>
      <c r="F43" s="351"/>
      <c r="G43" s="360"/>
      <c r="H43" s="357"/>
      <c r="I43" s="360"/>
      <c r="J43" s="170">
        <f aca="true" t="shared" si="8" ref="J43:O43">J44</f>
        <v>-741.3</v>
      </c>
      <c r="K43" s="170" t="e">
        <f t="shared" si="8"/>
        <v>#REF!</v>
      </c>
      <c r="L43" s="170">
        <f t="shared" si="8"/>
        <v>0</v>
      </c>
      <c r="M43" s="170">
        <f t="shared" si="8"/>
        <v>0</v>
      </c>
      <c r="N43" s="170">
        <f t="shared" si="8"/>
        <v>0</v>
      </c>
      <c r="O43" s="170">
        <f t="shared" si="8"/>
        <v>0</v>
      </c>
    </row>
    <row r="44" spans="1:15" ht="26.25" customHeight="1" hidden="1">
      <c r="A44" s="148" t="s">
        <v>504</v>
      </c>
      <c r="B44" s="351" t="s">
        <v>477</v>
      </c>
      <c r="C44" s="351" t="s">
        <v>404</v>
      </c>
      <c r="D44" s="351" t="s">
        <v>383</v>
      </c>
      <c r="E44" s="351" t="s">
        <v>521</v>
      </c>
      <c r="F44" s="351" t="s">
        <v>494</v>
      </c>
      <c r="G44" s="360"/>
      <c r="H44" s="357"/>
      <c r="I44" s="360"/>
      <c r="J44" s="170">
        <v>-741.3</v>
      </c>
      <c r="K44" s="170" t="e">
        <f>#REF!+J44</f>
        <v>#REF!</v>
      </c>
      <c r="L44" s="170"/>
      <c r="M44" s="170"/>
      <c r="N44" s="170">
        <f>L44+M44</f>
        <v>0</v>
      </c>
      <c r="O44" s="170"/>
    </row>
    <row r="45" spans="1:15" ht="26.25" customHeight="1" hidden="1">
      <c r="A45" s="148" t="s">
        <v>522</v>
      </c>
      <c r="B45" s="351" t="s">
        <v>477</v>
      </c>
      <c r="C45" s="351" t="s">
        <v>404</v>
      </c>
      <c r="D45" s="351" t="s">
        <v>383</v>
      </c>
      <c r="E45" s="351" t="s">
        <v>523</v>
      </c>
      <c r="F45" s="351"/>
      <c r="G45" s="366">
        <f aca="true" t="shared" si="9" ref="G45:O46">G46</f>
        <v>-588.25576</v>
      </c>
      <c r="H45" s="366">
        <f t="shared" si="9"/>
        <v>1271.5</v>
      </c>
      <c r="I45" s="366">
        <f t="shared" si="9"/>
        <v>0</v>
      </c>
      <c r="J45" s="170">
        <f t="shared" si="9"/>
        <v>-34</v>
      </c>
      <c r="K45" s="170" t="e">
        <f t="shared" si="9"/>
        <v>#REF!</v>
      </c>
      <c r="L45" s="170">
        <f t="shared" si="9"/>
        <v>0</v>
      </c>
      <c r="M45" s="170">
        <f t="shared" si="9"/>
        <v>0</v>
      </c>
      <c r="N45" s="170">
        <f t="shared" si="9"/>
        <v>0</v>
      </c>
      <c r="O45" s="170">
        <f t="shared" si="9"/>
        <v>0</v>
      </c>
    </row>
    <row r="46" spans="1:15" ht="64.5" customHeight="1" hidden="1">
      <c r="A46" s="148" t="s">
        <v>524</v>
      </c>
      <c r="B46" s="351" t="s">
        <v>477</v>
      </c>
      <c r="C46" s="351" t="s">
        <v>404</v>
      </c>
      <c r="D46" s="351" t="s">
        <v>383</v>
      </c>
      <c r="E46" s="351" t="s">
        <v>525</v>
      </c>
      <c r="F46" s="351"/>
      <c r="G46" s="366">
        <f t="shared" si="9"/>
        <v>-588.25576</v>
      </c>
      <c r="H46" s="366">
        <f t="shared" si="9"/>
        <v>1271.5</v>
      </c>
      <c r="I46" s="366">
        <f t="shared" si="9"/>
        <v>0</v>
      </c>
      <c r="J46" s="170">
        <f t="shared" si="9"/>
        <v>-34</v>
      </c>
      <c r="K46" s="170" t="e">
        <f t="shared" si="9"/>
        <v>#REF!</v>
      </c>
      <c r="L46" s="170">
        <f t="shared" si="9"/>
        <v>0</v>
      </c>
      <c r="M46" s="170">
        <f t="shared" si="9"/>
        <v>0</v>
      </c>
      <c r="N46" s="170">
        <f t="shared" si="9"/>
        <v>0</v>
      </c>
      <c r="O46" s="170">
        <f t="shared" si="9"/>
        <v>0</v>
      </c>
    </row>
    <row r="47" spans="1:16" ht="26.25" customHeight="1" hidden="1">
      <c r="A47" s="148" t="s">
        <v>504</v>
      </c>
      <c r="B47" s="351" t="s">
        <v>477</v>
      </c>
      <c r="C47" s="351" t="s">
        <v>404</v>
      </c>
      <c r="D47" s="351" t="s">
        <v>383</v>
      </c>
      <c r="E47" s="351" t="s">
        <v>525</v>
      </c>
      <c r="F47" s="351" t="s">
        <v>494</v>
      </c>
      <c r="G47" s="366">
        <f>99.74424-688</f>
        <v>-588.25576</v>
      </c>
      <c r="H47" s="357">
        <v>1271.5</v>
      </c>
      <c r="I47" s="366"/>
      <c r="J47" s="170">
        <v>-34</v>
      </c>
      <c r="K47" s="170" t="e">
        <f>#REF!+J47</f>
        <v>#REF!</v>
      </c>
      <c r="L47" s="170"/>
      <c r="M47" s="170"/>
      <c r="N47" s="170">
        <f>L47+M47</f>
        <v>0</v>
      </c>
      <c r="O47" s="170"/>
      <c r="P47" s="184" t="e">
        <f>#REF!+#REF!</f>
        <v>#REF!</v>
      </c>
    </row>
    <row r="48" spans="1:15" ht="15">
      <c r="A48" s="356" t="s">
        <v>433</v>
      </c>
      <c r="B48" s="350" t="s">
        <v>477</v>
      </c>
      <c r="C48" s="350" t="s">
        <v>404</v>
      </c>
      <c r="D48" s="350" t="s">
        <v>385</v>
      </c>
      <c r="E48" s="350"/>
      <c r="F48" s="350"/>
      <c r="G48" s="348">
        <f aca="true" t="shared" si="10" ref="G48:N48">G49+G51</f>
        <v>2852</v>
      </c>
      <c r="H48" s="348">
        <f t="shared" si="10"/>
        <v>0</v>
      </c>
      <c r="I48" s="348">
        <f t="shared" si="10"/>
        <v>0</v>
      </c>
      <c r="J48" s="170">
        <f t="shared" si="10"/>
        <v>-1.8800000000000026</v>
      </c>
      <c r="K48" s="170" t="e">
        <f t="shared" si="10"/>
        <v>#REF!</v>
      </c>
      <c r="L48" s="161">
        <f t="shared" si="10"/>
        <v>70</v>
      </c>
      <c r="M48" s="161">
        <f t="shared" si="10"/>
        <v>-70</v>
      </c>
      <c r="N48" s="161">
        <f t="shared" si="10"/>
        <v>0</v>
      </c>
      <c r="O48" s="161">
        <f>O49+O51</f>
        <v>0</v>
      </c>
    </row>
    <row r="49" spans="1:15" ht="26.25">
      <c r="A49" s="148" t="s">
        <v>497</v>
      </c>
      <c r="B49" s="351" t="s">
        <v>477</v>
      </c>
      <c r="C49" s="351" t="s">
        <v>404</v>
      </c>
      <c r="D49" s="351" t="s">
        <v>385</v>
      </c>
      <c r="E49" s="351" t="s">
        <v>498</v>
      </c>
      <c r="F49" s="351"/>
      <c r="G49" s="360">
        <f aca="true" t="shared" si="11" ref="G49:O49">G50</f>
        <v>2164</v>
      </c>
      <c r="H49" s="360">
        <f t="shared" si="11"/>
        <v>0</v>
      </c>
      <c r="I49" s="360">
        <f t="shared" si="11"/>
        <v>0</v>
      </c>
      <c r="J49" s="170">
        <f t="shared" si="11"/>
        <v>-35.88</v>
      </c>
      <c r="K49" s="170" t="e">
        <f t="shared" si="11"/>
        <v>#REF!</v>
      </c>
      <c r="L49" s="170">
        <f t="shared" si="11"/>
        <v>70</v>
      </c>
      <c r="M49" s="170">
        <f t="shared" si="11"/>
        <v>-70</v>
      </c>
      <c r="N49" s="170">
        <f t="shared" si="11"/>
        <v>0</v>
      </c>
      <c r="O49" s="170">
        <f t="shared" si="11"/>
        <v>0</v>
      </c>
    </row>
    <row r="50" spans="1:15" ht="26.25">
      <c r="A50" s="148" t="s">
        <v>493</v>
      </c>
      <c r="B50" s="351" t="s">
        <v>477</v>
      </c>
      <c r="C50" s="351" t="s">
        <v>404</v>
      </c>
      <c r="D50" s="351" t="s">
        <v>385</v>
      </c>
      <c r="E50" s="351" t="s">
        <v>498</v>
      </c>
      <c r="F50" s="351" t="s">
        <v>494</v>
      </c>
      <c r="G50" s="360">
        <v>2164</v>
      </c>
      <c r="H50" s="357"/>
      <c r="I50" s="360"/>
      <c r="J50" s="170">
        <v>-35.88</v>
      </c>
      <c r="K50" s="170" t="e">
        <f>#REF!+J50</f>
        <v>#REF!</v>
      </c>
      <c r="L50" s="170">
        <v>70</v>
      </c>
      <c r="M50" s="170">
        <v>-70</v>
      </c>
      <c r="N50" s="170">
        <f>L50+M50</f>
        <v>0</v>
      </c>
      <c r="O50" s="170"/>
    </row>
    <row r="51" spans="1:15" ht="64.5" customHeight="1" hidden="1">
      <c r="A51" s="148" t="s">
        <v>524</v>
      </c>
      <c r="B51" s="351" t="s">
        <v>477</v>
      </c>
      <c r="C51" s="351" t="s">
        <v>404</v>
      </c>
      <c r="D51" s="351" t="s">
        <v>385</v>
      </c>
      <c r="E51" s="351" t="s">
        <v>525</v>
      </c>
      <c r="F51" s="351"/>
      <c r="G51" s="360">
        <f aca="true" t="shared" si="12" ref="G51:O51">G52</f>
        <v>688</v>
      </c>
      <c r="H51" s="357">
        <f t="shared" si="12"/>
        <v>0</v>
      </c>
      <c r="I51" s="360">
        <f t="shared" si="12"/>
        <v>0</v>
      </c>
      <c r="J51" s="170">
        <f t="shared" si="12"/>
        <v>34</v>
      </c>
      <c r="K51" s="170" t="e">
        <f t="shared" si="12"/>
        <v>#REF!</v>
      </c>
      <c r="L51" s="170">
        <f t="shared" si="12"/>
        <v>0</v>
      </c>
      <c r="M51" s="170">
        <f t="shared" si="12"/>
        <v>0</v>
      </c>
      <c r="N51" s="170">
        <f t="shared" si="12"/>
        <v>0</v>
      </c>
      <c r="O51" s="170">
        <f t="shared" si="12"/>
        <v>0</v>
      </c>
    </row>
    <row r="52" spans="1:15" ht="26.25" customHeight="1" hidden="1">
      <c r="A52" s="148" t="s">
        <v>504</v>
      </c>
      <c r="B52" s="351" t="s">
        <v>477</v>
      </c>
      <c r="C52" s="351" t="s">
        <v>404</v>
      </c>
      <c r="D52" s="351" t="s">
        <v>385</v>
      </c>
      <c r="E52" s="351" t="s">
        <v>525</v>
      </c>
      <c r="F52" s="351" t="s">
        <v>494</v>
      </c>
      <c r="G52" s="360">
        <v>688</v>
      </c>
      <c r="H52" s="357"/>
      <c r="I52" s="360"/>
      <c r="J52" s="170">
        <v>34</v>
      </c>
      <c r="K52" s="170" t="e">
        <f>#REF!+J52</f>
        <v>#REF!</v>
      </c>
      <c r="L52" s="170"/>
      <c r="M52" s="170"/>
      <c r="N52" s="170">
        <f>L52+M52</f>
        <v>0</v>
      </c>
      <c r="O52" s="170"/>
    </row>
    <row r="53" spans="1:15" ht="15" customHeight="1">
      <c r="A53" s="356" t="s">
        <v>435</v>
      </c>
      <c r="B53" s="350" t="s">
        <v>477</v>
      </c>
      <c r="C53" s="350" t="s">
        <v>404</v>
      </c>
      <c r="D53" s="350" t="s">
        <v>404</v>
      </c>
      <c r="E53" s="350"/>
      <c r="F53" s="350"/>
      <c r="G53" s="348">
        <f aca="true" t="shared" si="13" ref="G53:I55">G54</f>
        <v>0</v>
      </c>
      <c r="H53" s="348">
        <f t="shared" si="13"/>
        <v>1049.66</v>
      </c>
      <c r="I53" s="348">
        <f t="shared" si="13"/>
        <v>0</v>
      </c>
      <c r="J53" s="170"/>
      <c r="K53" s="170"/>
      <c r="L53" s="161">
        <f>L54+L59+L63+L65+L61</f>
        <v>472.8</v>
      </c>
      <c r="M53" s="161">
        <f>M54+M59+M63+M65+M61</f>
        <v>-472.8</v>
      </c>
      <c r="N53" s="161">
        <f>N54+N59+N63+N65+N61</f>
        <v>0</v>
      </c>
      <c r="O53" s="161">
        <f>O54+O59+O63+O65+O61</f>
        <v>0</v>
      </c>
    </row>
    <row r="54" spans="1:15" ht="39" customHeight="1" hidden="1">
      <c r="A54" s="148" t="s">
        <v>526</v>
      </c>
      <c r="B54" s="351" t="s">
        <v>477</v>
      </c>
      <c r="C54" s="351" t="s">
        <v>404</v>
      </c>
      <c r="D54" s="351" t="s">
        <v>404</v>
      </c>
      <c r="E54" s="351" t="s">
        <v>527</v>
      </c>
      <c r="F54" s="351"/>
      <c r="G54" s="360">
        <f t="shared" si="13"/>
        <v>0</v>
      </c>
      <c r="H54" s="360">
        <f t="shared" si="13"/>
        <v>1049.66</v>
      </c>
      <c r="I54" s="360">
        <f t="shared" si="13"/>
        <v>0</v>
      </c>
      <c r="J54" s="170"/>
      <c r="K54" s="170"/>
      <c r="L54" s="170">
        <f>L55</f>
        <v>0</v>
      </c>
      <c r="M54" s="170">
        <f aca="true" t="shared" si="14" ref="M54:O55">M55</f>
        <v>0</v>
      </c>
      <c r="N54" s="170">
        <f t="shared" si="14"/>
        <v>0</v>
      </c>
      <c r="O54" s="170">
        <f t="shared" si="14"/>
        <v>0</v>
      </c>
    </row>
    <row r="55" spans="1:15" ht="26.25" customHeight="1" hidden="1">
      <c r="A55" s="148" t="s">
        <v>497</v>
      </c>
      <c r="B55" s="351" t="s">
        <v>477</v>
      </c>
      <c r="C55" s="351" t="s">
        <v>404</v>
      </c>
      <c r="D55" s="351" t="s">
        <v>404</v>
      </c>
      <c r="E55" s="351" t="s">
        <v>528</v>
      </c>
      <c r="F55" s="351"/>
      <c r="G55" s="360">
        <f t="shared" si="13"/>
        <v>0</v>
      </c>
      <c r="H55" s="360">
        <f t="shared" si="13"/>
        <v>1049.66</v>
      </c>
      <c r="I55" s="360">
        <f t="shared" si="13"/>
        <v>0</v>
      </c>
      <c r="J55" s="170"/>
      <c r="K55" s="170"/>
      <c r="L55" s="170">
        <f>L56</f>
        <v>0</v>
      </c>
      <c r="M55" s="170">
        <f t="shared" si="14"/>
        <v>0</v>
      </c>
      <c r="N55" s="170">
        <f t="shared" si="14"/>
        <v>0</v>
      </c>
      <c r="O55" s="170">
        <f t="shared" si="14"/>
        <v>0</v>
      </c>
    </row>
    <row r="56" spans="1:15" ht="26.25" customHeight="1" hidden="1">
      <c r="A56" s="148" t="s">
        <v>504</v>
      </c>
      <c r="B56" s="351" t="s">
        <v>477</v>
      </c>
      <c r="C56" s="351" t="s">
        <v>404</v>
      </c>
      <c r="D56" s="351" t="s">
        <v>404</v>
      </c>
      <c r="E56" s="351" t="s">
        <v>528</v>
      </c>
      <c r="F56" s="351" t="s">
        <v>494</v>
      </c>
      <c r="G56" s="177"/>
      <c r="H56" s="169">
        <v>1049.66</v>
      </c>
      <c r="I56" s="177"/>
      <c r="J56" s="170"/>
      <c r="K56" s="170"/>
      <c r="L56" s="170">
        <f>J56+K56</f>
        <v>0</v>
      </c>
      <c r="M56" s="170"/>
      <c r="N56" s="170">
        <f>L56+M56</f>
        <v>0</v>
      </c>
      <c r="O56" s="170"/>
    </row>
    <row r="57" spans="1:15" ht="39" customHeight="1" hidden="1">
      <c r="A57" s="173" t="s">
        <v>529</v>
      </c>
      <c r="B57" s="367" t="s">
        <v>477</v>
      </c>
      <c r="C57" s="351" t="s">
        <v>404</v>
      </c>
      <c r="D57" s="351" t="s">
        <v>404</v>
      </c>
      <c r="E57" s="240">
        <v>7952014</v>
      </c>
      <c r="F57" s="351"/>
      <c r="G57" s="368"/>
      <c r="H57" s="169"/>
      <c r="I57" s="177"/>
      <c r="J57" s="170"/>
      <c r="K57" s="170"/>
      <c r="L57" s="170">
        <f>L58</f>
        <v>0</v>
      </c>
      <c r="M57" s="170">
        <f>M58</f>
        <v>0</v>
      </c>
      <c r="N57" s="170">
        <f>N58</f>
        <v>0</v>
      </c>
      <c r="O57" s="170">
        <f>O58</f>
        <v>0</v>
      </c>
    </row>
    <row r="58" spans="1:15" ht="26.25" customHeight="1" hidden="1">
      <c r="A58" s="148" t="s">
        <v>487</v>
      </c>
      <c r="B58" s="351" t="s">
        <v>477</v>
      </c>
      <c r="C58" s="351" t="s">
        <v>404</v>
      </c>
      <c r="D58" s="351" t="s">
        <v>404</v>
      </c>
      <c r="E58" s="240">
        <v>7952014</v>
      </c>
      <c r="F58" s="351" t="s">
        <v>485</v>
      </c>
      <c r="G58" s="177"/>
      <c r="H58" s="169"/>
      <c r="I58" s="177"/>
      <c r="J58" s="170"/>
      <c r="K58" s="170"/>
      <c r="L58" s="170">
        <f>J58+K58</f>
        <v>0</v>
      </c>
      <c r="M58" s="170"/>
      <c r="N58" s="170">
        <f>L58+M58</f>
        <v>0</v>
      </c>
      <c r="O58" s="170"/>
    </row>
    <row r="59" spans="1:15" ht="26.25">
      <c r="A59" s="173" t="s">
        <v>530</v>
      </c>
      <c r="B59" s="367" t="s">
        <v>477</v>
      </c>
      <c r="C59" s="351" t="s">
        <v>404</v>
      </c>
      <c r="D59" s="351" t="s">
        <v>404</v>
      </c>
      <c r="E59" s="240">
        <v>7952019</v>
      </c>
      <c r="F59" s="351"/>
      <c r="G59" s="177"/>
      <c r="H59" s="169"/>
      <c r="I59" s="177"/>
      <c r="J59" s="170"/>
      <c r="K59" s="170"/>
      <c r="L59" s="170">
        <f>L60</f>
        <v>88.8</v>
      </c>
      <c r="M59" s="170">
        <f>M60</f>
        <v>-88.8</v>
      </c>
      <c r="N59" s="170">
        <f>N60</f>
        <v>0</v>
      </c>
      <c r="O59" s="170">
        <f>O60</f>
        <v>0</v>
      </c>
    </row>
    <row r="60" spans="1:15" ht="26.25">
      <c r="A60" s="148" t="s">
        <v>487</v>
      </c>
      <c r="B60" s="351" t="s">
        <v>477</v>
      </c>
      <c r="C60" s="351" t="s">
        <v>404</v>
      </c>
      <c r="D60" s="351" t="s">
        <v>404</v>
      </c>
      <c r="E60" s="240">
        <v>7952019</v>
      </c>
      <c r="F60" s="351" t="s">
        <v>485</v>
      </c>
      <c r="G60" s="177"/>
      <c r="H60" s="169"/>
      <c r="I60" s="177"/>
      <c r="J60" s="170"/>
      <c r="K60" s="170"/>
      <c r="L60" s="170">
        <v>88.8</v>
      </c>
      <c r="M60" s="170">
        <v>-88.8</v>
      </c>
      <c r="N60" s="170">
        <f>L60+M60</f>
        <v>0</v>
      </c>
      <c r="O60" s="170"/>
    </row>
    <row r="61" spans="1:15" ht="39">
      <c r="A61" s="173" t="s">
        <v>531</v>
      </c>
      <c r="B61" s="367" t="s">
        <v>477</v>
      </c>
      <c r="C61" s="351" t="s">
        <v>404</v>
      </c>
      <c r="D61" s="351" t="s">
        <v>404</v>
      </c>
      <c r="E61" s="240">
        <v>7952014</v>
      </c>
      <c r="F61" s="351"/>
      <c r="G61" s="177"/>
      <c r="H61" s="169"/>
      <c r="I61" s="177"/>
      <c r="J61" s="170"/>
      <c r="K61" s="170"/>
      <c r="L61" s="170">
        <f>L62</f>
        <v>150</v>
      </c>
      <c r="M61" s="170">
        <f>M62</f>
        <v>-150</v>
      </c>
      <c r="N61" s="170">
        <f>N62</f>
        <v>0</v>
      </c>
      <c r="O61" s="170">
        <f>O62</f>
        <v>0</v>
      </c>
    </row>
    <row r="62" spans="1:15" ht="26.25">
      <c r="A62" s="148" t="s">
        <v>487</v>
      </c>
      <c r="B62" s="351" t="s">
        <v>477</v>
      </c>
      <c r="C62" s="351" t="s">
        <v>404</v>
      </c>
      <c r="D62" s="351" t="s">
        <v>404</v>
      </c>
      <c r="E62" s="240">
        <v>7952014</v>
      </c>
      <c r="F62" s="351" t="s">
        <v>485</v>
      </c>
      <c r="G62" s="177"/>
      <c r="H62" s="169"/>
      <c r="I62" s="177"/>
      <c r="J62" s="170"/>
      <c r="K62" s="170"/>
      <c r="L62" s="170">
        <v>150</v>
      </c>
      <c r="M62" s="170">
        <v>-150</v>
      </c>
      <c r="N62" s="170">
        <f>L62+M62</f>
        <v>0</v>
      </c>
      <c r="O62" s="170"/>
    </row>
    <row r="63" spans="1:15" ht="64.5" customHeight="1" hidden="1">
      <c r="A63" s="173" t="s">
        <v>532</v>
      </c>
      <c r="B63" s="367" t="s">
        <v>477</v>
      </c>
      <c r="C63" s="351" t="s">
        <v>404</v>
      </c>
      <c r="D63" s="351" t="s">
        <v>404</v>
      </c>
      <c r="E63" s="240">
        <v>7952016</v>
      </c>
      <c r="F63" s="351"/>
      <c r="G63" s="177"/>
      <c r="H63" s="169"/>
      <c r="I63" s="177"/>
      <c r="J63" s="170"/>
      <c r="K63" s="170"/>
      <c r="L63" s="170">
        <f>L64</f>
        <v>0</v>
      </c>
      <c r="M63" s="170">
        <f>M64</f>
        <v>0</v>
      </c>
      <c r="N63" s="170">
        <f>N64</f>
        <v>0</v>
      </c>
      <c r="O63" s="170">
        <f>O64</f>
        <v>0</v>
      </c>
    </row>
    <row r="64" spans="1:15" ht="26.25" customHeight="1" hidden="1">
      <c r="A64" s="148" t="s">
        <v>487</v>
      </c>
      <c r="B64" s="351" t="s">
        <v>477</v>
      </c>
      <c r="C64" s="351" t="s">
        <v>404</v>
      </c>
      <c r="D64" s="351" t="s">
        <v>404</v>
      </c>
      <c r="E64" s="240">
        <v>7952016</v>
      </c>
      <c r="F64" s="351" t="s">
        <v>485</v>
      </c>
      <c r="G64" s="177"/>
      <c r="H64" s="169"/>
      <c r="I64" s="177"/>
      <c r="J64" s="170"/>
      <c r="K64" s="170"/>
      <c r="L64" s="170"/>
      <c r="M64" s="170"/>
      <c r="N64" s="170">
        <f>L64+M64</f>
        <v>0</v>
      </c>
      <c r="O64" s="170"/>
    </row>
    <row r="65" spans="1:15" ht="64.5">
      <c r="A65" s="173" t="s">
        <v>533</v>
      </c>
      <c r="B65" s="367" t="s">
        <v>477</v>
      </c>
      <c r="C65" s="351" t="s">
        <v>404</v>
      </c>
      <c r="D65" s="351" t="s">
        <v>404</v>
      </c>
      <c r="E65" s="240">
        <v>7952017</v>
      </c>
      <c r="F65" s="351"/>
      <c r="G65" s="177"/>
      <c r="H65" s="169"/>
      <c r="I65" s="177"/>
      <c r="J65" s="170"/>
      <c r="K65" s="170"/>
      <c r="L65" s="170">
        <f>L66</f>
        <v>234</v>
      </c>
      <c r="M65" s="170">
        <f>M66</f>
        <v>-234</v>
      </c>
      <c r="N65" s="170">
        <f>N66</f>
        <v>0</v>
      </c>
      <c r="O65" s="170">
        <f>O66</f>
        <v>0</v>
      </c>
    </row>
    <row r="66" spans="1:15" ht="26.25">
      <c r="A66" s="148" t="s">
        <v>487</v>
      </c>
      <c r="B66" s="351" t="s">
        <v>477</v>
      </c>
      <c r="C66" s="351" t="s">
        <v>404</v>
      </c>
      <c r="D66" s="351" t="s">
        <v>404</v>
      </c>
      <c r="E66" s="240">
        <v>7952017</v>
      </c>
      <c r="F66" s="351" t="s">
        <v>485</v>
      </c>
      <c r="G66" s="177"/>
      <c r="H66" s="169"/>
      <c r="I66" s="177"/>
      <c r="J66" s="170"/>
      <c r="K66" s="170"/>
      <c r="L66" s="170">
        <v>234</v>
      </c>
      <c r="M66" s="170">
        <v>-234</v>
      </c>
      <c r="N66" s="170">
        <f>L66+M66</f>
        <v>0</v>
      </c>
      <c r="O66" s="170"/>
    </row>
    <row r="67" spans="1:19" ht="39" customHeight="1" hidden="1">
      <c r="A67" s="356" t="s">
        <v>436</v>
      </c>
      <c r="B67" s="350" t="s">
        <v>477</v>
      </c>
      <c r="C67" s="350" t="s">
        <v>404</v>
      </c>
      <c r="D67" s="350" t="s">
        <v>437</v>
      </c>
      <c r="E67" s="350"/>
      <c r="F67" s="350"/>
      <c r="G67" s="348">
        <f aca="true" t="shared" si="15" ref="G67:O69">G68</f>
        <v>0</v>
      </c>
      <c r="H67" s="348">
        <f t="shared" si="15"/>
        <v>1049.66</v>
      </c>
      <c r="I67" s="348">
        <f t="shared" si="15"/>
        <v>0</v>
      </c>
      <c r="J67" s="161">
        <f>J68+J71</f>
        <v>33</v>
      </c>
      <c r="K67" s="161" t="e">
        <f>K68+K71</f>
        <v>#REF!</v>
      </c>
      <c r="L67" s="161">
        <f>L68+L71+L73+L75+L77+L79</f>
        <v>0</v>
      </c>
      <c r="M67" s="161">
        <f>M68+M71+M73+M75+M77+M79</f>
        <v>0</v>
      </c>
      <c r="N67" s="161">
        <f>N68+N71+N73+N75+N77+N79</f>
        <v>0</v>
      </c>
      <c r="O67" s="161">
        <f>O68+O71+O73+O75+O77+O79</f>
        <v>0</v>
      </c>
      <c r="P67" s="190"/>
      <c r="Q67" s="191"/>
      <c r="R67" s="190"/>
      <c r="S67" s="192"/>
    </row>
    <row r="68" spans="1:19" ht="39" customHeight="1" hidden="1">
      <c r="A68" s="148" t="s">
        <v>526</v>
      </c>
      <c r="B68" s="351" t="s">
        <v>477</v>
      </c>
      <c r="C68" s="351" t="s">
        <v>404</v>
      </c>
      <c r="D68" s="351" t="s">
        <v>437</v>
      </c>
      <c r="E68" s="351" t="s">
        <v>527</v>
      </c>
      <c r="F68" s="351"/>
      <c r="G68" s="360">
        <f t="shared" si="15"/>
        <v>0</v>
      </c>
      <c r="H68" s="360">
        <f t="shared" si="15"/>
        <v>1049.66</v>
      </c>
      <c r="I68" s="360">
        <f t="shared" si="15"/>
        <v>0</v>
      </c>
      <c r="J68" s="170">
        <f t="shared" si="15"/>
        <v>0</v>
      </c>
      <c r="K68" s="161" t="e">
        <f t="shared" si="15"/>
        <v>#REF!</v>
      </c>
      <c r="L68" s="170">
        <f t="shared" si="15"/>
        <v>0</v>
      </c>
      <c r="M68" s="170">
        <f t="shared" si="15"/>
        <v>0</v>
      </c>
      <c r="N68" s="170">
        <f t="shared" si="15"/>
        <v>0</v>
      </c>
      <c r="O68" s="170">
        <f t="shared" si="15"/>
        <v>0</v>
      </c>
      <c r="P68" s="193"/>
      <c r="Q68" s="194"/>
      <c r="R68" s="193"/>
      <c r="S68" s="192"/>
    </row>
    <row r="69" spans="1:19" ht="26.25" customHeight="1" hidden="1">
      <c r="A69" s="148" t="s">
        <v>497</v>
      </c>
      <c r="B69" s="351" t="s">
        <v>477</v>
      </c>
      <c r="C69" s="351" t="s">
        <v>404</v>
      </c>
      <c r="D69" s="351" t="s">
        <v>437</v>
      </c>
      <c r="E69" s="351" t="s">
        <v>528</v>
      </c>
      <c r="F69" s="351"/>
      <c r="G69" s="360">
        <f t="shared" si="15"/>
        <v>0</v>
      </c>
      <c r="H69" s="360">
        <f t="shared" si="15"/>
        <v>1049.66</v>
      </c>
      <c r="I69" s="360">
        <f t="shared" si="15"/>
        <v>0</v>
      </c>
      <c r="J69" s="170">
        <f t="shared" si="15"/>
        <v>0</v>
      </c>
      <c r="K69" s="161" t="e">
        <f t="shared" si="15"/>
        <v>#REF!</v>
      </c>
      <c r="L69" s="170">
        <f t="shared" si="15"/>
        <v>0</v>
      </c>
      <c r="M69" s="170">
        <f t="shared" si="15"/>
        <v>0</v>
      </c>
      <c r="N69" s="170">
        <f t="shared" si="15"/>
        <v>0</v>
      </c>
      <c r="O69" s="170">
        <f t="shared" si="15"/>
        <v>0</v>
      </c>
      <c r="P69" s="193"/>
      <c r="Q69" s="194"/>
      <c r="R69" s="193"/>
      <c r="S69" s="192"/>
    </row>
    <row r="70" spans="1:19" ht="26.25" customHeight="1" hidden="1">
      <c r="A70" s="148" t="s">
        <v>504</v>
      </c>
      <c r="B70" s="351" t="s">
        <v>477</v>
      </c>
      <c r="C70" s="351" t="s">
        <v>404</v>
      </c>
      <c r="D70" s="351" t="s">
        <v>437</v>
      </c>
      <c r="E70" s="351" t="s">
        <v>528</v>
      </c>
      <c r="F70" s="351" t="s">
        <v>494</v>
      </c>
      <c r="G70" s="177"/>
      <c r="H70" s="169">
        <v>1049.66</v>
      </c>
      <c r="I70" s="177"/>
      <c r="J70" s="170"/>
      <c r="K70" s="161" t="e">
        <f>#REF!+J70</f>
        <v>#REF!</v>
      </c>
      <c r="L70" s="170"/>
      <c r="M70" s="170"/>
      <c r="N70" s="170">
        <f>L70+M70</f>
        <v>0</v>
      </c>
      <c r="O70" s="170"/>
      <c r="P70" s="193"/>
      <c r="Q70" s="194"/>
      <c r="R70" s="196"/>
      <c r="S70" s="192"/>
    </row>
    <row r="71" spans="1:19" ht="39" customHeight="1" hidden="1">
      <c r="A71" s="173" t="s">
        <v>529</v>
      </c>
      <c r="B71" s="367" t="s">
        <v>477</v>
      </c>
      <c r="C71" s="351" t="s">
        <v>404</v>
      </c>
      <c r="D71" s="351" t="s">
        <v>437</v>
      </c>
      <c r="E71" s="240">
        <v>7952014</v>
      </c>
      <c r="F71" s="351"/>
      <c r="G71" s="369"/>
      <c r="H71" s="370"/>
      <c r="I71" s="371"/>
      <c r="J71" s="170">
        <f aca="true" t="shared" si="16" ref="J71:O71">J72</f>
        <v>33</v>
      </c>
      <c r="K71" s="170" t="e">
        <f t="shared" si="16"/>
        <v>#REF!</v>
      </c>
      <c r="L71" s="170">
        <f t="shared" si="16"/>
        <v>0</v>
      </c>
      <c r="M71" s="170">
        <f t="shared" si="16"/>
        <v>0</v>
      </c>
      <c r="N71" s="170">
        <f t="shared" si="16"/>
        <v>0</v>
      </c>
      <c r="O71" s="170">
        <f t="shared" si="16"/>
        <v>0</v>
      </c>
      <c r="P71" s="193"/>
      <c r="Q71" s="194"/>
      <c r="R71" s="196"/>
      <c r="S71" s="192"/>
    </row>
    <row r="72" spans="1:19" ht="26.25" customHeight="1" hidden="1">
      <c r="A72" s="148" t="s">
        <v>487</v>
      </c>
      <c r="B72" s="351" t="s">
        <v>477</v>
      </c>
      <c r="C72" s="351" t="s">
        <v>404</v>
      </c>
      <c r="D72" s="351" t="s">
        <v>437</v>
      </c>
      <c r="E72" s="240">
        <v>7952014</v>
      </c>
      <c r="F72" s="351" t="s">
        <v>485</v>
      </c>
      <c r="G72" s="371"/>
      <c r="H72" s="370"/>
      <c r="I72" s="371"/>
      <c r="J72" s="170">
        <v>33</v>
      </c>
      <c r="K72" s="161" t="e">
        <f>#REF!+J72</f>
        <v>#REF!</v>
      </c>
      <c r="L72" s="170"/>
      <c r="M72" s="170"/>
      <c r="N72" s="170">
        <f>L72+M72</f>
        <v>0</v>
      </c>
      <c r="O72" s="170"/>
      <c r="P72" s="193"/>
      <c r="Q72" s="194"/>
      <c r="R72" s="196"/>
      <c r="S72" s="192"/>
    </row>
    <row r="73" spans="1:19" ht="39" customHeight="1" hidden="1">
      <c r="A73" s="173" t="s">
        <v>534</v>
      </c>
      <c r="B73" s="367" t="s">
        <v>477</v>
      </c>
      <c r="C73" s="351" t="s">
        <v>404</v>
      </c>
      <c r="D73" s="351" t="s">
        <v>437</v>
      </c>
      <c r="E73" s="240">
        <v>7952013</v>
      </c>
      <c r="F73" s="351"/>
      <c r="G73" s="371"/>
      <c r="H73" s="370"/>
      <c r="I73" s="371"/>
      <c r="J73" s="170"/>
      <c r="K73" s="161"/>
      <c r="L73" s="170">
        <f>L74</f>
        <v>0</v>
      </c>
      <c r="M73" s="170">
        <f>M74</f>
        <v>0</v>
      </c>
      <c r="N73" s="170">
        <f>N74</f>
        <v>0</v>
      </c>
      <c r="O73" s="170">
        <f>O74</f>
        <v>0</v>
      </c>
      <c r="P73" s="193"/>
      <c r="Q73" s="194"/>
      <c r="R73" s="196"/>
      <c r="S73" s="192"/>
    </row>
    <row r="74" spans="1:19" ht="26.25" customHeight="1" hidden="1">
      <c r="A74" s="148" t="s">
        <v>487</v>
      </c>
      <c r="B74" s="351" t="s">
        <v>477</v>
      </c>
      <c r="C74" s="351" t="s">
        <v>404</v>
      </c>
      <c r="D74" s="351" t="s">
        <v>437</v>
      </c>
      <c r="E74" s="240">
        <v>7952013</v>
      </c>
      <c r="F74" s="351" t="s">
        <v>485</v>
      </c>
      <c r="G74" s="371"/>
      <c r="H74" s="370"/>
      <c r="I74" s="371"/>
      <c r="J74" s="170"/>
      <c r="K74" s="161"/>
      <c r="L74" s="170">
        <f>J74+K74</f>
        <v>0</v>
      </c>
      <c r="M74" s="170"/>
      <c r="N74" s="170">
        <f>L74+M74</f>
        <v>0</v>
      </c>
      <c r="O74" s="170"/>
      <c r="P74" s="193"/>
      <c r="Q74" s="194"/>
      <c r="R74" s="196"/>
      <c r="S74" s="192"/>
    </row>
    <row r="75" spans="1:19" ht="39" customHeight="1" hidden="1">
      <c r="A75" s="173" t="s">
        <v>535</v>
      </c>
      <c r="B75" s="367" t="s">
        <v>477</v>
      </c>
      <c r="C75" s="351" t="s">
        <v>404</v>
      </c>
      <c r="D75" s="351" t="s">
        <v>437</v>
      </c>
      <c r="E75" s="240">
        <v>7952015</v>
      </c>
      <c r="F75" s="351"/>
      <c r="G75" s="371"/>
      <c r="H75" s="370"/>
      <c r="I75" s="371"/>
      <c r="J75" s="170"/>
      <c r="K75" s="161"/>
      <c r="L75" s="170">
        <f>L76</f>
        <v>0</v>
      </c>
      <c r="M75" s="170">
        <f>M76</f>
        <v>0</v>
      </c>
      <c r="N75" s="170">
        <f>N76</f>
        <v>0</v>
      </c>
      <c r="O75" s="170">
        <f>O76</f>
        <v>0</v>
      </c>
      <c r="P75" s="193"/>
      <c r="Q75" s="194"/>
      <c r="R75" s="196"/>
      <c r="S75" s="192"/>
    </row>
    <row r="76" spans="1:19" ht="26.25" customHeight="1" hidden="1">
      <c r="A76" s="148" t="s">
        <v>487</v>
      </c>
      <c r="B76" s="351" t="s">
        <v>477</v>
      </c>
      <c r="C76" s="351" t="s">
        <v>404</v>
      </c>
      <c r="D76" s="351" t="s">
        <v>437</v>
      </c>
      <c r="E76" s="240">
        <v>7952015</v>
      </c>
      <c r="F76" s="351" t="s">
        <v>485</v>
      </c>
      <c r="G76" s="371"/>
      <c r="H76" s="370"/>
      <c r="I76" s="371"/>
      <c r="J76" s="170"/>
      <c r="K76" s="161"/>
      <c r="L76" s="170">
        <f>J76+K76</f>
        <v>0</v>
      </c>
      <c r="M76" s="170"/>
      <c r="N76" s="170">
        <f>L76+M76</f>
        <v>0</v>
      </c>
      <c r="O76" s="170"/>
      <c r="P76" s="193"/>
      <c r="Q76" s="194"/>
      <c r="R76" s="196"/>
      <c r="S76" s="192"/>
    </row>
    <row r="77" spans="1:19" ht="64.5" customHeight="1" hidden="1">
      <c r="A77" s="173" t="s">
        <v>536</v>
      </c>
      <c r="B77" s="367" t="s">
        <v>477</v>
      </c>
      <c r="C77" s="351" t="s">
        <v>404</v>
      </c>
      <c r="D77" s="351" t="s">
        <v>437</v>
      </c>
      <c r="E77" s="240">
        <v>7952016</v>
      </c>
      <c r="F77" s="351"/>
      <c r="G77" s="371"/>
      <c r="H77" s="370"/>
      <c r="I77" s="371"/>
      <c r="J77" s="170"/>
      <c r="K77" s="161"/>
      <c r="L77" s="170">
        <f>L78</f>
        <v>0</v>
      </c>
      <c r="M77" s="170">
        <f>M78</f>
        <v>0</v>
      </c>
      <c r="N77" s="170">
        <f>N78</f>
        <v>0</v>
      </c>
      <c r="O77" s="170">
        <f>O78</f>
        <v>0</v>
      </c>
      <c r="P77" s="193"/>
      <c r="Q77" s="194"/>
      <c r="R77" s="196"/>
      <c r="S77" s="192"/>
    </row>
    <row r="78" spans="1:19" ht="26.25" customHeight="1" hidden="1">
      <c r="A78" s="148" t="s">
        <v>487</v>
      </c>
      <c r="B78" s="351" t="s">
        <v>477</v>
      </c>
      <c r="C78" s="351" t="s">
        <v>404</v>
      </c>
      <c r="D78" s="351" t="s">
        <v>437</v>
      </c>
      <c r="E78" s="240">
        <v>7952016</v>
      </c>
      <c r="F78" s="351" t="s">
        <v>485</v>
      </c>
      <c r="G78" s="371"/>
      <c r="H78" s="370"/>
      <c r="I78" s="371"/>
      <c r="J78" s="170"/>
      <c r="K78" s="161"/>
      <c r="L78" s="170">
        <f>J78+K78</f>
        <v>0</v>
      </c>
      <c r="M78" s="170"/>
      <c r="N78" s="170">
        <f>L78+M78</f>
        <v>0</v>
      </c>
      <c r="O78" s="170"/>
      <c r="P78" s="193"/>
      <c r="Q78" s="194"/>
      <c r="R78" s="196"/>
      <c r="S78" s="192"/>
    </row>
    <row r="79" spans="1:19" ht="26.25" customHeight="1" hidden="1">
      <c r="A79" s="173" t="s">
        <v>537</v>
      </c>
      <c r="B79" s="367" t="s">
        <v>477</v>
      </c>
      <c r="C79" s="351" t="s">
        <v>404</v>
      </c>
      <c r="D79" s="351" t="s">
        <v>437</v>
      </c>
      <c r="E79" s="240">
        <v>7952017</v>
      </c>
      <c r="F79" s="351"/>
      <c r="G79" s="371"/>
      <c r="H79" s="370"/>
      <c r="I79" s="371"/>
      <c r="J79" s="170"/>
      <c r="K79" s="161"/>
      <c r="L79" s="170">
        <f>L80</f>
        <v>0</v>
      </c>
      <c r="M79" s="170">
        <f>M80</f>
        <v>0</v>
      </c>
      <c r="N79" s="170">
        <f>N80</f>
        <v>0</v>
      </c>
      <c r="O79" s="170">
        <f>O80</f>
        <v>0</v>
      </c>
      <c r="P79" s="193"/>
      <c r="Q79" s="194"/>
      <c r="R79" s="196"/>
      <c r="S79" s="192"/>
    </row>
    <row r="80" spans="1:19" ht="26.25" customHeight="1" hidden="1">
      <c r="A80" s="148" t="s">
        <v>487</v>
      </c>
      <c r="B80" s="351" t="s">
        <v>477</v>
      </c>
      <c r="C80" s="351" t="s">
        <v>404</v>
      </c>
      <c r="D80" s="351" t="s">
        <v>437</v>
      </c>
      <c r="E80" s="240">
        <v>7952017</v>
      </c>
      <c r="F80" s="351" t="s">
        <v>485</v>
      </c>
      <c r="G80" s="371"/>
      <c r="H80" s="370"/>
      <c r="I80" s="371"/>
      <c r="J80" s="170"/>
      <c r="K80" s="161"/>
      <c r="L80" s="170">
        <f>J80+K80</f>
        <v>0</v>
      </c>
      <c r="M80" s="170">
        <f>30-30</f>
        <v>0</v>
      </c>
      <c r="N80" s="170">
        <f>L80+M80</f>
        <v>0</v>
      </c>
      <c r="O80" s="170">
        <f>30-30</f>
        <v>0</v>
      </c>
      <c r="P80" s="193"/>
      <c r="Q80" s="194"/>
      <c r="R80" s="196"/>
      <c r="S80" s="192"/>
    </row>
    <row r="81" spans="1:18" ht="14.25" customHeight="1">
      <c r="A81" s="204" t="s">
        <v>538</v>
      </c>
      <c r="B81" s="168" t="s">
        <v>539</v>
      </c>
      <c r="C81" s="168"/>
      <c r="D81" s="168"/>
      <c r="E81" s="168"/>
      <c r="F81" s="168"/>
      <c r="G81" s="373" t="e">
        <f>G82+G89+#REF!</f>
        <v>#REF!</v>
      </c>
      <c r="H81" s="373" t="e">
        <f>H82+H89+#REF!</f>
        <v>#REF!</v>
      </c>
      <c r="I81" s="373" t="e">
        <f>I82+I89+#REF!</f>
        <v>#REF!</v>
      </c>
      <c r="J81" s="353" t="e">
        <f>J82+J89+#REF!</f>
        <v>#REF!</v>
      </c>
      <c r="K81" s="353" t="e">
        <f>K82+K89+#REF!</f>
        <v>#REF!</v>
      </c>
      <c r="L81" s="161">
        <f>L82+L152</f>
        <v>174478.88999999998</v>
      </c>
      <c r="M81" s="161">
        <f>M82+M152</f>
        <v>28024.889999999985</v>
      </c>
      <c r="N81" s="161">
        <f>N82+N152</f>
        <v>202503.78000000003</v>
      </c>
      <c r="O81" s="161">
        <f>O82+O152</f>
        <v>206945.15</v>
      </c>
      <c r="P81" s="207"/>
      <c r="R81" s="207"/>
    </row>
    <row r="82" spans="1:15" ht="15">
      <c r="A82" s="167" t="s">
        <v>478</v>
      </c>
      <c r="B82" s="168" t="s">
        <v>539</v>
      </c>
      <c r="C82" s="168" t="s">
        <v>390</v>
      </c>
      <c r="D82" s="168"/>
      <c r="E82" s="168"/>
      <c r="F82" s="168"/>
      <c r="G82" s="374">
        <f>G83</f>
        <v>-853.633</v>
      </c>
      <c r="H82" s="374">
        <f>H83</f>
        <v>1002.7</v>
      </c>
      <c r="I82" s="374">
        <f>I83</f>
        <v>0</v>
      </c>
      <c r="J82" s="355">
        <f>J83</f>
        <v>0</v>
      </c>
      <c r="K82" s="355" t="e">
        <f>K83</f>
        <v>#REF!</v>
      </c>
      <c r="L82" s="161">
        <f>L88+L116+L121+L131</f>
        <v>156066.18999999997</v>
      </c>
      <c r="M82" s="161">
        <f>M88+M116+M121+M131</f>
        <v>28839.489999999987</v>
      </c>
      <c r="N82" s="161">
        <f>N88+N116+N121+N131</f>
        <v>184905.68000000002</v>
      </c>
      <c r="O82" s="161">
        <f>O88+O116+O121+O131</f>
        <v>189347.05</v>
      </c>
    </row>
    <row r="83" spans="1:15" ht="15" hidden="1">
      <c r="A83" s="167" t="s">
        <v>419</v>
      </c>
      <c r="B83" s="168" t="s">
        <v>539</v>
      </c>
      <c r="C83" s="168" t="s">
        <v>390</v>
      </c>
      <c r="D83" s="168" t="s">
        <v>382</v>
      </c>
      <c r="E83" s="168"/>
      <c r="F83" s="168"/>
      <c r="G83" s="366">
        <f>G86+G84</f>
        <v>-853.633</v>
      </c>
      <c r="H83" s="366">
        <f>H86+H84</f>
        <v>1002.7</v>
      </c>
      <c r="I83" s="366">
        <f>I86+I84</f>
        <v>0</v>
      </c>
      <c r="J83" s="170">
        <f>J86+J84</f>
        <v>0</v>
      </c>
      <c r="K83" s="170" t="e">
        <f>K86+K84</f>
        <v>#REF!</v>
      </c>
      <c r="L83" s="161">
        <v>0</v>
      </c>
      <c r="M83" s="161">
        <f aca="true" t="shared" si="17" ref="M83:O84">M84</f>
        <v>0</v>
      </c>
      <c r="N83" s="161">
        <f t="shared" si="17"/>
        <v>0</v>
      </c>
      <c r="O83" s="161">
        <f t="shared" si="17"/>
        <v>0</v>
      </c>
    </row>
    <row r="84" spans="1:15" ht="15" hidden="1">
      <c r="A84" s="173" t="s">
        <v>546</v>
      </c>
      <c r="B84" s="159" t="s">
        <v>539</v>
      </c>
      <c r="C84" s="159" t="s">
        <v>390</v>
      </c>
      <c r="D84" s="159" t="s">
        <v>382</v>
      </c>
      <c r="E84" s="159" t="s">
        <v>547</v>
      </c>
      <c r="F84" s="159"/>
      <c r="G84" s="366">
        <f>G85</f>
        <v>120.46699999999998</v>
      </c>
      <c r="H84" s="366">
        <f>H85</f>
        <v>0</v>
      </c>
      <c r="I84" s="366">
        <f>I85</f>
        <v>0</v>
      </c>
      <c r="J84" s="170">
        <f>J85</f>
        <v>0</v>
      </c>
      <c r="K84" s="170" t="e">
        <f>K85</f>
        <v>#REF!</v>
      </c>
      <c r="L84" s="170">
        <v>0</v>
      </c>
      <c r="M84" s="170">
        <f t="shared" si="17"/>
        <v>0</v>
      </c>
      <c r="N84" s="170">
        <f t="shared" si="17"/>
        <v>0</v>
      </c>
      <c r="O84" s="170">
        <f t="shared" si="17"/>
        <v>0</v>
      </c>
    </row>
    <row r="85" spans="1:15" ht="26.25" hidden="1">
      <c r="A85" s="173" t="s">
        <v>497</v>
      </c>
      <c r="B85" s="159" t="s">
        <v>539</v>
      </c>
      <c r="C85" s="159" t="s">
        <v>390</v>
      </c>
      <c r="D85" s="159" t="s">
        <v>382</v>
      </c>
      <c r="E85" s="159" t="s">
        <v>548</v>
      </c>
      <c r="F85" s="159"/>
      <c r="G85" s="170">
        <f>455-334.533</f>
        <v>120.46699999999998</v>
      </c>
      <c r="H85" s="366"/>
      <c r="I85" s="170"/>
      <c r="J85" s="170"/>
      <c r="K85" s="170" t="e">
        <f>#REF!+J85</f>
        <v>#REF!</v>
      </c>
      <c r="L85" s="170">
        <v>0</v>
      </c>
      <c r="M85" s="170">
        <f>M86+M87</f>
        <v>0</v>
      </c>
      <c r="N85" s="170">
        <f>N86+N87</f>
        <v>0</v>
      </c>
      <c r="O85" s="170">
        <f>O86+O87</f>
        <v>0</v>
      </c>
    </row>
    <row r="86" spans="1:15" ht="26.25" hidden="1">
      <c r="A86" s="173" t="s">
        <v>549</v>
      </c>
      <c r="B86" s="159" t="s">
        <v>539</v>
      </c>
      <c r="C86" s="159" t="s">
        <v>390</v>
      </c>
      <c r="D86" s="159" t="s">
        <v>382</v>
      </c>
      <c r="E86" s="159" t="s">
        <v>548</v>
      </c>
      <c r="F86" s="159" t="s">
        <v>494</v>
      </c>
      <c r="G86" s="360">
        <f aca="true" t="shared" si="18" ref="G86:K87">G87</f>
        <v>-974.1</v>
      </c>
      <c r="H86" s="360">
        <f t="shared" si="18"/>
        <v>1002.7</v>
      </c>
      <c r="I86" s="360">
        <f t="shared" si="18"/>
        <v>0</v>
      </c>
      <c r="J86" s="170">
        <f t="shared" si="18"/>
        <v>0</v>
      </c>
      <c r="K86" s="170" t="e">
        <f t="shared" si="18"/>
        <v>#REF!</v>
      </c>
      <c r="L86" s="170">
        <v>0</v>
      </c>
      <c r="M86" s="170"/>
      <c r="N86" s="170">
        <f>L86+M86</f>
        <v>0</v>
      </c>
      <c r="O86" s="170"/>
    </row>
    <row r="87" spans="1:15" ht="51.75" hidden="1">
      <c r="A87" s="173" t="s">
        <v>499</v>
      </c>
      <c r="B87" s="159" t="s">
        <v>539</v>
      </c>
      <c r="C87" s="159" t="s">
        <v>390</v>
      </c>
      <c r="D87" s="159" t="s">
        <v>382</v>
      </c>
      <c r="E87" s="159" t="s">
        <v>550</v>
      </c>
      <c r="F87" s="159" t="s">
        <v>494</v>
      </c>
      <c r="G87" s="360">
        <f t="shared" si="18"/>
        <v>-974.1</v>
      </c>
      <c r="H87" s="360">
        <f t="shared" si="18"/>
        <v>1002.7</v>
      </c>
      <c r="I87" s="360">
        <f t="shared" si="18"/>
        <v>0</v>
      </c>
      <c r="J87" s="170">
        <f t="shared" si="18"/>
        <v>0</v>
      </c>
      <c r="K87" s="170" t="e">
        <f t="shared" si="18"/>
        <v>#REF!</v>
      </c>
      <c r="L87" s="170">
        <v>0</v>
      </c>
      <c r="M87" s="170"/>
      <c r="N87" s="170">
        <f>L87+M87</f>
        <v>0</v>
      </c>
      <c r="O87" s="170"/>
    </row>
    <row r="88" spans="1:15" ht="15">
      <c r="A88" s="167" t="s">
        <v>420</v>
      </c>
      <c r="B88" s="168" t="s">
        <v>539</v>
      </c>
      <c r="C88" s="168" t="s">
        <v>390</v>
      </c>
      <c r="D88" s="168" t="s">
        <v>383</v>
      </c>
      <c r="E88" s="168"/>
      <c r="F88" s="168"/>
      <c r="G88" s="360">
        <f>-519.1-455</f>
        <v>-974.1</v>
      </c>
      <c r="H88" s="357">
        <v>1002.7</v>
      </c>
      <c r="I88" s="360"/>
      <c r="J88" s="170"/>
      <c r="K88" s="170" t="e">
        <f>#REF!+J88</f>
        <v>#REF!</v>
      </c>
      <c r="L88" s="161">
        <f>L89+L107+L111</f>
        <v>149579.06999999998</v>
      </c>
      <c r="M88" s="161">
        <f>M89+M107+M114</f>
        <v>29331.99999999999</v>
      </c>
      <c r="N88" s="161">
        <f>N89+N107+N114</f>
        <v>178911.07</v>
      </c>
      <c r="O88" s="161">
        <f>O89+O107+O114</f>
        <v>183459.02</v>
      </c>
    </row>
    <row r="89" spans="1:15" ht="26.25">
      <c r="A89" s="173" t="s">
        <v>551</v>
      </c>
      <c r="B89" s="159" t="s">
        <v>539</v>
      </c>
      <c r="C89" s="159" t="s">
        <v>390</v>
      </c>
      <c r="D89" s="159" t="s">
        <v>383</v>
      </c>
      <c r="E89" s="159" t="s">
        <v>552</v>
      </c>
      <c r="F89" s="159"/>
      <c r="G89" s="359" t="e">
        <f>G90+G95+G133+G140+G147</f>
        <v>#REF!</v>
      </c>
      <c r="H89" s="374" t="e">
        <f>H90+H95+H133+H140+H147</f>
        <v>#REF!</v>
      </c>
      <c r="I89" s="374" t="e">
        <f>I90+I95+I133+I140+I147</f>
        <v>#REF!</v>
      </c>
      <c r="J89" s="355" t="e">
        <f>J90+J95+J133+J140+J147</f>
        <v>#REF!</v>
      </c>
      <c r="K89" s="355" t="e">
        <f>K90+K95+K133+K140+K147</f>
        <v>#REF!</v>
      </c>
      <c r="L89" s="170">
        <f>L90+L92+L95+L98+L100+L102+L103+L104</f>
        <v>141761.75999999998</v>
      </c>
      <c r="M89" s="170">
        <f>M90+M92+M95+M98+M100+M102+M103+M104</f>
        <v>28898.29999999999</v>
      </c>
      <c r="N89" s="170">
        <f>N90+N92+N95+N98+N100+N102+N103+N104</f>
        <v>170660.06</v>
      </c>
      <c r="O89" s="170">
        <f>O90+O92+O95+O98+O100+O102+O103+O104</f>
        <v>176208.00999999998</v>
      </c>
    </row>
    <row r="90" spans="1:15" ht="102">
      <c r="A90" s="440" t="s">
        <v>971</v>
      </c>
      <c r="B90" s="441" t="s">
        <v>539</v>
      </c>
      <c r="C90" s="441" t="s">
        <v>390</v>
      </c>
      <c r="D90" s="441" t="s">
        <v>383</v>
      </c>
      <c r="E90" s="441" t="s">
        <v>972</v>
      </c>
      <c r="F90" s="159"/>
      <c r="G90" s="348">
        <f aca="true" t="shared" si="19" ref="G90:K91">G91</f>
        <v>-926.36</v>
      </c>
      <c r="H90" s="348">
        <f t="shared" si="19"/>
        <v>3734</v>
      </c>
      <c r="I90" s="348">
        <f t="shared" si="19"/>
        <v>0</v>
      </c>
      <c r="J90" s="161">
        <f t="shared" si="19"/>
        <v>805.6</v>
      </c>
      <c r="K90" s="161" t="e">
        <f t="shared" si="19"/>
        <v>#REF!</v>
      </c>
      <c r="L90" s="170">
        <f>L91</f>
        <v>0</v>
      </c>
      <c r="M90" s="170">
        <f>M91</f>
        <v>136352</v>
      </c>
      <c r="N90" s="170">
        <f>N91</f>
        <v>136352</v>
      </c>
      <c r="O90" s="170">
        <f>O91</f>
        <v>138428.4</v>
      </c>
    </row>
    <row r="91" spans="1:15" ht="54" customHeight="1">
      <c r="A91" s="219" t="s">
        <v>554</v>
      </c>
      <c r="B91" s="159" t="s">
        <v>539</v>
      </c>
      <c r="C91" s="159" t="s">
        <v>390</v>
      </c>
      <c r="D91" s="159" t="s">
        <v>383</v>
      </c>
      <c r="E91" s="159" t="s">
        <v>559</v>
      </c>
      <c r="F91" s="159" t="s">
        <v>555</v>
      </c>
      <c r="G91" s="360">
        <f t="shared" si="19"/>
        <v>-926.36</v>
      </c>
      <c r="H91" s="360">
        <f t="shared" si="19"/>
        <v>3734</v>
      </c>
      <c r="I91" s="360">
        <f t="shared" si="19"/>
        <v>0</v>
      </c>
      <c r="J91" s="170">
        <f t="shared" si="19"/>
        <v>805.6</v>
      </c>
      <c r="K91" s="170" t="e">
        <f t="shared" si="19"/>
        <v>#REF!</v>
      </c>
      <c r="L91" s="170"/>
      <c r="M91" s="170">
        <v>136352</v>
      </c>
      <c r="N91" s="170">
        <f>SUM(L91:M91)</f>
        <v>136352</v>
      </c>
      <c r="O91" s="170">
        <v>138428.4</v>
      </c>
    </row>
    <row r="92" spans="1:15" ht="26.25">
      <c r="A92" s="173" t="s">
        <v>497</v>
      </c>
      <c r="B92" s="159" t="s">
        <v>539</v>
      </c>
      <c r="C92" s="159" t="s">
        <v>390</v>
      </c>
      <c r="D92" s="159" t="s">
        <v>383</v>
      </c>
      <c r="E92" s="159" t="s">
        <v>553</v>
      </c>
      <c r="F92" s="159"/>
      <c r="G92" s="360">
        <f aca="true" t="shared" si="20" ref="G92:O92">G93+G94</f>
        <v>-926.36</v>
      </c>
      <c r="H92" s="360">
        <f t="shared" si="20"/>
        <v>3734</v>
      </c>
      <c r="I92" s="360">
        <f t="shared" si="20"/>
        <v>0</v>
      </c>
      <c r="J92" s="170">
        <f t="shared" si="20"/>
        <v>805.6</v>
      </c>
      <c r="K92" s="170" t="e">
        <f t="shared" si="20"/>
        <v>#REF!</v>
      </c>
      <c r="L92" s="170">
        <f t="shared" si="20"/>
        <v>30536.26</v>
      </c>
      <c r="M92" s="170">
        <f t="shared" si="20"/>
        <v>0</v>
      </c>
      <c r="N92" s="170">
        <f t="shared" si="20"/>
        <v>30536.26</v>
      </c>
      <c r="O92" s="170">
        <f t="shared" si="20"/>
        <v>34007.81</v>
      </c>
    </row>
    <row r="93" spans="1:16" ht="26.25">
      <c r="A93" s="173" t="s">
        <v>549</v>
      </c>
      <c r="B93" s="159" t="s">
        <v>539</v>
      </c>
      <c r="C93" s="159" t="s">
        <v>390</v>
      </c>
      <c r="D93" s="159" t="s">
        <v>383</v>
      </c>
      <c r="E93" s="159" t="s">
        <v>553</v>
      </c>
      <c r="F93" s="159" t="s">
        <v>494</v>
      </c>
      <c r="G93" s="360">
        <f>-36.76+103.4</f>
        <v>66.64000000000001</v>
      </c>
      <c r="H93" s="357">
        <v>2606</v>
      </c>
      <c r="I93" s="360"/>
      <c r="J93" s="170">
        <f>-44.4+915</f>
        <v>870.6</v>
      </c>
      <c r="K93" s="170" t="e">
        <f>#REF!+J93</f>
        <v>#REF!</v>
      </c>
      <c r="L93" s="170">
        <v>30536.26</v>
      </c>
      <c r="M93" s="170">
        <v>-30536.26</v>
      </c>
      <c r="N93" s="170">
        <f>L93+M93</f>
        <v>0</v>
      </c>
      <c r="O93" s="170"/>
      <c r="P93" s="210"/>
    </row>
    <row r="94" spans="1:15" ht="51" customHeight="1">
      <c r="A94" s="213" t="s">
        <v>554</v>
      </c>
      <c r="B94" s="159" t="s">
        <v>539</v>
      </c>
      <c r="C94" s="159" t="s">
        <v>390</v>
      </c>
      <c r="D94" s="159" t="s">
        <v>383</v>
      </c>
      <c r="E94" s="159" t="s">
        <v>553</v>
      </c>
      <c r="F94" s="159" t="s">
        <v>555</v>
      </c>
      <c r="G94" s="360">
        <f>-112.8-880.2</f>
        <v>-993</v>
      </c>
      <c r="H94" s="357">
        <v>1128</v>
      </c>
      <c r="I94" s="360"/>
      <c r="J94" s="170">
        <v>-65</v>
      </c>
      <c r="K94" s="170" t="e">
        <f>#REF!+J94</f>
        <v>#REF!</v>
      </c>
      <c r="L94" s="170"/>
      <c r="M94" s="170">
        <v>30536.26</v>
      </c>
      <c r="N94" s="170">
        <f>SUM(L94:M94)</f>
        <v>30536.26</v>
      </c>
      <c r="O94" s="170">
        <v>34007.81</v>
      </c>
    </row>
    <row r="95" spans="1:15" ht="51.75">
      <c r="A95" s="173" t="s">
        <v>499</v>
      </c>
      <c r="B95" s="159" t="s">
        <v>539</v>
      </c>
      <c r="C95" s="159" t="s">
        <v>390</v>
      </c>
      <c r="D95" s="159" t="s">
        <v>383</v>
      </c>
      <c r="E95" s="159" t="s">
        <v>556</v>
      </c>
      <c r="F95" s="159"/>
      <c r="G95" s="364">
        <f>G98+G117+G121+G126+G128+G96</f>
        <v>5433.36</v>
      </c>
      <c r="H95" s="364">
        <f>H98+H117+H121+H126+H128+H96</f>
        <v>135780.43999999997</v>
      </c>
      <c r="I95" s="364">
        <f>I98+I117+I121+I126+I128+I96</f>
        <v>0</v>
      </c>
      <c r="J95" s="161">
        <f>J98+J117+J121+J126+J128+J96</f>
        <v>1721.3940000000002</v>
      </c>
      <c r="K95" s="161" t="e">
        <f>K98+K117+K121+K126+K128+K96</f>
        <v>#REF!</v>
      </c>
      <c r="L95" s="170">
        <f>L96+L97</f>
        <v>3609</v>
      </c>
      <c r="M95" s="170">
        <f>M96+M97</f>
        <v>162.80000000000018</v>
      </c>
      <c r="N95" s="170">
        <f>N96+N97</f>
        <v>3771.8</v>
      </c>
      <c r="O95" s="170">
        <f>O96+O97</f>
        <v>3771.8</v>
      </c>
    </row>
    <row r="96" spans="1:15" ht="26.25">
      <c r="A96" s="173" t="s">
        <v>504</v>
      </c>
      <c r="B96" s="159" t="s">
        <v>539</v>
      </c>
      <c r="C96" s="159" t="s">
        <v>390</v>
      </c>
      <c r="D96" s="159" t="s">
        <v>383</v>
      </c>
      <c r="E96" s="159" t="s">
        <v>556</v>
      </c>
      <c r="F96" s="159" t="s">
        <v>494</v>
      </c>
      <c r="G96" s="348">
        <f>G97</f>
        <v>4600</v>
      </c>
      <c r="H96" s="348">
        <f>H97</f>
        <v>0</v>
      </c>
      <c r="I96" s="348">
        <f>I97</f>
        <v>0</v>
      </c>
      <c r="J96" s="161">
        <f>J97</f>
        <v>0</v>
      </c>
      <c r="K96" s="161" t="e">
        <f>K97</f>
        <v>#REF!</v>
      </c>
      <c r="L96" s="170">
        <v>3609</v>
      </c>
      <c r="M96" s="170">
        <v>-3609</v>
      </c>
      <c r="N96" s="170">
        <f>L96+M96</f>
        <v>0</v>
      </c>
      <c r="O96" s="170"/>
    </row>
    <row r="97" spans="1:15" ht="55.5" customHeight="1">
      <c r="A97" s="213" t="s">
        <v>554</v>
      </c>
      <c r="B97" s="159" t="s">
        <v>539</v>
      </c>
      <c r="C97" s="159" t="s">
        <v>390</v>
      </c>
      <c r="D97" s="159" t="s">
        <v>383</v>
      </c>
      <c r="E97" s="159" t="s">
        <v>556</v>
      </c>
      <c r="F97" s="159" t="s">
        <v>555</v>
      </c>
      <c r="G97" s="348">
        <v>4600</v>
      </c>
      <c r="H97" s="357"/>
      <c r="I97" s="348"/>
      <c r="J97" s="161"/>
      <c r="K97" s="170" t="e">
        <f>#REF!+J97</f>
        <v>#REF!</v>
      </c>
      <c r="L97" s="170"/>
      <c r="M97" s="170">
        <f>3962-190.2</f>
        <v>3771.8</v>
      </c>
      <c r="N97" s="170">
        <f>SUM(L97:M97)</f>
        <v>3771.8</v>
      </c>
      <c r="O97" s="170">
        <f>3962-190.2</f>
        <v>3771.8</v>
      </c>
    </row>
    <row r="98" spans="1:15" ht="25.5" hidden="1">
      <c r="A98" s="213" t="s">
        <v>975</v>
      </c>
      <c r="B98" s="159" t="s">
        <v>539</v>
      </c>
      <c r="C98" s="159" t="s">
        <v>390</v>
      </c>
      <c r="D98" s="159" t="s">
        <v>383</v>
      </c>
      <c r="E98" s="159" t="s">
        <v>562</v>
      </c>
      <c r="F98" s="159"/>
      <c r="G98" s="366">
        <f>G99</f>
        <v>867.76</v>
      </c>
      <c r="H98" s="366">
        <f>H99</f>
        <v>122607.1</v>
      </c>
      <c r="I98" s="366">
        <f>I99</f>
        <v>0</v>
      </c>
      <c r="J98" s="170">
        <f>J99+J102+J103+J104+J105+J106+J108+J109+J110+J115+J116</f>
        <v>1706.3940000000002</v>
      </c>
      <c r="K98" s="170" t="e">
        <f>K99+K102+K103+K104+K105+K106+K108+K109+K110+K115+K116</f>
        <v>#REF!</v>
      </c>
      <c r="L98" s="170">
        <f>L99</f>
        <v>0</v>
      </c>
      <c r="M98" s="170">
        <f>M99</f>
        <v>0</v>
      </c>
      <c r="N98" s="170">
        <f>N99</f>
        <v>0</v>
      </c>
      <c r="O98" s="170">
        <f>O99</f>
        <v>0</v>
      </c>
    </row>
    <row r="99" spans="1:15" ht="25.5" hidden="1">
      <c r="A99" s="443" t="s">
        <v>598</v>
      </c>
      <c r="B99" s="159" t="s">
        <v>539</v>
      </c>
      <c r="C99" s="159" t="s">
        <v>390</v>
      </c>
      <c r="D99" s="159" t="s">
        <v>383</v>
      </c>
      <c r="E99" s="159" t="s">
        <v>562</v>
      </c>
      <c r="F99" s="159" t="s">
        <v>563</v>
      </c>
      <c r="G99" s="360">
        <f>G100+G102</f>
        <v>867.76</v>
      </c>
      <c r="H99" s="360">
        <f>H100+H102</f>
        <v>122607.1</v>
      </c>
      <c r="I99" s="360">
        <f>I100+I102</f>
        <v>0</v>
      </c>
      <c r="J99" s="170">
        <f>J100+J101</f>
        <v>2311.3940000000002</v>
      </c>
      <c r="K99" s="170" t="e">
        <f>K100+K101</f>
        <v>#REF!</v>
      </c>
      <c r="L99" s="170">
        <v>0</v>
      </c>
      <c r="M99" s="170"/>
      <c r="N99" s="170">
        <f>L99+M99</f>
        <v>0</v>
      </c>
      <c r="O99" s="170"/>
    </row>
    <row r="100" spans="1:16" ht="39" hidden="1">
      <c r="A100" s="173" t="s">
        <v>974</v>
      </c>
      <c r="B100" s="159" t="s">
        <v>539</v>
      </c>
      <c r="C100" s="159" t="s">
        <v>390</v>
      </c>
      <c r="D100" s="159" t="s">
        <v>383</v>
      </c>
      <c r="E100" s="159" t="s">
        <v>564</v>
      </c>
      <c r="F100" s="159"/>
      <c r="G100" s="360">
        <f>36.76+38-200</f>
        <v>-125.24000000000001</v>
      </c>
      <c r="H100" s="357">
        <v>121495.1</v>
      </c>
      <c r="I100" s="360"/>
      <c r="J100" s="361">
        <f>102.98+1108+1100.414</f>
        <v>2311.3940000000002</v>
      </c>
      <c r="K100" s="170" t="e">
        <f>#REF!+J100</f>
        <v>#REF!</v>
      </c>
      <c r="L100" s="170">
        <f>L101</f>
        <v>0</v>
      </c>
      <c r="M100" s="170">
        <f>M101</f>
        <v>0</v>
      </c>
      <c r="N100" s="170">
        <f>N101</f>
        <v>0</v>
      </c>
      <c r="O100" s="170">
        <f>O101</f>
        <v>0</v>
      </c>
      <c r="P100" s="207" t="e">
        <f>#REF!-L100</f>
        <v>#REF!</v>
      </c>
    </row>
    <row r="101" spans="1:16" ht="25.5" hidden="1">
      <c r="A101" s="443" t="s">
        <v>598</v>
      </c>
      <c r="B101" s="159" t="s">
        <v>539</v>
      </c>
      <c r="C101" s="159" t="s">
        <v>390</v>
      </c>
      <c r="D101" s="159" t="s">
        <v>383</v>
      </c>
      <c r="E101" s="159" t="s">
        <v>564</v>
      </c>
      <c r="F101" s="159" t="s">
        <v>563</v>
      </c>
      <c r="G101" s="360"/>
      <c r="H101" s="357"/>
      <c r="I101" s="360"/>
      <c r="J101" s="361"/>
      <c r="K101" s="170"/>
      <c r="L101" s="170">
        <v>0</v>
      </c>
      <c r="M101" s="170"/>
      <c r="N101" s="170">
        <f>L101+M101</f>
        <v>0</v>
      </c>
      <c r="O101" s="170"/>
      <c r="P101" s="207"/>
    </row>
    <row r="102" spans="1:16" ht="76.5">
      <c r="A102" s="214" t="s">
        <v>557</v>
      </c>
      <c r="B102" s="159" t="s">
        <v>539</v>
      </c>
      <c r="C102" s="159" t="s">
        <v>390</v>
      </c>
      <c r="D102" s="159" t="s">
        <v>383</v>
      </c>
      <c r="E102" s="159" t="s">
        <v>558</v>
      </c>
      <c r="F102" s="159" t="s">
        <v>494</v>
      </c>
      <c r="G102" s="360">
        <f>112.8+880.2</f>
        <v>993</v>
      </c>
      <c r="H102" s="357">
        <v>1112</v>
      </c>
      <c r="I102" s="360"/>
      <c r="J102" s="170">
        <f>-605</f>
        <v>-605</v>
      </c>
      <c r="K102" s="170" t="e">
        <f>#REF!+J102</f>
        <v>#REF!</v>
      </c>
      <c r="L102" s="170">
        <v>105221.7</v>
      </c>
      <c r="M102" s="170">
        <v>-105221.7</v>
      </c>
      <c r="N102" s="170">
        <f>L102+M102</f>
        <v>0</v>
      </c>
      <c r="O102" s="170"/>
      <c r="P102" s="184" t="e">
        <f>#REF!-L102</f>
        <v>#REF!</v>
      </c>
    </row>
    <row r="103" spans="1:16" ht="51.75">
      <c r="A103" s="173" t="s">
        <v>560</v>
      </c>
      <c r="B103" s="159" t="s">
        <v>539</v>
      </c>
      <c r="C103" s="159" t="s">
        <v>390</v>
      </c>
      <c r="D103" s="159" t="s">
        <v>383</v>
      </c>
      <c r="E103" s="159" t="s">
        <v>561</v>
      </c>
      <c r="F103" s="159" t="s">
        <v>494</v>
      </c>
      <c r="G103" s="360"/>
      <c r="H103" s="357"/>
      <c r="I103" s="360"/>
      <c r="J103" s="170"/>
      <c r="K103" s="170"/>
      <c r="L103" s="170">
        <v>487.9</v>
      </c>
      <c r="M103" s="170">
        <v>-487.9</v>
      </c>
      <c r="N103" s="170">
        <f>L103+M103</f>
        <v>0</v>
      </c>
      <c r="O103" s="170"/>
      <c r="P103" s="184"/>
    </row>
    <row r="104" spans="1:16" ht="51.75">
      <c r="A104" s="173" t="s">
        <v>565</v>
      </c>
      <c r="B104" s="159" t="s">
        <v>539</v>
      </c>
      <c r="C104" s="159" t="s">
        <v>390</v>
      </c>
      <c r="D104" s="159" t="s">
        <v>383</v>
      </c>
      <c r="E104" s="159" t="s">
        <v>566</v>
      </c>
      <c r="F104" s="159"/>
      <c r="G104" s="360"/>
      <c r="H104" s="357"/>
      <c r="I104" s="360"/>
      <c r="J104" s="170"/>
      <c r="K104" s="170"/>
      <c r="L104" s="170">
        <f>L105+L106</f>
        <v>1906.9</v>
      </c>
      <c r="M104" s="170">
        <f>M105+M106</f>
        <v>-1906.9</v>
      </c>
      <c r="N104" s="170">
        <f>N105+N106</f>
        <v>0</v>
      </c>
      <c r="O104" s="170">
        <f>O105+O106</f>
        <v>0</v>
      </c>
      <c r="P104" s="150">
        <v>91019</v>
      </c>
    </row>
    <row r="105" spans="1:15" ht="51.75">
      <c r="A105" s="173" t="s">
        <v>565</v>
      </c>
      <c r="B105" s="159" t="s">
        <v>539</v>
      </c>
      <c r="C105" s="159" t="s">
        <v>390</v>
      </c>
      <c r="D105" s="159" t="s">
        <v>383</v>
      </c>
      <c r="E105" s="159" t="s">
        <v>566</v>
      </c>
      <c r="F105" s="159" t="s">
        <v>494</v>
      </c>
      <c r="G105" s="360"/>
      <c r="H105" s="357"/>
      <c r="I105" s="360"/>
      <c r="J105" s="170"/>
      <c r="K105" s="170"/>
      <c r="L105" s="170">
        <v>1906.9</v>
      </c>
      <c r="M105" s="170">
        <v>-1906.9</v>
      </c>
      <c r="N105" s="170">
        <f>L105+M105</f>
        <v>0</v>
      </c>
      <c r="O105" s="170"/>
    </row>
    <row r="106" spans="1:16" ht="63.75" hidden="1">
      <c r="A106" s="213" t="s">
        <v>554</v>
      </c>
      <c r="B106" s="159" t="s">
        <v>539</v>
      </c>
      <c r="C106" s="159" t="s">
        <v>390</v>
      </c>
      <c r="D106" s="159" t="s">
        <v>383</v>
      </c>
      <c r="E106" s="159" t="s">
        <v>566</v>
      </c>
      <c r="F106" s="159" t="s">
        <v>555</v>
      </c>
      <c r="G106" s="360"/>
      <c r="H106" s="357"/>
      <c r="I106" s="360"/>
      <c r="J106" s="170"/>
      <c r="K106" s="170"/>
      <c r="L106" s="170"/>
      <c r="M106" s="170"/>
      <c r="N106" s="170">
        <f>SUM(L106:M106)</f>
        <v>0</v>
      </c>
      <c r="O106" s="170"/>
      <c r="P106" s="215"/>
    </row>
    <row r="107" spans="1:15" ht="26.25">
      <c r="A107" s="173" t="s">
        <v>567</v>
      </c>
      <c r="B107" s="159" t="s">
        <v>539</v>
      </c>
      <c r="C107" s="159" t="s">
        <v>390</v>
      </c>
      <c r="D107" s="159" t="s">
        <v>383</v>
      </c>
      <c r="E107" s="159" t="s">
        <v>568</v>
      </c>
      <c r="F107" s="159"/>
      <c r="G107" s="360"/>
      <c r="H107" s="357"/>
      <c r="I107" s="360"/>
      <c r="J107" s="170"/>
      <c r="K107" s="170"/>
      <c r="L107" s="170">
        <f>L108</f>
        <v>7817.31</v>
      </c>
      <c r="M107" s="170">
        <f>M108</f>
        <v>0</v>
      </c>
      <c r="N107" s="170">
        <f>N108</f>
        <v>7817.31</v>
      </c>
      <c r="O107" s="170">
        <f>O108</f>
        <v>6817.31</v>
      </c>
    </row>
    <row r="108" spans="1:15" ht="26.25">
      <c r="A108" s="173" t="s">
        <v>497</v>
      </c>
      <c r="B108" s="159" t="s">
        <v>539</v>
      </c>
      <c r="C108" s="159" t="s">
        <v>390</v>
      </c>
      <c r="D108" s="159" t="s">
        <v>383</v>
      </c>
      <c r="E108" s="159" t="s">
        <v>569</v>
      </c>
      <c r="F108" s="159"/>
      <c r="G108" s="360"/>
      <c r="H108" s="357"/>
      <c r="I108" s="360"/>
      <c r="J108" s="170"/>
      <c r="K108" s="170"/>
      <c r="L108" s="170">
        <f>L109+L110</f>
        <v>7817.31</v>
      </c>
      <c r="M108" s="170">
        <f>M109+M110</f>
        <v>0</v>
      </c>
      <c r="N108" s="170">
        <f>N109+N110</f>
        <v>7817.31</v>
      </c>
      <c r="O108" s="170">
        <f>O109+O110</f>
        <v>6817.31</v>
      </c>
    </row>
    <row r="109" spans="1:15" ht="26.25">
      <c r="A109" s="173" t="s">
        <v>549</v>
      </c>
      <c r="B109" s="159" t="s">
        <v>539</v>
      </c>
      <c r="C109" s="159" t="s">
        <v>390</v>
      </c>
      <c r="D109" s="159" t="s">
        <v>383</v>
      </c>
      <c r="E109" s="159" t="s">
        <v>569</v>
      </c>
      <c r="F109" s="159" t="s">
        <v>494</v>
      </c>
      <c r="G109" s="360"/>
      <c r="H109" s="357"/>
      <c r="I109" s="360"/>
      <c r="J109" s="170"/>
      <c r="K109" s="170"/>
      <c r="L109" s="170">
        <v>7817.31</v>
      </c>
      <c r="M109" s="536">
        <v>-7817.31</v>
      </c>
      <c r="N109" s="170">
        <f>L109+M109</f>
        <v>0</v>
      </c>
      <c r="O109" s="536"/>
    </row>
    <row r="110" spans="1:15" ht="48.75" customHeight="1">
      <c r="A110" s="213" t="s">
        <v>554</v>
      </c>
      <c r="B110" s="159" t="s">
        <v>539</v>
      </c>
      <c r="C110" s="159" t="s">
        <v>390</v>
      </c>
      <c r="D110" s="159" t="s">
        <v>383</v>
      </c>
      <c r="E110" s="159" t="s">
        <v>569</v>
      </c>
      <c r="F110" s="159" t="s">
        <v>555</v>
      </c>
      <c r="G110" s="360"/>
      <c r="H110" s="357"/>
      <c r="I110" s="360"/>
      <c r="J110" s="170"/>
      <c r="K110" s="170"/>
      <c r="L110" s="170"/>
      <c r="M110" s="170">
        <v>7817.31</v>
      </c>
      <c r="N110" s="170">
        <f>SUM(L110:M110)</f>
        <v>7817.31</v>
      </c>
      <c r="O110" s="170">
        <v>6817.31</v>
      </c>
    </row>
    <row r="111" spans="1:15" ht="15">
      <c r="A111" s="213" t="s">
        <v>982</v>
      </c>
      <c r="B111" s="159" t="s">
        <v>539</v>
      </c>
      <c r="C111" s="159" t="s">
        <v>390</v>
      </c>
      <c r="D111" s="159" t="s">
        <v>383</v>
      </c>
      <c r="E111" s="159" t="s">
        <v>844</v>
      </c>
      <c r="F111" s="159"/>
      <c r="G111" s="360"/>
      <c r="H111" s="357"/>
      <c r="I111" s="360"/>
      <c r="J111" s="170"/>
      <c r="K111" s="170"/>
      <c r="L111" s="170">
        <f>L112+L114</f>
        <v>0</v>
      </c>
      <c r="M111" s="170">
        <f>M112+M114</f>
        <v>2101.1</v>
      </c>
      <c r="N111" s="170">
        <f>N112+N114</f>
        <v>2101.1</v>
      </c>
      <c r="O111" s="170">
        <f>O112+O114</f>
        <v>2101.1</v>
      </c>
    </row>
    <row r="112" spans="1:15" ht="38.25">
      <c r="A112" s="213" t="s">
        <v>983</v>
      </c>
      <c r="B112" s="159" t="s">
        <v>539</v>
      </c>
      <c r="C112" s="159" t="s">
        <v>390</v>
      </c>
      <c r="D112" s="159" t="s">
        <v>383</v>
      </c>
      <c r="E112" s="159" t="s">
        <v>984</v>
      </c>
      <c r="F112" s="159"/>
      <c r="G112" s="360"/>
      <c r="H112" s="357"/>
      <c r="I112" s="360"/>
      <c r="J112" s="170"/>
      <c r="K112" s="170"/>
      <c r="L112" s="170">
        <f>L113</f>
        <v>0</v>
      </c>
      <c r="M112" s="170">
        <f>M113</f>
        <v>1667.4</v>
      </c>
      <c r="N112" s="170">
        <f>N113</f>
        <v>1667.4</v>
      </c>
      <c r="O112" s="170">
        <f>O113</f>
        <v>1667.4</v>
      </c>
    </row>
    <row r="113" spans="1:15" ht="63.75">
      <c r="A113" s="213" t="s">
        <v>554</v>
      </c>
      <c r="B113" s="159" t="s">
        <v>539</v>
      </c>
      <c r="C113" s="159" t="s">
        <v>390</v>
      </c>
      <c r="D113" s="159" t="s">
        <v>383</v>
      </c>
      <c r="E113" s="159" t="s">
        <v>984</v>
      </c>
      <c r="F113" s="159" t="s">
        <v>555</v>
      </c>
      <c r="G113" s="360"/>
      <c r="H113" s="357"/>
      <c r="I113" s="360"/>
      <c r="J113" s="170"/>
      <c r="K113" s="170"/>
      <c r="L113" s="170"/>
      <c r="M113" s="170">
        <v>1667.4</v>
      </c>
      <c r="N113" s="170">
        <f>L113+M113</f>
        <v>1667.4</v>
      </c>
      <c r="O113" s="170">
        <v>1667.4</v>
      </c>
    </row>
    <row r="114" spans="1:18" ht="25.5">
      <c r="A114" s="213" t="s">
        <v>570</v>
      </c>
      <c r="B114" s="159" t="s">
        <v>539</v>
      </c>
      <c r="C114" s="159" t="s">
        <v>390</v>
      </c>
      <c r="D114" s="159" t="s">
        <v>383</v>
      </c>
      <c r="E114" s="159" t="s">
        <v>571</v>
      </c>
      <c r="F114" s="159"/>
      <c r="G114" s="360"/>
      <c r="H114" s="357"/>
      <c r="I114" s="360"/>
      <c r="J114" s="170"/>
      <c r="K114" s="170"/>
      <c r="L114" s="170">
        <f>L115</f>
        <v>0</v>
      </c>
      <c r="M114" s="170">
        <f>M115</f>
        <v>433.7</v>
      </c>
      <c r="N114" s="170">
        <f>N115</f>
        <v>433.7</v>
      </c>
      <c r="O114" s="170">
        <f>O115</f>
        <v>433.7</v>
      </c>
      <c r="P114" s="150">
        <v>487.9</v>
      </c>
      <c r="R114" s="184" t="e">
        <f>#REF!-P114</f>
        <v>#REF!</v>
      </c>
    </row>
    <row r="115" spans="1:18" ht="52.5" customHeight="1">
      <c r="A115" s="213" t="s">
        <v>554</v>
      </c>
      <c r="B115" s="159" t="s">
        <v>539</v>
      </c>
      <c r="C115" s="159" t="s">
        <v>390</v>
      </c>
      <c r="D115" s="159" t="s">
        <v>383</v>
      </c>
      <c r="E115" s="159" t="s">
        <v>571</v>
      </c>
      <c r="F115" s="159" t="s">
        <v>555</v>
      </c>
      <c r="G115" s="360"/>
      <c r="H115" s="357"/>
      <c r="I115" s="360"/>
      <c r="J115" s="170"/>
      <c r="K115" s="170"/>
      <c r="L115" s="170"/>
      <c r="M115" s="170">
        <v>433.7</v>
      </c>
      <c r="N115" s="170">
        <f>L115+M115</f>
        <v>433.7</v>
      </c>
      <c r="O115" s="170">
        <v>433.7</v>
      </c>
      <c r="P115" s="215">
        <v>1770.5</v>
      </c>
      <c r="R115" s="184" t="e">
        <f>#REF!-P115</f>
        <v>#REF!</v>
      </c>
    </row>
    <row r="116" spans="1:18" ht="26.25">
      <c r="A116" s="167" t="s">
        <v>572</v>
      </c>
      <c r="B116" s="168" t="s">
        <v>539</v>
      </c>
      <c r="C116" s="168" t="s">
        <v>390</v>
      </c>
      <c r="D116" s="168" t="s">
        <v>387</v>
      </c>
      <c r="E116" s="168"/>
      <c r="F116" s="168"/>
      <c r="G116" s="360"/>
      <c r="H116" s="357"/>
      <c r="I116" s="360"/>
      <c r="J116" s="170"/>
      <c r="K116" s="170"/>
      <c r="L116" s="161">
        <f aca="true" t="shared" si="21" ref="L116:O117">L117</f>
        <v>373.31</v>
      </c>
      <c r="M116" s="161">
        <f t="shared" si="21"/>
        <v>-273.31</v>
      </c>
      <c r="N116" s="161">
        <f t="shared" si="21"/>
        <v>100</v>
      </c>
      <c r="O116" s="161">
        <f t="shared" si="21"/>
        <v>0</v>
      </c>
      <c r="P116" s="215"/>
      <c r="R116" s="184"/>
    </row>
    <row r="117" spans="1:15" ht="26.25">
      <c r="A117" s="173" t="s">
        <v>480</v>
      </c>
      <c r="B117" s="159" t="s">
        <v>539</v>
      </c>
      <c r="C117" s="159" t="s">
        <v>390</v>
      </c>
      <c r="D117" s="159" t="s">
        <v>387</v>
      </c>
      <c r="E117" s="159" t="s">
        <v>481</v>
      </c>
      <c r="F117" s="159"/>
      <c r="G117" s="360">
        <f>G118</f>
        <v>165.6</v>
      </c>
      <c r="H117" s="360">
        <f>H118</f>
        <v>10207.24</v>
      </c>
      <c r="I117" s="360">
        <f>I118</f>
        <v>0</v>
      </c>
      <c r="J117" s="170">
        <f>J118</f>
        <v>15</v>
      </c>
      <c r="K117" s="170" t="e">
        <f>K118</f>
        <v>#REF!</v>
      </c>
      <c r="L117" s="170">
        <f t="shared" si="21"/>
        <v>373.31</v>
      </c>
      <c r="M117" s="170">
        <f t="shared" si="21"/>
        <v>-273.31</v>
      </c>
      <c r="N117" s="170">
        <f t="shared" si="21"/>
        <v>100</v>
      </c>
      <c r="O117" s="170">
        <f t="shared" si="21"/>
        <v>0</v>
      </c>
    </row>
    <row r="118" spans="1:15" ht="26.25">
      <c r="A118" s="173" t="s">
        <v>482</v>
      </c>
      <c r="B118" s="159" t="s">
        <v>539</v>
      </c>
      <c r="C118" s="159" t="s">
        <v>390</v>
      </c>
      <c r="D118" s="159" t="s">
        <v>387</v>
      </c>
      <c r="E118" s="159" t="s">
        <v>483</v>
      </c>
      <c r="F118" s="159"/>
      <c r="G118" s="360">
        <f aca="true" t="shared" si="22" ref="G118:O118">G119+G120</f>
        <v>165.6</v>
      </c>
      <c r="H118" s="360">
        <f t="shared" si="22"/>
        <v>10207.24</v>
      </c>
      <c r="I118" s="360">
        <f t="shared" si="22"/>
        <v>0</v>
      </c>
      <c r="J118" s="170">
        <f t="shared" si="22"/>
        <v>15</v>
      </c>
      <c r="K118" s="170" t="e">
        <f t="shared" si="22"/>
        <v>#REF!</v>
      </c>
      <c r="L118" s="170">
        <f t="shared" si="22"/>
        <v>373.31</v>
      </c>
      <c r="M118" s="170">
        <f t="shared" si="22"/>
        <v>-273.31</v>
      </c>
      <c r="N118" s="170">
        <f t="shared" si="22"/>
        <v>100</v>
      </c>
      <c r="O118" s="170">
        <f t="shared" si="22"/>
        <v>0</v>
      </c>
    </row>
    <row r="119" spans="1:16" ht="26.25">
      <c r="A119" s="173" t="s">
        <v>504</v>
      </c>
      <c r="B119" s="159" t="s">
        <v>539</v>
      </c>
      <c r="C119" s="159" t="s">
        <v>390</v>
      </c>
      <c r="D119" s="159" t="s">
        <v>387</v>
      </c>
      <c r="E119" s="159" t="s">
        <v>483</v>
      </c>
      <c r="F119" s="159" t="s">
        <v>485</v>
      </c>
      <c r="G119" s="360">
        <v>165.6</v>
      </c>
      <c r="H119" s="357">
        <v>10077.24</v>
      </c>
      <c r="I119" s="360"/>
      <c r="J119" s="170">
        <f>15</f>
        <v>15</v>
      </c>
      <c r="K119" s="170" t="e">
        <f>#REF!+J119</f>
        <v>#REF!</v>
      </c>
      <c r="L119" s="170">
        <v>373.31</v>
      </c>
      <c r="M119" s="170">
        <v>-373.31</v>
      </c>
      <c r="N119" s="170">
        <f>L119+M119</f>
        <v>0</v>
      </c>
      <c r="O119" s="170"/>
      <c r="P119" s="215" t="e">
        <f>#REF!-L119</f>
        <v>#REF!</v>
      </c>
    </row>
    <row r="120" spans="1:15" ht="53.25" customHeight="1">
      <c r="A120" s="213" t="s">
        <v>554</v>
      </c>
      <c r="B120" s="159" t="s">
        <v>539</v>
      </c>
      <c r="C120" s="159" t="s">
        <v>390</v>
      </c>
      <c r="D120" s="159" t="s">
        <v>387</v>
      </c>
      <c r="E120" s="159" t="s">
        <v>483</v>
      </c>
      <c r="F120" s="159" t="s">
        <v>555</v>
      </c>
      <c r="G120" s="360"/>
      <c r="H120" s="357">
        <v>130</v>
      </c>
      <c r="I120" s="360"/>
      <c r="J120" s="170"/>
      <c r="K120" s="170" t="e">
        <f>#REF!+J120</f>
        <v>#REF!</v>
      </c>
      <c r="L120" s="170"/>
      <c r="M120" s="170">
        <v>100</v>
      </c>
      <c r="N120" s="170">
        <f>SUM(L120:M120)</f>
        <v>100</v>
      </c>
      <c r="O120" s="170"/>
    </row>
    <row r="121" spans="1:15" ht="26.25">
      <c r="A121" s="167" t="s">
        <v>422</v>
      </c>
      <c r="B121" s="168" t="s">
        <v>539</v>
      </c>
      <c r="C121" s="168" t="s">
        <v>390</v>
      </c>
      <c r="D121" s="168" t="s">
        <v>390</v>
      </c>
      <c r="E121" s="168"/>
      <c r="F121" s="168"/>
      <c r="G121" s="360">
        <f aca="true" t="shared" si="23" ref="G121:K122">G122</f>
        <v>0</v>
      </c>
      <c r="H121" s="360">
        <f t="shared" si="23"/>
        <v>2756.5</v>
      </c>
      <c r="I121" s="360">
        <f t="shared" si="23"/>
        <v>0</v>
      </c>
      <c r="J121" s="170">
        <f>J122+J124</f>
        <v>0</v>
      </c>
      <c r="K121" s="170" t="e">
        <f>K122+K124</f>
        <v>#REF!</v>
      </c>
      <c r="L121" s="161">
        <f>L122</f>
        <v>390.2</v>
      </c>
      <c r="M121" s="161">
        <f>M122</f>
        <v>-200</v>
      </c>
      <c r="N121" s="161">
        <f>N122</f>
        <v>190.2</v>
      </c>
      <c r="O121" s="161">
        <f>O122</f>
        <v>190.2</v>
      </c>
    </row>
    <row r="122" spans="1:15" ht="39">
      <c r="A122" s="173" t="s">
        <v>573</v>
      </c>
      <c r="B122" s="159" t="s">
        <v>539</v>
      </c>
      <c r="C122" s="159" t="s">
        <v>390</v>
      </c>
      <c r="D122" s="159" t="s">
        <v>390</v>
      </c>
      <c r="E122" s="159" t="s">
        <v>574</v>
      </c>
      <c r="F122" s="159"/>
      <c r="G122" s="360">
        <f t="shared" si="23"/>
        <v>0</v>
      </c>
      <c r="H122" s="357">
        <f t="shared" si="23"/>
        <v>2756.5</v>
      </c>
      <c r="I122" s="360">
        <f t="shared" si="23"/>
        <v>0</v>
      </c>
      <c r="J122" s="170">
        <f t="shared" si="23"/>
        <v>0</v>
      </c>
      <c r="K122" s="170" t="e">
        <f t="shared" si="23"/>
        <v>#REF!</v>
      </c>
      <c r="L122" s="170">
        <f>L123+L125+L127+L129</f>
        <v>390.2</v>
      </c>
      <c r="M122" s="170">
        <f>M123+M125+M127+M129</f>
        <v>-200</v>
      </c>
      <c r="N122" s="170">
        <f>N123+N125+N127+N129</f>
        <v>190.2</v>
      </c>
      <c r="O122" s="170">
        <f>O123+O125+O127+O129</f>
        <v>190.2</v>
      </c>
    </row>
    <row r="123" spans="1:15" ht="26.25">
      <c r="A123" s="173" t="s">
        <v>978</v>
      </c>
      <c r="B123" s="159" t="s">
        <v>539</v>
      </c>
      <c r="C123" s="159" t="s">
        <v>390</v>
      </c>
      <c r="D123" s="159" t="s">
        <v>390</v>
      </c>
      <c r="E123" s="159" t="s">
        <v>576</v>
      </c>
      <c r="F123" s="159"/>
      <c r="G123" s="360"/>
      <c r="H123" s="357">
        <v>2756.5</v>
      </c>
      <c r="I123" s="360"/>
      <c r="J123" s="170"/>
      <c r="K123" s="170" t="e">
        <f>#REF!+J123</f>
        <v>#REF!</v>
      </c>
      <c r="L123" s="170">
        <f>L124</f>
        <v>200</v>
      </c>
      <c r="M123" s="170">
        <f>M124</f>
        <v>-200</v>
      </c>
      <c r="N123" s="170">
        <f>N124</f>
        <v>0</v>
      </c>
      <c r="O123" s="170">
        <f>O124</f>
        <v>0</v>
      </c>
    </row>
    <row r="124" spans="1:15" ht="26.25">
      <c r="A124" s="173" t="s">
        <v>504</v>
      </c>
      <c r="B124" s="159" t="s">
        <v>539</v>
      </c>
      <c r="C124" s="159" t="s">
        <v>390</v>
      </c>
      <c r="D124" s="159" t="s">
        <v>390</v>
      </c>
      <c r="E124" s="159" t="s">
        <v>576</v>
      </c>
      <c r="F124" s="159" t="s">
        <v>494</v>
      </c>
      <c r="G124" s="360"/>
      <c r="H124" s="357"/>
      <c r="I124" s="360"/>
      <c r="J124" s="170">
        <f>J125</f>
        <v>0</v>
      </c>
      <c r="K124" s="170" t="e">
        <f>K125</f>
        <v>#REF!</v>
      </c>
      <c r="L124" s="170">
        <v>200</v>
      </c>
      <c r="M124" s="170">
        <v>-200</v>
      </c>
      <c r="N124" s="170">
        <f>L124+M124</f>
        <v>0</v>
      </c>
      <c r="O124" s="170"/>
    </row>
    <row r="125" spans="1:15" ht="26.25">
      <c r="A125" s="173" t="s">
        <v>976</v>
      </c>
      <c r="B125" s="159" t="s">
        <v>539</v>
      </c>
      <c r="C125" s="159" t="s">
        <v>390</v>
      </c>
      <c r="D125" s="159" t="s">
        <v>390</v>
      </c>
      <c r="E125" s="159" t="s">
        <v>581</v>
      </c>
      <c r="F125" s="159"/>
      <c r="G125" s="360"/>
      <c r="H125" s="357"/>
      <c r="I125" s="360"/>
      <c r="J125" s="170"/>
      <c r="K125" s="170" t="e">
        <f>#REF!+J125</f>
        <v>#REF!</v>
      </c>
      <c r="L125" s="170">
        <f>L126</f>
        <v>190.2</v>
      </c>
      <c r="M125" s="170">
        <f>M126</f>
        <v>-190.2</v>
      </c>
      <c r="N125" s="170">
        <f>N126</f>
        <v>0</v>
      </c>
      <c r="O125" s="170">
        <f>O126</f>
        <v>0</v>
      </c>
    </row>
    <row r="126" spans="1:15" ht="26.25">
      <c r="A126" s="173" t="s">
        <v>504</v>
      </c>
      <c r="B126" s="159" t="s">
        <v>539</v>
      </c>
      <c r="C126" s="159" t="s">
        <v>390</v>
      </c>
      <c r="D126" s="159" t="s">
        <v>390</v>
      </c>
      <c r="E126" s="159" t="s">
        <v>581</v>
      </c>
      <c r="F126" s="159" t="s">
        <v>494</v>
      </c>
      <c r="G126" s="362">
        <f>G127</f>
        <v>-100</v>
      </c>
      <c r="H126" s="362">
        <f>H127</f>
        <v>104.8</v>
      </c>
      <c r="I126" s="362">
        <f>I127</f>
        <v>0</v>
      </c>
      <c r="J126" s="170">
        <f>J127</f>
        <v>0</v>
      </c>
      <c r="K126" s="170" t="e">
        <f>K127</f>
        <v>#REF!</v>
      </c>
      <c r="L126" s="170">
        <v>190.2</v>
      </c>
      <c r="M126" s="170">
        <v>-190.2</v>
      </c>
      <c r="N126" s="170">
        <f>L126+M126</f>
        <v>0</v>
      </c>
      <c r="O126" s="170"/>
    </row>
    <row r="127" spans="1:15" ht="26.25" hidden="1">
      <c r="A127" s="173" t="s">
        <v>977</v>
      </c>
      <c r="B127" s="159" t="s">
        <v>539</v>
      </c>
      <c r="C127" s="159" t="s">
        <v>390</v>
      </c>
      <c r="D127" s="159" t="s">
        <v>390</v>
      </c>
      <c r="E127" s="159" t="s">
        <v>578</v>
      </c>
      <c r="F127" s="159"/>
      <c r="G127" s="362">
        <v>-100</v>
      </c>
      <c r="H127" s="363">
        <v>104.8</v>
      </c>
      <c r="I127" s="362"/>
      <c r="J127" s="170"/>
      <c r="K127" s="170" t="e">
        <f>#REF!+J127</f>
        <v>#REF!</v>
      </c>
      <c r="L127" s="170">
        <f>L128</f>
        <v>0</v>
      </c>
      <c r="M127" s="170">
        <f>M128</f>
        <v>0</v>
      </c>
      <c r="N127" s="170">
        <f>N128</f>
        <v>0</v>
      </c>
      <c r="O127" s="170">
        <f>O128</f>
        <v>0</v>
      </c>
    </row>
    <row r="128" spans="1:15" ht="38.25" hidden="1">
      <c r="A128" s="213" t="s">
        <v>577</v>
      </c>
      <c r="B128" s="159" t="s">
        <v>539</v>
      </c>
      <c r="C128" s="159" t="s">
        <v>390</v>
      </c>
      <c r="D128" s="159" t="s">
        <v>390</v>
      </c>
      <c r="E128" s="159" t="s">
        <v>578</v>
      </c>
      <c r="F128" s="159" t="s">
        <v>579</v>
      </c>
      <c r="G128" s="362">
        <f>G129</f>
        <v>-100</v>
      </c>
      <c r="H128" s="362">
        <f>H129</f>
        <v>104.8</v>
      </c>
      <c r="I128" s="362">
        <f>I129</f>
        <v>0</v>
      </c>
      <c r="J128" s="170">
        <f>J129</f>
        <v>0</v>
      </c>
      <c r="K128" s="170" t="e">
        <f>K129</f>
        <v>#REF!</v>
      </c>
      <c r="L128" s="170"/>
      <c r="M128" s="170"/>
      <c r="N128" s="170">
        <f>SUM(L128:M128)</f>
        <v>0</v>
      </c>
      <c r="O128" s="170"/>
    </row>
    <row r="129" spans="1:15" ht="51.75">
      <c r="A129" s="173" t="s">
        <v>580</v>
      </c>
      <c r="B129" s="159" t="s">
        <v>539</v>
      </c>
      <c r="C129" s="159" t="s">
        <v>390</v>
      </c>
      <c r="D129" s="159" t="s">
        <v>390</v>
      </c>
      <c r="E129" s="159" t="s">
        <v>582</v>
      </c>
      <c r="F129" s="159"/>
      <c r="G129" s="362">
        <v>-100</v>
      </c>
      <c r="H129" s="363">
        <v>104.8</v>
      </c>
      <c r="I129" s="362"/>
      <c r="J129" s="170"/>
      <c r="K129" s="170" t="e">
        <f>#REF!+J129</f>
        <v>#REF!</v>
      </c>
      <c r="L129" s="170">
        <f>L130</f>
        <v>0</v>
      </c>
      <c r="M129" s="170">
        <f>M130</f>
        <v>190.2</v>
      </c>
      <c r="N129" s="170">
        <f>N130</f>
        <v>190.2</v>
      </c>
      <c r="O129" s="170">
        <f>O130</f>
        <v>190.2</v>
      </c>
    </row>
    <row r="130" spans="1:15" ht="25.5" customHeight="1">
      <c r="A130" s="213" t="s">
        <v>577</v>
      </c>
      <c r="B130" s="159" t="s">
        <v>539</v>
      </c>
      <c r="C130" s="159" t="s">
        <v>390</v>
      </c>
      <c r="D130" s="159" t="s">
        <v>390</v>
      </c>
      <c r="E130" s="159" t="s">
        <v>582</v>
      </c>
      <c r="F130" s="159" t="s">
        <v>579</v>
      </c>
      <c r="G130" s="362"/>
      <c r="H130" s="363"/>
      <c r="I130" s="362"/>
      <c r="J130" s="170"/>
      <c r="K130" s="170"/>
      <c r="L130" s="170"/>
      <c r="M130" s="170">
        <v>190.2</v>
      </c>
      <c r="N130" s="170">
        <f>SUM(L130:M130)</f>
        <v>190.2</v>
      </c>
      <c r="O130" s="170">
        <v>190.2</v>
      </c>
    </row>
    <row r="131" spans="1:15" ht="15">
      <c r="A131" s="167" t="s">
        <v>423</v>
      </c>
      <c r="B131" s="168" t="s">
        <v>539</v>
      </c>
      <c r="C131" s="168" t="s">
        <v>390</v>
      </c>
      <c r="D131" s="168" t="s">
        <v>404</v>
      </c>
      <c r="E131" s="168"/>
      <c r="F131" s="168"/>
      <c r="G131" s="362"/>
      <c r="H131" s="363"/>
      <c r="I131" s="362"/>
      <c r="J131" s="361">
        <f>J132</f>
        <v>0</v>
      </c>
      <c r="K131" s="361">
        <f>K132</f>
        <v>0</v>
      </c>
      <c r="L131" s="161">
        <f>L132+L136+L141+L150</f>
        <v>5723.61</v>
      </c>
      <c r="M131" s="161">
        <f>M132+M136+M141+M150</f>
        <v>-19.199999999999704</v>
      </c>
      <c r="N131" s="161">
        <f>N132+N136+N141+N150</f>
        <v>5704.41</v>
      </c>
      <c r="O131" s="161">
        <f>O132+O136+O141+O150</f>
        <v>5697.83</v>
      </c>
    </row>
    <row r="132" spans="1:15" ht="51.75">
      <c r="A132" s="173" t="s">
        <v>542</v>
      </c>
      <c r="B132" s="159" t="s">
        <v>539</v>
      </c>
      <c r="C132" s="159" t="s">
        <v>390</v>
      </c>
      <c r="D132" s="159" t="s">
        <v>404</v>
      </c>
      <c r="E132" s="159" t="s">
        <v>543</v>
      </c>
      <c r="F132" s="159"/>
      <c r="G132" s="362"/>
      <c r="H132" s="363"/>
      <c r="I132" s="362"/>
      <c r="J132" s="170"/>
      <c r="K132" s="170"/>
      <c r="L132" s="170">
        <f>L133</f>
        <v>1049.99</v>
      </c>
      <c r="M132" s="170">
        <f>M133</f>
        <v>0</v>
      </c>
      <c r="N132" s="170">
        <f>N133</f>
        <v>1049.99</v>
      </c>
      <c r="O132" s="170">
        <f>O133</f>
        <v>1049.99</v>
      </c>
    </row>
    <row r="133" spans="1:15" ht="15">
      <c r="A133" s="173" t="s">
        <v>544</v>
      </c>
      <c r="B133" s="159" t="s">
        <v>539</v>
      </c>
      <c r="C133" s="159" t="s">
        <v>390</v>
      </c>
      <c r="D133" s="159" t="s">
        <v>404</v>
      </c>
      <c r="E133" s="159" t="s">
        <v>545</v>
      </c>
      <c r="F133" s="159"/>
      <c r="G133" s="348" t="e">
        <f>G134+G137</f>
        <v>#REF!</v>
      </c>
      <c r="H133" s="348">
        <f>H134+H137</f>
        <v>234.8</v>
      </c>
      <c r="I133" s="348">
        <f>I134+I137</f>
        <v>0</v>
      </c>
      <c r="J133" s="161">
        <f>J134+J137</f>
        <v>44.61</v>
      </c>
      <c r="K133" s="161" t="e">
        <f>K134+K137</f>
        <v>#REF!</v>
      </c>
      <c r="L133" s="170">
        <f>L134+L135</f>
        <v>1049.99</v>
      </c>
      <c r="M133" s="170">
        <f>M134+M135</f>
        <v>0</v>
      </c>
      <c r="N133" s="170">
        <f>N134+N135</f>
        <v>1049.99</v>
      </c>
      <c r="O133" s="170">
        <f>O134+O135</f>
        <v>1049.99</v>
      </c>
    </row>
    <row r="134" spans="1:15" ht="25.5">
      <c r="A134" s="213" t="s">
        <v>584</v>
      </c>
      <c r="B134" s="159" t="s">
        <v>539</v>
      </c>
      <c r="C134" s="159" t="s">
        <v>390</v>
      </c>
      <c r="D134" s="159" t="s">
        <v>404</v>
      </c>
      <c r="E134" s="159" t="s">
        <v>545</v>
      </c>
      <c r="F134" s="159" t="s">
        <v>585</v>
      </c>
      <c r="G134" s="360">
        <f aca="true" t="shared" si="24" ref="G134:K135">G135</f>
        <v>-224</v>
      </c>
      <c r="H134" s="360">
        <f t="shared" si="24"/>
        <v>234.8</v>
      </c>
      <c r="I134" s="360">
        <f t="shared" si="24"/>
        <v>0</v>
      </c>
      <c r="J134" s="170">
        <f t="shared" si="24"/>
        <v>0</v>
      </c>
      <c r="K134" s="170" t="e">
        <f t="shared" si="24"/>
        <v>#REF!</v>
      </c>
      <c r="L134" s="170"/>
      <c r="M134" s="170">
        <v>1049.99</v>
      </c>
      <c r="N134" s="170">
        <f>SUM(L134:M134)</f>
        <v>1049.99</v>
      </c>
      <c r="O134" s="170">
        <v>1049.99</v>
      </c>
    </row>
    <row r="135" spans="1:15" ht="26.25">
      <c r="A135" s="173" t="s">
        <v>487</v>
      </c>
      <c r="B135" s="159" t="s">
        <v>539</v>
      </c>
      <c r="C135" s="159" t="s">
        <v>390</v>
      </c>
      <c r="D135" s="159" t="s">
        <v>404</v>
      </c>
      <c r="E135" s="159" t="s">
        <v>545</v>
      </c>
      <c r="F135" s="159" t="s">
        <v>485</v>
      </c>
      <c r="G135" s="360">
        <f t="shared" si="24"/>
        <v>-224</v>
      </c>
      <c r="H135" s="360">
        <f t="shared" si="24"/>
        <v>234.8</v>
      </c>
      <c r="I135" s="360">
        <f t="shared" si="24"/>
        <v>0</v>
      </c>
      <c r="J135" s="170">
        <f t="shared" si="24"/>
        <v>0</v>
      </c>
      <c r="K135" s="170" t="e">
        <f t="shared" si="24"/>
        <v>#REF!</v>
      </c>
      <c r="L135" s="170">
        <v>1049.99</v>
      </c>
      <c r="M135" s="170">
        <v>-1049.99</v>
      </c>
      <c r="N135" s="170">
        <f>L135+M135</f>
        <v>0</v>
      </c>
      <c r="O135" s="170"/>
    </row>
    <row r="136" spans="1:15" ht="81.75" customHeight="1">
      <c r="A136" s="440" t="s">
        <v>973</v>
      </c>
      <c r="B136" s="159" t="s">
        <v>539</v>
      </c>
      <c r="C136" s="159" t="s">
        <v>390</v>
      </c>
      <c r="D136" s="159" t="s">
        <v>404</v>
      </c>
      <c r="E136" s="159" t="s">
        <v>586</v>
      </c>
      <c r="F136" s="159"/>
      <c r="G136" s="360">
        <v>-224</v>
      </c>
      <c r="H136" s="357">
        <v>234.8</v>
      </c>
      <c r="I136" s="360"/>
      <c r="J136" s="170"/>
      <c r="K136" s="170" t="e">
        <f>#REF!+J136</f>
        <v>#REF!</v>
      </c>
      <c r="L136" s="170">
        <f>L137+L138+L139+L140</f>
        <v>685</v>
      </c>
      <c r="M136" s="170">
        <f>M137+M138+M139+M140</f>
        <v>-19.200000000000045</v>
      </c>
      <c r="N136" s="170">
        <f>N137+N138+N139+N140</f>
        <v>665.8</v>
      </c>
      <c r="O136" s="170">
        <f>O137+O138+O139+O140</f>
        <v>665.8</v>
      </c>
    </row>
    <row r="137" spans="1:15" ht="15" customHeight="1">
      <c r="A137" s="213" t="s">
        <v>584</v>
      </c>
      <c r="B137" s="159" t="s">
        <v>539</v>
      </c>
      <c r="C137" s="159" t="s">
        <v>390</v>
      </c>
      <c r="D137" s="159" t="s">
        <v>404</v>
      </c>
      <c r="E137" s="159" t="s">
        <v>586</v>
      </c>
      <c r="F137" s="159" t="s">
        <v>585</v>
      </c>
      <c r="G137" s="360" t="e">
        <f>G138</f>
        <v>#REF!</v>
      </c>
      <c r="H137" s="360">
        <f>H138</f>
        <v>0</v>
      </c>
      <c r="I137" s="360">
        <f>I138</f>
        <v>0</v>
      </c>
      <c r="J137" s="170">
        <f>J138</f>
        <v>44.61</v>
      </c>
      <c r="K137" s="170" t="e">
        <f>K138</f>
        <v>#REF!</v>
      </c>
      <c r="L137" s="170"/>
      <c r="M137" s="170">
        <v>487.61</v>
      </c>
      <c r="N137" s="170">
        <f>SUM(L137:M137)</f>
        <v>487.61</v>
      </c>
      <c r="O137" s="170">
        <v>487.61</v>
      </c>
    </row>
    <row r="138" spans="1:15" ht="27" customHeight="1">
      <c r="A138" s="213" t="s">
        <v>587</v>
      </c>
      <c r="B138" s="159" t="s">
        <v>539</v>
      </c>
      <c r="C138" s="159" t="s">
        <v>390</v>
      </c>
      <c r="D138" s="159" t="s">
        <v>404</v>
      </c>
      <c r="E138" s="159" t="s">
        <v>586</v>
      </c>
      <c r="F138" s="159" t="s">
        <v>588</v>
      </c>
      <c r="G138" s="357" t="e">
        <f>H138-#REF!</f>
        <v>#REF!</v>
      </c>
      <c r="H138" s="357"/>
      <c r="I138" s="357"/>
      <c r="J138" s="170">
        <f>44.61</f>
        <v>44.61</v>
      </c>
      <c r="K138" s="170" t="e">
        <f>#REF!+J138</f>
        <v>#REF!</v>
      </c>
      <c r="L138" s="170"/>
      <c r="M138" s="170">
        <v>10.2</v>
      </c>
      <c r="N138" s="170">
        <f>SUM(L138:M138)</f>
        <v>10.2</v>
      </c>
      <c r="O138" s="170">
        <v>10.2</v>
      </c>
    </row>
    <row r="139" spans="1:15" ht="30" customHeight="1">
      <c r="A139" s="213" t="s">
        <v>577</v>
      </c>
      <c r="B139" s="159" t="s">
        <v>539</v>
      </c>
      <c r="C139" s="159" t="s">
        <v>390</v>
      </c>
      <c r="D139" s="159" t="s">
        <v>404</v>
      </c>
      <c r="E139" s="159" t="s">
        <v>586</v>
      </c>
      <c r="F139" s="159" t="s">
        <v>579</v>
      </c>
      <c r="G139" s="357"/>
      <c r="H139" s="357"/>
      <c r="I139" s="357"/>
      <c r="J139" s="170"/>
      <c r="K139" s="170"/>
      <c r="L139" s="170"/>
      <c r="M139" s="170">
        <f>332.59-164.6</f>
        <v>167.98999999999998</v>
      </c>
      <c r="N139" s="170">
        <f>SUM(L139:M139)</f>
        <v>167.98999999999998</v>
      </c>
      <c r="O139" s="170">
        <f>332.59-164.6</f>
        <v>167.98999999999998</v>
      </c>
    </row>
    <row r="140" spans="1:15" ht="26.25">
      <c r="A140" s="173" t="s">
        <v>487</v>
      </c>
      <c r="B140" s="159" t="s">
        <v>539</v>
      </c>
      <c r="C140" s="159" t="s">
        <v>390</v>
      </c>
      <c r="D140" s="159" t="s">
        <v>404</v>
      </c>
      <c r="E140" s="159" t="s">
        <v>586</v>
      </c>
      <c r="F140" s="159" t="s">
        <v>485</v>
      </c>
      <c r="G140" s="348">
        <f aca="true" t="shared" si="25" ref="G140:K141">G141</f>
        <v>821</v>
      </c>
      <c r="H140" s="348">
        <f t="shared" si="25"/>
        <v>650</v>
      </c>
      <c r="I140" s="348">
        <f t="shared" si="25"/>
        <v>0</v>
      </c>
      <c r="J140" s="161">
        <f t="shared" si="25"/>
        <v>670</v>
      </c>
      <c r="K140" s="161" t="e">
        <f t="shared" si="25"/>
        <v>#REF!</v>
      </c>
      <c r="L140" s="170">
        <v>685</v>
      </c>
      <c r="M140" s="170">
        <v>-685</v>
      </c>
      <c r="N140" s="170">
        <f>L140+M140</f>
        <v>0</v>
      </c>
      <c r="O140" s="170"/>
    </row>
    <row r="141" spans="1:15" ht="77.25">
      <c r="A141" s="173" t="s">
        <v>589</v>
      </c>
      <c r="B141" s="159" t="s">
        <v>539</v>
      </c>
      <c r="C141" s="159" t="s">
        <v>390</v>
      </c>
      <c r="D141" s="159" t="s">
        <v>404</v>
      </c>
      <c r="E141" s="159" t="s">
        <v>527</v>
      </c>
      <c r="F141" s="159"/>
      <c r="G141" s="360">
        <f t="shared" si="25"/>
        <v>821</v>
      </c>
      <c r="H141" s="360">
        <f t="shared" si="25"/>
        <v>650</v>
      </c>
      <c r="I141" s="360">
        <f t="shared" si="25"/>
        <v>0</v>
      </c>
      <c r="J141" s="170">
        <f t="shared" si="25"/>
        <v>670</v>
      </c>
      <c r="K141" s="170" t="e">
        <f t="shared" si="25"/>
        <v>#REF!</v>
      </c>
      <c r="L141" s="170">
        <f>L142</f>
        <v>3988.62</v>
      </c>
      <c r="M141" s="170">
        <f>M142</f>
        <v>3.410605131648481E-13</v>
      </c>
      <c r="N141" s="170">
        <f>N142</f>
        <v>3988.62</v>
      </c>
      <c r="O141" s="170">
        <f>O142</f>
        <v>3982.04</v>
      </c>
    </row>
    <row r="142" spans="1:15" ht="26.25">
      <c r="A142" s="173" t="s">
        <v>497</v>
      </c>
      <c r="B142" s="159" t="s">
        <v>539</v>
      </c>
      <c r="C142" s="159" t="s">
        <v>390</v>
      </c>
      <c r="D142" s="159" t="s">
        <v>404</v>
      </c>
      <c r="E142" s="159" t="s">
        <v>528</v>
      </c>
      <c r="F142" s="159"/>
      <c r="G142" s="360">
        <f>G143+G145</f>
        <v>821</v>
      </c>
      <c r="H142" s="360">
        <f>H143+H145</f>
        <v>650</v>
      </c>
      <c r="I142" s="360">
        <f>I143+I145</f>
        <v>0</v>
      </c>
      <c r="J142" s="170">
        <f>J143+J145</f>
        <v>670</v>
      </c>
      <c r="K142" s="170" t="e">
        <f>K143+K145</f>
        <v>#REF!</v>
      </c>
      <c r="L142" s="170">
        <f>L143+L144+L145+L147+L146+L148+L149</f>
        <v>3988.62</v>
      </c>
      <c r="M142" s="170">
        <f>M143+M144+M145+M147+M146+M148+M149</f>
        <v>3.410605131648481E-13</v>
      </c>
      <c r="N142" s="170">
        <f>N143+N144+N145+N147+N146+N148+N149</f>
        <v>3988.62</v>
      </c>
      <c r="O142" s="170">
        <f>O143+O144+O145+O147+O146+O148+O149</f>
        <v>3982.04</v>
      </c>
    </row>
    <row r="143" spans="1:15" ht="26.25">
      <c r="A143" s="173" t="s">
        <v>549</v>
      </c>
      <c r="B143" s="159" t="s">
        <v>539</v>
      </c>
      <c r="C143" s="159" t="s">
        <v>390</v>
      </c>
      <c r="D143" s="159" t="s">
        <v>404</v>
      </c>
      <c r="E143" s="159" t="s">
        <v>528</v>
      </c>
      <c r="F143" s="159" t="s">
        <v>494</v>
      </c>
      <c r="G143" s="360">
        <v>321</v>
      </c>
      <c r="H143" s="357">
        <v>650</v>
      </c>
      <c r="I143" s="360"/>
      <c r="J143" s="170"/>
      <c r="K143" s="170" t="e">
        <f>#REF!+J143</f>
        <v>#REF!</v>
      </c>
      <c r="L143" s="170">
        <v>3988.62</v>
      </c>
      <c r="M143" s="170">
        <v>-3988.62</v>
      </c>
      <c r="N143" s="170">
        <f>L143+M143</f>
        <v>0</v>
      </c>
      <c r="O143" s="170"/>
    </row>
    <row r="144" spans="1:15" ht="13.5" customHeight="1">
      <c r="A144" s="213" t="s">
        <v>584</v>
      </c>
      <c r="B144" s="159" t="s">
        <v>539</v>
      </c>
      <c r="C144" s="159" t="s">
        <v>390</v>
      </c>
      <c r="D144" s="159" t="s">
        <v>404</v>
      </c>
      <c r="E144" s="159" t="s">
        <v>528</v>
      </c>
      <c r="F144" s="159" t="s">
        <v>585</v>
      </c>
      <c r="G144" s="360"/>
      <c r="H144" s="357"/>
      <c r="I144" s="360"/>
      <c r="J144" s="170"/>
      <c r="K144" s="170"/>
      <c r="L144" s="170"/>
      <c r="M144" s="170">
        <v>2962.84</v>
      </c>
      <c r="N144" s="170">
        <f aca="true" t="shared" si="26" ref="N144:N149">SUM(L144:M144)</f>
        <v>2962.84</v>
      </c>
      <c r="O144" s="170">
        <v>2962.84</v>
      </c>
    </row>
    <row r="145" spans="1:15" ht="13.5" customHeight="1">
      <c r="A145" s="213" t="s">
        <v>587</v>
      </c>
      <c r="B145" s="159" t="s">
        <v>539</v>
      </c>
      <c r="C145" s="159" t="s">
        <v>390</v>
      </c>
      <c r="D145" s="159" t="s">
        <v>404</v>
      </c>
      <c r="E145" s="159" t="s">
        <v>528</v>
      </c>
      <c r="F145" s="159" t="s">
        <v>588</v>
      </c>
      <c r="G145" s="360">
        <v>500</v>
      </c>
      <c r="H145" s="357"/>
      <c r="I145" s="360"/>
      <c r="J145" s="170">
        <v>670</v>
      </c>
      <c r="K145" s="170" t="e">
        <f>#REF!+J145</f>
        <v>#REF!</v>
      </c>
      <c r="L145" s="170"/>
      <c r="M145" s="170">
        <v>19.2</v>
      </c>
      <c r="N145" s="170">
        <f t="shared" si="26"/>
        <v>19.2</v>
      </c>
      <c r="O145" s="170">
        <v>19.2</v>
      </c>
    </row>
    <row r="146" spans="1:15" ht="13.5" customHeight="1" hidden="1">
      <c r="A146" s="213" t="s">
        <v>591</v>
      </c>
      <c r="B146" s="159" t="s">
        <v>539</v>
      </c>
      <c r="C146" s="159" t="s">
        <v>390</v>
      </c>
      <c r="D146" s="159" t="s">
        <v>404</v>
      </c>
      <c r="E146" s="159" t="s">
        <v>528</v>
      </c>
      <c r="F146" s="159" t="s">
        <v>592</v>
      </c>
      <c r="G146" s="360"/>
      <c r="H146" s="357"/>
      <c r="I146" s="360"/>
      <c r="J146" s="170"/>
      <c r="K146" s="170"/>
      <c r="L146" s="170"/>
      <c r="M146" s="170"/>
      <c r="N146" s="170">
        <f t="shared" si="26"/>
        <v>0</v>
      </c>
      <c r="O146" s="170"/>
    </row>
    <row r="147" spans="1:15" ht="13.5" customHeight="1">
      <c r="A147" s="213" t="s">
        <v>577</v>
      </c>
      <c r="B147" s="159" t="s">
        <v>539</v>
      </c>
      <c r="C147" s="159" t="s">
        <v>390</v>
      </c>
      <c r="D147" s="159" t="s">
        <v>404</v>
      </c>
      <c r="E147" s="159" t="s">
        <v>528</v>
      </c>
      <c r="F147" s="159" t="s">
        <v>579</v>
      </c>
      <c r="G147" s="161" t="e">
        <f>G148+G158+G161+G163+G153+#REF!</f>
        <v>#REF!</v>
      </c>
      <c r="H147" s="161" t="e">
        <f>H148+H158+H161+H163+H153+#REF!</f>
        <v>#REF!</v>
      </c>
      <c r="I147" s="161" t="e">
        <f>I148+I158+I161+I163+I153+#REF!</f>
        <v>#REF!</v>
      </c>
      <c r="J147" s="161" t="e">
        <f>J148+J158+J161+J163+J153+#REF!</f>
        <v>#REF!</v>
      </c>
      <c r="K147" s="161" t="e">
        <f>K148+K158+K161+K163+K153+#REF!</f>
        <v>#REF!</v>
      </c>
      <c r="L147" s="170"/>
      <c r="M147" s="170">
        <v>1006.58</v>
      </c>
      <c r="N147" s="170">
        <f t="shared" si="26"/>
        <v>1006.58</v>
      </c>
      <c r="O147" s="170">
        <v>1000</v>
      </c>
    </row>
    <row r="148" spans="1:15" ht="13.5" customHeight="1" hidden="1">
      <c r="A148" s="213" t="s">
        <v>593</v>
      </c>
      <c r="B148" s="159" t="s">
        <v>539</v>
      </c>
      <c r="C148" s="159" t="s">
        <v>390</v>
      </c>
      <c r="D148" s="159" t="s">
        <v>404</v>
      </c>
      <c r="E148" s="159" t="s">
        <v>528</v>
      </c>
      <c r="F148" s="159" t="s">
        <v>594</v>
      </c>
      <c r="G148" s="360">
        <f>G149</f>
        <v>598.1</v>
      </c>
      <c r="H148" s="360">
        <f>H149</f>
        <v>1303.65</v>
      </c>
      <c r="I148" s="360">
        <f>I149</f>
        <v>0</v>
      </c>
      <c r="J148" s="170">
        <f>J149</f>
        <v>-119.89</v>
      </c>
      <c r="K148" s="170" t="e">
        <f>K149</f>
        <v>#REF!</v>
      </c>
      <c r="L148" s="170"/>
      <c r="M148" s="170"/>
      <c r="N148" s="170">
        <f t="shared" si="26"/>
        <v>0</v>
      </c>
      <c r="O148" s="170"/>
    </row>
    <row r="149" spans="1:15" ht="25.5" hidden="1">
      <c r="A149" s="213" t="s">
        <v>595</v>
      </c>
      <c r="B149" s="159" t="s">
        <v>539</v>
      </c>
      <c r="C149" s="159" t="s">
        <v>390</v>
      </c>
      <c r="D149" s="159" t="s">
        <v>404</v>
      </c>
      <c r="E149" s="159" t="s">
        <v>528</v>
      </c>
      <c r="F149" s="159" t="s">
        <v>596</v>
      </c>
      <c r="G149" s="360">
        <f>G150+G151</f>
        <v>598.1</v>
      </c>
      <c r="H149" s="366">
        <f>H150+H151</f>
        <v>1303.65</v>
      </c>
      <c r="I149" s="366">
        <f>I150+I151</f>
        <v>0</v>
      </c>
      <c r="J149" s="170">
        <f>J150+J151</f>
        <v>-119.89</v>
      </c>
      <c r="K149" s="170" t="e">
        <f>K150+K151</f>
        <v>#REF!</v>
      </c>
      <c r="L149" s="170"/>
      <c r="M149" s="170"/>
      <c r="N149" s="170">
        <f t="shared" si="26"/>
        <v>0</v>
      </c>
      <c r="O149" s="170"/>
    </row>
    <row r="150" spans="1:15" ht="38.25" hidden="1">
      <c r="A150" s="213" t="s">
        <v>590</v>
      </c>
      <c r="B150" s="159" t="s">
        <v>539</v>
      </c>
      <c r="C150" s="159" t="s">
        <v>390</v>
      </c>
      <c r="D150" s="159" t="s">
        <v>404</v>
      </c>
      <c r="E150" s="159" t="s">
        <v>597</v>
      </c>
      <c r="F150" s="159"/>
      <c r="G150" s="360"/>
      <c r="H150" s="366">
        <v>1303.65</v>
      </c>
      <c r="I150" s="366"/>
      <c r="J150" s="170">
        <f>-119.89</f>
        <v>-119.89</v>
      </c>
      <c r="K150" s="170" t="e">
        <f>#REF!+J150</f>
        <v>#REF!</v>
      </c>
      <c r="L150" s="170">
        <f>L151</f>
        <v>0</v>
      </c>
      <c r="M150" s="170">
        <f>M151</f>
        <v>0</v>
      </c>
      <c r="N150" s="170">
        <f>N151</f>
        <v>0</v>
      </c>
      <c r="O150" s="170">
        <f>O151</f>
        <v>0</v>
      </c>
    </row>
    <row r="151" spans="1:16" ht="25.5" hidden="1">
      <c r="A151" s="213" t="s">
        <v>598</v>
      </c>
      <c r="B151" s="159" t="s">
        <v>539</v>
      </c>
      <c r="C151" s="159" t="s">
        <v>390</v>
      </c>
      <c r="D151" s="159" t="s">
        <v>404</v>
      </c>
      <c r="E151" s="159" t="s">
        <v>597</v>
      </c>
      <c r="F151" s="159" t="s">
        <v>563</v>
      </c>
      <c r="G151" s="360">
        <f>519.1+79</f>
        <v>598.1</v>
      </c>
      <c r="H151" s="357"/>
      <c r="I151" s="360"/>
      <c r="J151" s="170"/>
      <c r="K151" s="170" t="e">
        <f>#REF!+J151</f>
        <v>#REF!</v>
      </c>
      <c r="L151" s="170"/>
      <c r="M151" s="170">
        <v>0</v>
      </c>
      <c r="N151" s="170">
        <f>L151+M151</f>
        <v>0</v>
      </c>
      <c r="O151" s="170">
        <v>0</v>
      </c>
      <c r="P151" s="184" t="e">
        <f>#REF!-L151</f>
        <v>#REF!</v>
      </c>
    </row>
    <row r="152" spans="1:16" ht="15">
      <c r="A152" s="167" t="s">
        <v>438</v>
      </c>
      <c r="B152" s="168" t="s">
        <v>539</v>
      </c>
      <c r="C152" s="168" t="s">
        <v>437</v>
      </c>
      <c r="D152" s="168"/>
      <c r="E152" s="168"/>
      <c r="F152" s="168"/>
      <c r="G152" s="360"/>
      <c r="H152" s="357"/>
      <c r="I152" s="360"/>
      <c r="J152" s="170"/>
      <c r="K152" s="170"/>
      <c r="L152" s="161">
        <f>L153+L156</f>
        <v>18412.7</v>
      </c>
      <c r="M152" s="161">
        <f>M153+M156</f>
        <v>-814.6000000000004</v>
      </c>
      <c r="N152" s="161">
        <f>N153+N156</f>
        <v>17598.1</v>
      </c>
      <c r="O152" s="161">
        <f>O153+O156</f>
        <v>17598.1</v>
      </c>
      <c r="P152" s="184"/>
    </row>
    <row r="153" spans="1:15" ht="15">
      <c r="A153" s="167" t="s">
        <v>599</v>
      </c>
      <c r="B153" s="168" t="s">
        <v>539</v>
      </c>
      <c r="C153" s="168" t="s">
        <v>437</v>
      </c>
      <c r="D153" s="168" t="s">
        <v>384</v>
      </c>
      <c r="E153" s="168"/>
      <c r="F153" s="168"/>
      <c r="G153" s="360"/>
      <c r="H153" s="357"/>
      <c r="I153" s="360"/>
      <c r="J153" s="170"/>
      <c r="K153" s="170"/>
      <c r="L153" s="161">
        <f aca="true" t="shared" si="27" ref="L153:O154">L154</f>
        <v>5988</v>
      </c>
      <c r="M153" s="161">
        <f t="shared" si="27"/>
        <v>-5988</v>
      </c>
      <c r="N153" s="161">
        <f t="shared" si="27"/>
        <v>0</v>
      </c>
      <c r="O153" s="161">
        <f t="shared" si="27"/>
        <v>0</v>
      </c>
    </row>
    <row r="154" spans="1:18" ht="61.5" customHeight="1">
      <c r="A154" s="173" t="s">
        <v>600</v>
      </c>
      <c r="B154" s="159" t="s">
        <v>539</v>
      </c>
      <c r="C154" s="159" t="s">
        <v>437</v>
      </c>
      <c r="D154" s="159" t="s">
        <v>384</v>
      </c>
      <c r="E154" s="159" t="s">
        <v>601</v>
      </c>
      <c r="F154" s="159"/>
      <c r="G154" s="360"/>
      <c r="H154" s="357"/>
      <c r="I154" s="360"/>
      <c r="J154" s="170"/>
      <c r="K154" s="170"/>
      <c r="L154" s="170">
        <f>L155</f>
        <v>5988</v>
      </c>
      <c r="M154" s="170">
        <f t="shared" si="27"/>
        <v>-5988</v>
      </c>
      <c r="N154" s="170">
        <f t="shared" si="27"/>
        <v>0</v>
      </c>
      <c r="O154" s="170">
        <f t="shared" si="27"/>
        <v>0</v>
      </c>
      <c r="P154" s="215">
        <v>515</v>
      </c>
      <c r="R154" s="184" t="e">
        <f>#REF!-P154</f>
        <v>#REF!</v>
      </c>
    </row>
    <row r="155" spans="1:18" ht="15">
      <c r="A155" s="173" t="s">
        <v>602</v>
      </c>
      <c r="B155" s="159" t="s">
        <v>539</v>
      </c>
      <c r="C155" s="159" t="s">
        <v>437</v>
      </c>
      <c r="D155" s="159" t="s">
        <v>384</v>
      </c>
      <c r="E155" s="159" t="s">
        <v>604</v>
      </c>
      <c r="F155" s="159" t="s">
        <v>603</v>
      </c>
      <c r="G155" s="360"/>
      <c r="H155" s="357"/>
      <c r="I155" s="360"/>
      <c r="J155" s="170"/>
      <c r="K155" s="170"/>
      <c r="L155" s="170">
        <v>5988</v>
      </c>
      <c r="M155" s="170">
        <v>-5988</v>
      </c>
      <c r="N155" s="170">
        <f>L155+M155</f>
        <v>0</v>
      </c>
      <c r="O155" s="170"/>
      <c r="P155" s="215"/>
      <c r="R155" s="184"/>
    </row>
    <row r="156" spans="1:18" ht="15">
      <c r="A156" s="167" t="s">
        <v>605</v>
      </c>
      <c r="B156" s="168" t="s">
        <v>539</v>
      </c>
      <c r="C156" s="168" t="s">
        <v>437</v>
      </c>
      <c r="D156" s="168" t="s">
        <v>385</v>
      </c>
      <c r="E156" s="168"/>
      <c r="F156" s="168"/>
      <c r="G156" s="360"/>
      <c r="H156" s="357"/>
      <c r="I156" s="360"/>
      <c r="J156" s="170"/>
      <c r="K156" s="170"/>
      <c r="L156" s="161">
        <f>L157+L162</f>
        <v>12424.7</v>
      </c>
      <c r="M156" s="161">
        <f>M157+M162</f>
        <v>5173.4</v>
      </c>
      <c r="N156" s="161">
        <f>N157+N162</f>
        <v>17598.1</v>
      </c>
      <c r="O156" s="161">
        <f>O157+O162</f>
        <v>17598.1</v>
      </c>
      <c r="P156" s="215"/>
      <c r="R156" s="184"/>
    </row>
    <row r="157" spans="1:18" ht="15">
      <c r="A157" s="442" t="s">
        <v>714</v>
      </c>
      <c r="B157" s="159" t="s">
        <v>539</v>
      </c>
      <c r="C157" s="159" t="s">
        <v>437</v>
      </c>
      <c r="D157" s="159" t="s">
        <v>385</v>
      </c>
      <c r="E157" s="159" t="s">
        <v>715</v>
      </c>
      <c r="F157" s="159"/>
      <c r="G157" s="360"/>
      <c r="H157" s="357"/>
      <c r="I157" s="360"/>
      <c r="J157" s="170"/>
      <c r="K157" s="170"/>
      <c r="L157" s="170">
        <f>L158+L160</f>
        <v>0</v>
      </c>
      <c r="M157" s="170">
        <f>M158+M160</f>
        <v>3432</v>
      </c>
      <c r="N157" s="170">
        <f>N158+N160</f>
        <v>3432</v>
      </c>
      <c r="O157" s="170">
        <f>O158+O160</f>
        <v>3432</v>
      </c>
      <c r="P157" s="215"/>
      <c r="R157" s="184"/>
    </row>
    <row r="158" spans="1:15" ht="63" customHeight="1">
      <c r="A158" s="173" t="s">
        <v>600</v>
      </c>
      <c r="B158" s="159" t="s">
        <v>539</v>
      </c>
      <c r="C158" s="159" t="s">
        <v>437</v>
      </c>
      <c r="D158" s="159" t="s">
        <v>385</v>
      </c>
      <c r="E158" s="159" t="s">
        <v>606</v>
      </c>
      <c r="F158" s="159"/>
      <c r="G158" s="360">
        <f aca="true" t="shared" si="28" ref="G158:K159">G159</f>
        <v>80</v>
      </c>
      <c r="H158" s="360">
        <f t="shared" si="28"/>
        <v>5211</v>
      </c>
      <c r="I158" s="360">
        <f t="shared" si="28"/>
        <v>0</v>
      </c>
      <c r="J158" s="170">
        <f t="shared" si="28"/>
        <v>-2015.414</v>
      </c>
      <c r="K158" s="170" t="e">
        <f t="shared" si="28"/>
        <v>#REF!</v>
      </c>
      <c r="L158" s="170">
        <f>L159</f>
        <v>0</v>
      </c>
      <c r="M158" s="170">
        <f>M159</f>
        <v>3432</v>
      </c>
      <c r="N158" s="170">
        <f>N159</f>
        <v>3432</v>
      </c>
      <c r="O158" s="170">
        <f>O159</f>
        <v>3432</v>
      </c>
    </row>
    <row r="159" spans="1:17" ht="39">
      <c r="A159" s="173" t="s">
        <v>607</v>
      </c>
      <c r="B159" s="159" t="s">
        <v>539</v>
      </c>
      <c r="C159" s="159" t="s">
        <v>437</v>
      </c>
      <c r="D159" s="159" t="s">
        <v>385</v>
      </c>
      <c r="E159" s="159" t="s">
        <v>606</v>
      </c>
      <c r="F159" s="159" t="s">
        <v>608</v>
      </c>
      <c r="G159" s="360">
        <f t="shared" si="28"/>
        <v>80</v>
      </c>
      <c r="H159" s="360">
        <f t="shared" si="28"/>
        <v>5211</v>
      </c>
      <c r="I159" s="360">
        <f t="shared" si="28"/>
        <v>0</v>
      </c>
      <c r="J159" s="170">
        <f aca="true" t="shared" si="29" ref="J159:Q159">J160+J165+J166+J168+J167+J169+J170</f>
        <v>-2015.414</v>
      </c>
      <c r="K159" s="170" t="e">
        <f t="shared" si="29"/>
        <v>#REF!</v>
      </c>
      <c r="L159" s="170"/>
      <c r="M159" s="170">
        <v>3432</v>
      </c>
      <c r="N159" s="170">
        <f>SUM(L159:M159)</f>
        <v>3432</v>
      </c>
      <c r="O159" s="170">
        <v>3432</v>
      </c>
      <c r="P159" s="171" t="e">
        <f t="shared" si="29"/>
        <v>#REF!</v>
      </c>
      <c r="Q159" s="171">
        <f t="shared" si="29"/>
        <v>0</v>
      </c>
    </row>
    <row r="160" spans="1:16" ht="89.25" hidden="1">
      <c r="A160" s="213" t="s">
        <v>609</v>
      </c>
      <c r="B160" s="221" t="s">
        <v>539</v>
      </c>
      <c r="C160" s="221" t="s">
        <v>437</v>
      </c>
      <c r="D160" s="221" t="s">
        <v>385</v>
      </c>
      <c r="E160" s="221" t="s">
        <v>610</v>
      </c>
      <c r="F160" s="159"/>
      <c r="G160" s="360">
        <f>50+30</f>
        <v>80</v>
      </c>
      <c r="H160" s="357">
        <v>5211</v>
      </c>
      <c r="I160" s="360"/>
      <c r="J160" s="170">
        <v>-2015.414</v>
      </c>
      <c r="K160" s="170" t="e">
        <f>#REF!+J160</f>
        <v>#REF!</v>
      </c>
      <c r="L160" s="170">
        <f>L161</f>
        <v>0</v>
      </c>
      <c r="M160" s="170">
        <f>M161</f>
        <v>0</v>
      </c>
      <c r="N160" s="170">
        <f>N161</f>
        <v>0</v>
      </c>
      <c r="O160" s="170">
        <f>O161</f>
        <v>0</v>
      </c>
      <c r="P160" s="215" t="e">
        <f>#REF!-L160</f>
        <v>#REF!</v>
      </c>
    </row>
    <row r="161" spans="1:15" ht="39" hidden="1">
      <c r="A161" s="173" t="s">
        <v>607</v>
      </c>
      <c r="B161" s="221" t="s">
        <v>539</v>
      </c>
      <c r="C161" s="221" t="s">
        <v>437</v>
      </c>
      <c r="D161" s="221" t="s">
        <v>385</v>
      </c>
      <c r="E161" s="221" t="s">
        <v>610</v>
      </c>
      <c r="F161" s="159" t="s">
        <v>608</v>
      </c>
      <c r="G161" s="362">
        <f>G162</f>
        <v>100</v>
      </c>
      <c r="H161" s="362">
        <f>H162</f>
        <v>0</v>
      </c>
      <c r="I161" s="362">
        <f>I162</f>
        <v>0</v>
      </c>
      <c r="J161" s="170">
        <f>J162</f>
        <v>0</v>
      </c>
      <c r="K161" s="170" t="e">
        <f>K162</f>
        <v>#REF!</v>
      </c>
      <c r="L161" s="170"/>
      <c r="M161" s="170"/>
      <c r="N161" s="170">
        <f>L161+M161</f>
        <v>0</v>
      </c>
      <c r="O161" s="170"/>
    </row>
    <row r="162" spans="1:15" ht="26.25">
      <c r="A162" s="173" t="s">
        <v>522</v>
      </c>
      <c r="B162" s="159" t="s">
        <v>539</v>
      </c>
      <c r="C162" s="159" t="s">
        <v>437</v>
      </c>
      <c r="D162" s="159" t="s">
        <v>385</v>
      </c>
      <c r="E162" s="159" t="s">
        <v>523</v>
      </c>
      <c r="F162" s="159"/>
      <c r="G162" s="362">
        <v>100</v>
      </c>
      <c r="H162" s="363"/>
      <c r="I162" s="362"/>
      <c r="J162" s="170"/>
      <c r="K162" s="170" t="e">
        <f>#REF!+J162</f>
        <v>#REF!</v>
      </c>
      <c r="L162" s="170">
        <f>L163+L166</f>
        <v>12424.7</v>
      </c>
      <c r="M162" s="170">
        <f>M163+M166</f>
        <v>1741.3999999999996</v>
      </c>
      <c r="N162" s="170">
        <f>N163+N166</f>
        <v>14166.1</v>
      </c>
      <c r="O162" s="170">
        <f>O163+O166</f>
        <v>14166.1</v>
      </c>
    </row>
    <row r="163" spans="1:15" ht="77.25">
      <c r="A163" s="173" t="s">
        <v>611</v>
      </c>
      <c r="B163" s="159" t="s">
        <v>539</v>
      </c>
      <c r="C163" s="159" t="s">
        <v>437</v>
      </c>
      <c r="D163" s="159" t="s">
        <v>385</v>
      </c>
      <c r="E163" s="159" t="s">
        <v>612</v>
      </c>
      <c r="F163" s="159"/>
      <c r="G163" s="360">
        <f>G164</f>
        <v>100</v>
      </c>
      <c r="H163" s="360">
        <f>H164</f>
        <v>0</v>
      </c>
      <c r="I163" s="360">
        <f>I164</f>
        <v>0</v>
      </c>
      <c r="J163" s="170">
        <f>J164</f>
        <v>0</v>
      </c>
      <c r="K163" s="170" t="e">
        <f>K164</f>
        <v>#REF!</v>
      </c>
      <c r="L163" s="170">
        <f>L164+L165</f>
        <v>2346.1</v>
      </c>
      <c r="M163" s="170">
        <f>M164+M165</f>
        <v>-973.5</v>
      </c>
      <c r="N163" s="170">
        <f>N164+N165</f>
        <v>1372.6</v>
      </c>
      <c r="O163" s="170">
        <f>O164+O165</f>
        <v>1372.6</v>
      </c>
    </row>
    <row r="164" spans="1:15" ht="15">
      <c r="A164" s="173" t="s">
        <v>602</v>
      </c>
      <c r="B164" s="159" t="s">
        <v>539</v>
      </c>
      <c r="C164" s="159" t="s">
        <v>437</v>
      </c>
      <c r="D164" s="159" t="s">
        <v>385</v>
      </c>
      <c r="E164" s="159" t="s">
        <v>612</v>
      </c>
      <c r="F164" s="159" t="s">
        <v>603</v>
      </c>
      <c r="G164" s="360">
        <v>100</v>
      </c>
      <c r="H164" s="357"/>
      <c r="I164" s="360"/>
      <c r="J164" s="170"/>
      <c r="K164" s="170" t="e">
        <f>#REF!+J164</f>
        <v>#REF!</v>
      </c>
      <c r="L164" s="170">
        <v>2346.1</v>
      </c>
      <c r="M164" s="170">
        <v>-2346.1</v>
      </c>
      <c r="N164" s="170">
        <f>L164+M164</f>
        <v>0</v>
      </c>
      <c r="O164" s="170"/>
    </row>
    <row r="165" spans="1:15" ht="51">
      <c r="A165" s="213" t="s">
        <v>613</v>
      </c>
      <c r="B165" s="159" t="s">
        <v>539</v>
      </c>
      <c r="C165" s="159" t="s">
        <v>437</v>
      </c>
      <c r="D165" s="159" t="s">
        <v>385</v>
      </c>
      <c r="E165" s="159" t="s">
        <v>612</v>
      </c>
      <c r="F165" s="159" t="s">
        <v>614</v>
      </c>
      <c r="G165" s="360"/>
      <c r="H165" s="357"/>
      <c r="I165" s="360"/>
      <c r="J165" s="170"/>
      <c r="K165" s="170"/>
      <c r="L165" s="170"/>
      <c r="M165" s="170">
        <v>1372.6</v>
      </c>
      <c r="N165" s="170">
        <f>SUM(L165:M165)</f>
        <v>1372.6</v>
      </c>
      <c r="O165" s="170">
        <v>1372.6</v>
      </c>
    </row>
    <row r="166" spans="1:15" ht="39">
      <c r="A166" s="173" t="s">
        <v>615</v>
      </c>
      <c r="B166" s="159" t="s">
        <v>539</v>
      </c>
      <c r="C166" s="159" t="s">
        <v>437</v>
      </c>
      <c r="D166" s="159" t="s">
        <v>385</v>
      </c>
      <c r="E166" s="159" t="s">
        <v>616</v>
      </c>
      <c r="F166" s="159"/>
      <c r="G166" s="360"/>
      <c r="H166" s="357"/>
      <c r="I166" s="360"/>
      <c r="J166" s="170"/>
      <c r="K166" s="170"/>
      <c r="L166" s="170">
        <f>L167+L168+L169+L170</f>
        <v>10078.6</v>
      </c>
      <c r="M166" s="170">
        <f>M167+M168+M169+M170</f>
        <v>2714.8999999999996</v>
      </c>
      <c r="N166" s="170">
        <f>N167+N168+N169+N170</f>
        <v>12793.5</v>
      </c>
      <c r="O166" s="170">
        <f>O167+O168+O169+O170</f>
        <v>12793.5</v>
      </c>
    </row>
    <row r="167" spans="1:15" ht="39" hidden="1">
      <c r="A167" s="173" t="s">
        <v>617</v>
      </c>
      <c r="B167" s="159" t="s">
        <v>539</v>
      </c>
      <c r="C167" s="159" t="s">
        <v>437</v>
      </c>
      <c r="D167" s="159" t="s">
        <v>385</v>
      </c>
      <c r="E167" s="159" t="s">
        <v>618</v>
      </c>
      <c r="F167" s="159" t="s">
        <v>494</v>
      </c>
      <c r="G167" s="360"/>
      <c r="H167" s="357"/>
      <c r="I167" s="360"/>
      <c r="J167" s="170"/>
      <c r="K167" s="170"/>
      <c r="L167" s="170">
        <v>0</v>
      </c>
      <c r="M167" s="170"/>
      <c r="N167" s="170">
        <f>L167+M167</f>
        <v>0</v>
      </c>
      <c r="O167" s="170"/>
    </row>
    <row r="168" spans="1:15" ht="39">
      <c r="A168" s="222" t="s">
        <v>617</v>
      </c>
      <c r="B168" s="159" t="s">
        <v>539</v>
      </c>
      <c r="C168" s="159" t="s">
        <v>437</v>
      </c>
      <c r="D168" s="159" t="s">
        <v>385</v>
      </c>
      <c r="E168" s="159" t="s">
        <v>618</v>
      </c>
      <c r="F168" s="159" t="s">
        <v>603</v>
      </c>
      <c r="G168" s="360"/>
      <c r="H168" s="357"/>
      <c r="I168" s="360"/>
      <c r="J168" s="170"/>
      <c r="K168" s="170"/>
      <c r="L168" s="170">
        <v>10078.6</v>
      </c>
      <c r="M168" s="170">
        <v>-10078.6</v>
      </c>
      <c r="N168" s="170">
        <f>L168+M168</f>
        <v>0</v>
      </c>
      <c r="O168" s="170"/>
    </row>
    <row r="169" spans="1:15" ht="25.5">
      <c r="A169" s="213" t="s">
        <v>619</v>
      </c>
      <c r="B169" s="159" t="s">
        <v>539</v>
      </c>
      <c r="C169" s="159" t="s">
        <v>437</v>
      </c>
      <c r="D169" s="159" t="s">
        <v>385</v>
      </c>
      <c r="E169" s="159" t="s">
        <v>618</v>
      </c>
      <c r="F169" s="159" t="s">
        <v>620</v>
      </c>
      <c r="G169" s="360"/>
      <c r="H169" s="357"/>
      <c r="I169" s="360"/>
      <c r="J169" s="170"/>
      <c r="K169" s="170"/>
      <c r="L169" s="170"/>
      <c r="M169" s="170">
        <v>12793.5</v>
      </c>
      <c r="N169" s="170">
        <f>SUM(L169:M169)</f>
        <v>12793.5</v>
      </c>
      <c r="O169" s="170">
        <v>12793.5</v>
      </c>
    </row>
    <row r="170" spans="1:15" ht="39" hidden="1">
      <c r="A170" s="173" t="s">
        <v>607</v>
      </c>
      <c r="B170" s="159" t="s">
        <v>539</v>
      </c>
      <c r="C170" s="159" t="s">
        <v>437</v>
      </c>
      <c r="D170" s="159" t="s">
        <v>385</v>
      </c>
      <c r="E170" s="159" t="s">
        <v>618</v>
      </c>
      <c r="F170" s="159" t="s">
        <v>608</v>
      </c>
      <c r="G170" s="360"/>
      <c r="H170" s="357"/>
      <c r="I170" s="360"/>
      <c r="J170" s="170"/>
      <c r="K170" s="170"/>
      <c r="L170" s="170"/>
      <c r="M170" s="170"/>
      <c r="N170" s="170">
        <f>SUM(L170:M170)</f>
        <v>0</v>
      </c>
      <c r="O170" s="170"/>
    </row>
    <row r="171" spans="1:15" ht="26.25">
      <c r="A171" s="204" t="s">
        <v>621</v>
      </c>
      <c r="B171" s="168" t="s">
        <v>53</v>
      </c>
      <c r="C171" s="168"/>
      <c r="D171" s="168"/>
      <c r="E171" s="168"/>
      <c r="F171" s="168"/>
      <c r="G171" s="377" t="e">
        <f>G172+G225+G248+G257</f>
        <v>#REF!</v>
      </c>
      <c r="H171" s="378" t="e">
        <f>H172+H225+H248+H257+H240</f>
        <v>#REF!</v>
      </c>
      <c r="I171" s="378" t="e">
        <f>I172+I225+I248+I257+I240</f>
        <v>#REF!</v>
      </c>
      <c r="J171" s="353" t="e">
        <f>J172+J225+J248+J257+J240+J217</f>
        <v>#REF!</v>
      </c>
      <c r="K171" s="353" t="e">
        <f>K172+K225+K248+K257+K240+K217</f>
        <v>#REF!</v>
      </c>
      <c r="L171" s="161">
        <f>L172+L213+L229+L240+L221+L204+L257+L263+L199+L236</f>
        <v>60626.979999999996</v>
      </c>
      <c r="M171" s="161">
        <f>M172+M213+M229+M240+M221+M204+M257+M263+M199+M236</f>
        <v>-26652.28</v>
      </c>
      <c r="N171" s="161">
        <f>N172+N213+N229+N240+N221+N204+N257+N263+N199+N236</f>
        <v>33974.700000000004</v>
      </c>
      <c r="O171" s="161">
        <f>O172+O213+O229+O240+O221+O204+O257+O263+O199+O236</f>
        <v>33856.9</v>
      </c>
    </row>
    <row r="172" spans="1:15" ht="15">
      <c r="A172" s="167" t="s">
        <v>622</v>
      </c>
      <c r="B172" s="168" t="s">
        <v>53</v>
      </c>
      <c r="C172" s="168" t="s">
        <v>382</v>
      </c>
      <c r="D172" s="159"/>
      <c r="E172" s="159"/>
      <c r="F172" s="159"/>
      <c r="G172" s="359">
        <f>G184+G192+G202+G210+G173</f>
        <v>-820.87</v>
      </c>
      <c r="H172" s="359">
        <f>H184+H192+H202+H210+H173</f>
        <v>4592.6</v>
      </c>
      <c r="I172" s="359">
        <f>I184+I192+I202+I210+I173</f>
        <v>0</v>
      </c>
      <c r="J172" s="355">
        <f>J184+J192+J202+J173+J198+J207</f>
        <v>-578.496</v>
      </c>
      <c r="K172" s="355" t="e">
        <f>K184+K192+K202+K173+K198+K207</f>
        <v>#REF!</v>
      </c>
      <c r="L172" s="161">
        <f>L173+L179+L188+L193</f>
        <v>4252.0599999999995</v>
      </c>
      <c r="M172" s="161">
        <f>M173+M179+M188+M193</f>
        <v>-12.899999999999551</v>
      </c>
      <c r="N172" s="161">
        <f>N173+N179+N188+N193</f>
        <v>4239.160000000001</v>
      </c>
      <c r="O172" s="161">
        <f>O173+O179+O188+O193</f>
        <v>4142.580000000001</v>
      </c>
    </row>
    <row r="173" spans="1:15" ht="64.5">
      <c r="A173" s="229" t="s">
        <v>623</v>
      </c>
      <c r="B173" s="168" t="s">
        <v>53</v>
      </c>
      <c r="C173" s="168" t="s">
        <v>382</v>
      </c>
      <c r="D173" s="168" t="s">
        <v>385</v>
      </c>
      <c r="E173" s="159"/>
      <c r="F173" s="159"/>
      <c r="G173" s="348">
        <f>G174</f>
        <v>0.4</v>
      </c>
      <c r="H173" s="365">
        <f>H174+H179</f>
        <v>0</v>
      </c>
      <c r="I173" s="365">
        <f>I174+I179</f>
        <v>0</v>
      </c>
      <c r="J173" s="355">
        <f>J174+J179+J177+J181</f>
        <v>-50</v>
      </c>
      <c r="K173" s="355" t="e">
        <f>K174+K179+K177+K181</f>
        <v>#REF!</v>
      </c>
      <c r="L173" s="161">
        <f>L174+L176</f>
        <v>726.84</v>
      </c>
      <c r="M173" s="161">
        <f>M174+M176</f>
        <v>-0.5</v>
      </c>
      <c r="N173" s="161">
        <f>N174+N176</f>
        <v>726.34</v>
      </c>
      <c r="O173" s="161">
        <f>O174+O176</f>
        <v>729.76</v>
      </c>
    </row>
    <row r="174" spans="1:15" ht="51.75">
      <c r="A174" s="173" t="s">
        <v>624</v>
      </c>
      <c r="B174" s="159" t="s">
        <v>53</v>
      </c>
      <c r="C174" s="159" t="s">
        <v>382</v>
      </c>
      <c r="D174" s="159" t="s">
        <v>385</v>
      </c>
      <c r="E174" s="159" t="s">
        <v>625</v>
      </c>
      <c r="F174" s="159"/>
      <c r="G174" s="359">
        <f>G175</f>
        <v>0.4</v>
      </c>
      <c r="H174" s="359">
        <f aca="true" t="shared" si="30" ref="H174:O174">H175</f>
        <v>0</v>
      </c>
      <c r="I174" s="359">
        <f t="shared" si="30"/>
        <v>0</v>
      </c>
      <c r="J174" s="355">
        <f t="shared" si="30"/>
        <v>0</v>
      </c>
      <c r="K174" s="355" t="e">
        <f t="shared" si="30"/>
        <v>#REF!</v>
      </c>
      <c r="L174" s="170">
        <f t="shared" si="30"/>
        <v>0.5</v>
      </c>
      <c r="M174" s="170">
        <f t="shared" si="30"/>
        <v>-0.5</v>
      </c>
      <c r="N174" s="170">
        <f t="shared" si="30"/>
        <v>0</v>
      </c>
      <c r="O174" s="170">
        <f t="shared" si="30"/>
        <v>0</v>
      </c>
    </row>
    <row r="175" spans="1:16" ht="26.25">
      <c r="A175" s="230" t="s">
        <v>493</v>
      </c>
      <c r="B175" s="159" t="s">
        <v>53</v>
      </c>
      <c r="C175" s="159" t="s">
        <v>382</v>
      </c>
      <c r="D175" s="159" t="s">
        <v>385</v>
      </c>
      <c r="E175" s="159" t="s">
        <v>625</v>
      </c>
      <c r="F175" s="159" t="s">
        <v>494</v>
      </c>
      <c r="G175" s="359">
        <v>0.4</v>
      </c>
      <c r="H175" s="357"/>
      <c r="I175" s="359"/>
      <c r="J175" s="355"/>
      <c r="K175" s="170" t="e">
        <f>#REF!+J175</f>
        <v>#REF!</v>
      </c>
      <c r="L175" s="170">
        <v>0.5</v>
      </c>
      <c r="M175" s="170">
        <v>-0.5</v>
      </c>
      <c r="N175" s="170">
        <f>L175+M175</f>
        <v>0</v>
      </c>
      <c r="O175" s="161"/>
      <c r="P175" s="150">
        <v>0.5</v>
      </c>
    </row>
    <row r="176" spans="1:15" ht="51.75">
      <c r="A176" s="179" t="s">
        <v>627</v>
      </c>
      <c r="B176" s="159" t="s">
        <v>53</v>
      </c>
      <c r="C176" s="159" t="s">
        <v>382</v>
      </c>
      <c r="D176" s="159" t="s">
        <v>385</v>
      </c>
      <c r="E176" s="159" t="s">
        <v>543</v>
      </c>
      <c r="F176" s="159"/>
      <c r="G176" s="359"/>
      <c r="H176" s="357"/>
      <c r="I176" s="359"/>
      <c r="J176" s="355"/>
      <c r="K176" s="170"/>
      <c r="L176" s="170">
        <f>L177+L178</f>
        <v>726.34</v>
      </c>
      <c r="M176" s="170">
        <f>M177+M178</f>
        <v>0</v>
      </c>
      <c r="N176" s="170">
        <f>N177+N178</f>
        <v>726.34</v>
      </c>
      <c r="O176" s="170">
        <f>O177+O178</f>
        <v>729.76</v>
      </c>
    </row>
    <row r="177" spans="1:15" ht="25.5">
      <c r="A177" s="213" t="s">
        <v>584</v>
      </c>
      <c r="B177" s="159" t="s">
        <v>53</v>
      </c>
      <c r="C177" s="159" t="s">
        <v>382</v>
      </c>
      <c r="D177" s="159" t="s">
        <v>385</v>
      </c>
      <c r="E177" s="159" t="s">
        <v>545</v>
      </c>
      <c r="F177" s="159" t="s">
        <v>585</v>
      </c>
      <c r="G177" s="359"/>
      <c r="H177" s="357"/>
      <c r="I177" s="359"/>
      <c r="J177" s="170">
        <f>J178</f>
        <v>-50</v>
      </c>
      <c r="K177" s="170" t="e">
        <f>K178</f>
        <v>#REF!</v>
      </c>
      <c r="L177" s="170"/>
      <c r="M177" s="170">
        <v>726.34</v>
      </c>
      <c r="N177" s="170">
        <f>SUM(L177:M177)</f>
        <v>726.34</v>
      </c>
      <c r="O177" s="170">
        <v>729.76</v>
      </c>
    </row>
    <row r="178" spans="1:16" ht="26.25">
      <c r="A178" s="230" t="s">
        <v>487</v>
      </c>
      <c r="B178" s="159" t="s">
        <v>53</v>
      </c>
      <c r="C178" s="159" t="s">
        <v>382</v>
      </c>
      <c r="D178" s="159" t="s">
        <v>385</v>
      </c>
      <c r="E178" s="159" t="s">
        <v>545</v>
      </c>
      <c r="F178" s="159" t="s">
        <v>485</v>
      </c>
      <c r="G178" s="359"/>
      <c r="H178" s="357"/>
      <c r="I178" s="359"/>
      <c r="J178" s="355">
        <f>-50</f>
        <v>-50</v>
      </c>
      <c r="K178" s="170" t="e">
        <f>#REF!+J178</f>
        <v>#REF!</v>
      </c>
      <c r="L178" s="170">
        <v>726.34</v>
      </c>
      <c r="M178" s="170">
        <v>-726.34</v>
      </c>
      <c r="N178" s="170">
        <f>L178+M178</f>
        <v>0</v>
      </c>
      <c r="O178" s="170"/>
      <c r="P178" s="184" t="e">
        <f>#REF!-L178</f>
        <v>#REF!</v>
      </c>
    </row>
    <row r="179" spans="1:15" ht="39">
      <c r="A179" s="231" t="s">
        <v>626</v>
      </c>
      <c r="B179" s="168" t="s">
        <v>53</v>
      </c>
      <c r="C179" s="168" t="s">
        <v>382</v>
      </c>
      <c r="D179" s="168" t="s">
        <v>388</v>
      </c>
      <c r="E179" s="168"/>
      <c r="F179" s="168"/>
      <c r="G179" s="359"/>
      <c r="H179" s="357">
        <f aca="true" t="shared" si="31" ref="H179:O179">H180</f>
        <v>0</v>
      </c>
      <c r="I179" s="357">
        <f t="shared" si="31"/>
        <v>0</v>
      </c>
      <c r="J179" s="170">
        <f t="shared" si="31"/>
        <v>0</v>
      </c>
      <c r="K179" s="170" t="e">
        <f t="shared" si="31"/>
        <v>#REF!</v>
      </c>
      <c r="L179" s="161">
        <f t="shared" si="31"/>
        <v>3092.22</v>
      </c>
      <c r="M179" s="161">
        <f t="shared" si="31"/>
        <v>-99.99999999999955</v>
      </c>
      <c r="N179" s="161">
        <f t="shared" si="31"/>
        <v>2992.2200000000003</v>
      </c>
      <c r="O179" s="161">
        <f t="shared" si="31"/>
        <v>2992.2200000000003</v>
      </c>
    </row>
    <row r="180" spans="1:15" ht="51.75">
      <c r="A180" s="179" t="s">
        <v>627</v>
      </c>
      <c r="B180" s="159" t="s">
        <v>53</v>
      </c>
      <c r="C180" s="159" t="s">
        <v>382</v>
      </c>
      <c r="D180" s="159" t="s">
        <v>388</v>
      </c>
      <c r="E180" s="159" t="s">
        <v>543</v>
      </c>
      <c r="F180" s="159"/>
      <c r="G180" s="359"/>
      <c r="H180" s="357"/>
      <c r="I180" s="359"/>
      <c r="J180" s="355"/>
      <c r="K180" s="170" t="e">
        <f>#REF!+J180</f>
        <v>#REF!</v>
      </c>
      <c r="L180" s="170">
        <f>L181+L182+L183+L184+L185+L186+L187</f>
        <v>3092.22</v>
      </c>
      <c r="M180" s="170">
        <f>M181+M182+M183+M184+M185+M186+M187</f>
        <v>-99.99999999999955</v>
      </c>
      <c r="N180" s="170">
        <f>N181+N182+N183+N184+N185+N186+N187</f>
        <v>2992.2200000000003</v>
      </c>
      <c r="O180" s="170">
        <f>O181+O182+O183+O184+O185+O186+O187</f>
        <v>2992.2200000000003</v>
      </c>
    </row>
    <row r="181" spans="1:15" ht="20.25" customHeight="1">
      <c r="A181" s="213" t="s">
        <v>584</v>
      </c>
      <c r="B181" s="159" t="s">
        <v>53</v>
      </c>
      <c r="C181" s="159" t="s">
        <v>382</v>
      </c>
      <c r="D181" s="159" t="s">
        <v>388</v>
      </c>
      <c r="E181" s="159" t="s">
        <v>545</v>
      </c>
      <c r="F181" s="159" t="s">
        <v>585</v>
      </c>
      <c r="G181" s="359"/>
      <c r="H181" s="357"/>
      <c r="I181" s="359"/>
      <c r="J181" s="170">
        <f>J182</f>
        <v>0</v>
      </c>
      <c r="K181" s="170" t="e">
        <f>K182</f>
        <v>#REF!</v>
      </c>
      <c r="L181" s="170"/>
      <c r="M181" s="170">
        <v>2490.82</v>
      </c>
      <c r="N181" s="170">
        <f>SUM(L181:M181)</f>
        <v>2490.82</v>
      </c>
      <c r="O181" s="170">
        <v>2490.82</v>
      </c>
    </row>
    <row r="182" spans="1:15" ht="27" customHeight="1">
      <c r="A182" s="213" t="s">
        <v>587</v>
      </c>
      <c r="B182" s="159" t="s">
        <v>53</v>
      </c>
      <c r="C182" s="159" t="s">
        <v>382</v>
      </c>
      <c r="D182" s="159" t="s">
        <v>388</v>
      </c>
      <c r="E182" s="159" t="s">
        <v>545</v>
      </c>
      <c r="F182" s="159" t="s">
        <v>588</v>
      </c>
      <c r="G182" s="359"/>
      <c r="H182" s="357"/>
      <c r="I182" s="359"/>
      <c r="J182" s="355"/>
      <c r="K182" s="170" t="e">
        <f>#REF!+J182</f>
        <v>#REF!</v>
      </c>
      <c r="L182" s="170"/>
      <c r="M182" s="170">
        <v>27</v>
      </c>
      <c r="N182" s="170">
        <f>SUM(L182:M182)</f>
        <v>27</v>
      </c>
      <c r="O182" s="170">
        <v>27</v>
      </c>
    </row>
    <row r="183" spans="1:15" ht="40.5" customHeight="1">
      <c r="A183" s="213" t="s">
        <v>591</v>
      </c>
      <c r="B183" s="159" t="s">
        <v>53</v>
      </c>
      <c r="C183" s="159" t="s">
        <v>382</v>
      </c>
      <c r="D183" s="159" t="s">
        <v>388</v>
      </c>
      <c r="E183" s="159" t="s">
        <v>545</v>
      </c>
      <c r="F183" s="159" t="s">
        <v>592</v>
      </c>
      <c r="G183" s="359"/>
      <c r="H183" s="357"/>
      <c r="I183" s="359"/>
      <c r="J183" s="355"/>
      <c r="K183" s="170"/>
      <c r="L183" s="170"/>
      <c r="M183" s="170">
        <v>200</v>
      </c>
      <c r="N183" s="170">
        <f>SUM(L183:M183)</f>
        <v>200</v>
      </c>
      <c r="O183" s="170">
        <v>200</v>
      </c>
    </row>
    <row r="184" spans="1:15" s="232" customFormat="1" ht="38.25">
      <c r="A184" s="213" t="s">
        <v>577</v>
      </c>
      <c r="B184" s="159" t="s">
        <v>53</v>
      </c>
      <c r="C184" s="159" t="s">
        <v>382</v>
      </c>
      <c r="D184" s="159" t="s">
        <v>388</v>
      </c>
      <c r="E184" s="159" t="s">
        <v>545</v>
      </c>
      <c r="F184" s="159" t="s">
        <v>579</v>
      </c>
      <c r="G184" s="348">
        <f>G185</f>
        <v>412.31000000000006</v>
      </c>
      <c r="H184" s="348">
        <f>H185</f>
        <v>2981.6</v>
      </c>
      <c r="I184" s="348">
        <f>I185</f>
        <v>0</v>
      </c>
      <c r="J184" s="161">
        <f>J185</f>
        <v>-205.496</v>
      </c>
      <c r="K184" s="161" t="e">
        <f>K185</f>
        <v>#REF!</v>
      </c>
      <c r="L184" s="170"/>
      <c r="M184" s="170">
        <v>264.4</v>
      </c>
      <c r="N184" s="170">
        <f>SUM(L184:M184)</f>
        <v>264.4</v>
      </c>
      <c r="O184" s="170">
        <v>264.4</v>
      </c>
    </row>
    <row r="185" spans="1:15" ht="26.25">
      <c r="A185" s="230" t="s">
        <v>487</v>
      </c>
      <c r="B185" s="159" t="s">
        <v>53</v>
      </c>
      <c r="C185" s="159" t="s">
        <v>382</v>
      </c>
      <c r="D185" s="159" t="s">
        <v>388</v>
      </c>
      <c r="E185" s="159" t="s">
        <v>545</v>
      </c>
      <c r="F185" s="159" t="s">
        <v>485</v>
      </c>
      <c r="G185" s="360">
        <f>G186+G187</f>
        <v>412.31000000000006</v>
      </c>
      <c r="H185" s="360">
        <f>H186+H187</f>
        <v>2981.6</v>
      </c>
      <c r="I185" s="360">
        <f>I186+I187</f>
        <v>0</v>
      </c>
      <c r="J185" s="376">
        <f>J186+J187+J188+J189+J191+J196+J190+J197</f>
        <v>-205.496</v>
      </c>
      <c r="K185" s="376" t="e">
        <f>K186+K187+K188+K189+K191+K196+K190+K197</f>
        <v>#REF!</v>
      </c>
      <c r="L185" s="170">
        <v>3092.22</v>
      </c>
      <c r="M185" s="170">
        <v>-3092.22</v>
      </c>
      <c r="N185" s="170">
        <f>L185+M185</f>
        <v>0</v>
      </c>
      <c r="O185" s="170"/>
    </row>
    <row r="186" spans="1:15" ht="28.5" customHeight="1">
      <c r="A186" s="213" t="s">
        <v>593</v>
      </c>
      <c r="B186" s="159" t="s">
        <v>53</v>
      </c>
      <c r="C186" s="159" t="s">
        <v>382</v>
      </c>
      <c r="D186" s="159" t="s">
        <v>388</v>
      </c>
      <c r="E186" s="159" t="s">
        <v>545</v>
      </c>
      <c r="F186" s="159" t="s">
        <v>594</v>
      </c>
      <c r="G186" s="360">
        <v>-0.4</v>
      </c>
      <c r="H186" s="357">
        <v>2981.6</v>
      </c>
      <c r="I186" s="360"/>
      <c r="J186" s="170"/>
      <c r="K186" s="170" t="e">
        <f>#REF!+J186</f>
        <v>#REF!</v>
      </c>
      <c r="L186" s="170"/>
      <c r="M186" s="170">
        <v>5</v>
      </c>
      <c r="N186" s="170">
        <f>M186+L186</f>
        <v>5</v>
      </c>
      <c r="O186" s="170">
        <v>5</v>
      </c>
    </row>
    <row r="187" spans="1:16" ht="25.5">
      <c r="A187" s="213" t="s">
        <v>595</v>
      </c>
      <c r="B187" s="159" t="s">
        <v>53</v>
      </c>
      <c r="C187" s="159" t="s">
        <v>382</v>
      </c>
      <c r="D187" s="159" t="s">
        <v>388</v>
      </c>
      <c r="E187" s="159" t="s">
        <v>545</v>
      </c>
      <c r="F187" s="159" t="s">
        <v>596</v>
      </c>
      <c r="G187" s="360">
        <f>50+360+80+3.47-0.01-80-3.47+2.72</f>
        <v>412.71000000000004</v>
      </c>
      <c r="H187" s="357"/>
      <c r="I187" s="360"/>
      <c r="J187" s="170">
        <f>-205.496</f>
        <v>-205.496</v>
      </c>
      <c r="K187" s="170" t="e">
        <f>#REF!+J187</f>
        <v>#REF!</v>
      </c>
      <c r="L187" s="170"/>
      <c r="M187" s="170">
        <v>5</v>
      </c>
      <c r="N187" s="170">
        <f>M187+L187</f>
        <v>5</v>
      </c>
      <c r="O187" s="170">
        <v>5</v>
      </c>
      <c r="P187" s="184" t="e">
        <f>#REF!-L187</f>
        <v>#REF!</v>
      </c>
    </row>
    <row r="188" spans="1:16" ht="15">
      <c r="A188" s="179" t="s">
        <v>391</v>
      </c>
      <c r="B188" s="168" t="s">
        <v>53</v>
      </c>
      <c r="C188" s="168" t="s">
        <v>382</v>
      </c>
      <c r="D188" s="168" t="s">
        <v>392</v>
      </c>
      <c r="E188" s="168"/>
      <c r="F188" s="168"/>
      <c r="G188" s="360"/>
      <c r="H188" s="357"/>
      <c r="I188" s="360"/>
      <c r="J188" s="170"/>
      <c r="K188" s="170"/>
      <c r="L188" s="161">
        <f aca="true" t="shared" si="32" ref="L188:O189">L189</f>
        <v>433</v>
      </c>
      <c r="M188" s="161">
        <f t="shared" si="32"/>
        <v>-100</v>
      </c>
      <c r="N188" s="161">
        <f t="shared" si="32"/>
        <v>333</v>
      </c>
      <c r="O188" s="161">
        <f t="shared" si="32"/>
        <v>233</v>
      </c>
      <c r="P188" s="184"/>
    </row>
    <row r="189" spans="1:16" ht="15">
      <c r="A189" s="179" t="s">
        <v>391</v>
      </c>
      <c r="B189" s="159" t="s">
        <v>53</v>
      </c>
      <c r="C189" s="159" t="s">
        <v>382</v>
      </c>
      <c r="D189" s="159" t="s">
        <v>392</v>
      </c>
      <c r="E189" s="159" t="s">
        <v>633</v>
      </c>
      <c r="F189" s="159"/>
      <c r="G189" s="360"/>
      <c r="H189" s="357"/>
      <c r="I189" s="360"/>
      <c r="J189" s="170"/>
      <c r="K189" s="170"/>
      <c r="L189" s="170">
        <f t="shared" si="32"/>
        <v>433</v>
      </c>
      <c r="M189" s="170">
        <f t="shared" si="32"/>
        <v>-100</v>
      </c>
      <c r="N189" s="170">
        <f t="shared" si="32"/>
        <v>333</v>
      </c>
      <c r="O189" s="170">
        <f t="shared" si="32"/>
        <v>233</v>
      </c>
      <c r="P189" s="184"/>
    </row>
    <row r="190" spans="1:16" ht="17.25" customHeight="1">
      <c r="A190" s="179" t="s">
        <v>634</v>
      </c>
      <c r="B190" s="159" t="s">
        <v>53</v>
      </c>
      <c r="C190" s="159" t="s">
        <v>382</v>
      </c>
      <c r="D190" s="159" t="s">
        <v>392</v>
      </c>
      <c r="E190" s="159" t="s">
        <v>635</v>
      </c>
      <c r="F190" s="159"/>
      <c r="G190" s="360"/>
      <c r="H190" s="357"/>
      <c r="I190" s="360"/>
      <c r="J190" s="170"/>
      <c r="K190" s="170"/>
      <c r="L190" s="170">
        <f>L191+L192</f>
        <v>433</v>
      </c>
      <c r="M190" s="170">
        <f>M191+M192</f>
        <v>-100</v>
      </c>
      <c r="N190" s="170">
        <f>N191+N192</f>
        <v>333</v>
      </c>
      <c r="O190" s="170">
        <f>O191+O192</f>
        <v>233</v>
      </c>
      <c r="P190" s="184"/>
    </row>
    <row r="191" spans="1:16" ht="15">
      <c r="A191" s="179" t="s">
        <v>631</v>
      </c>
      <c r="B191" s="159" t="s">
        <v>53</v>
      </c>
      <c r="C191" s="159" t="s">
        <v>382</v>
      </c>
      <c r="D191" s="159" t="s">
        <v>392</v>
      </c>
      <c r="E191" s="159" t="s">
        <v>635</v>
      </c>
      <c r="F191" s="159" t="s">
        <v>632</v>
      </c>
      <c r="G191" s="360"/>
      <c r="H191" s="357"/>
      <c r="I191" s="360"/>
      <c r="J191" s="170"/>
      <c r="K191" s="170"/>
      <c r="L191" s="170">
        <v>433</v>
      </c>
      <c r="M191" s="170">
        <v>-433</v>
      </c>
      <c r="N191" s="170">
        <f>L191+M191</f>
        <v>0</v>
      </c>
      <c r="O191" s="170"/>
      <c r="P191" s="184"/>
    </row>
    <row r="192" spans="1:15" s="232" customFormat="1" ht="14.25">
      <c r="A192" s="179" t="s">
        <v>636</v>
      </c>
      <c r="B192" s="159" t="s">
        <v>53</v>
      </c>
      <c r="C192" s="159" t="s">
        <v>382</v>
      </c>
      <c r="D192" s="159" t="s">
        <v>392</v>
      </c>
      <c r="E192" s="159" t="s">
        <v>635</v>
      </c>
      <c r="F192" s="159" t="s">
        <v>637</v>
      </c>
      <c r="G192" s="348">
        <f aca="true" t="shared" si="33" ref="G192:K194">G193</f>
        <v>0</v>
      </c>
      <c r="H192" s="348">
        <f t="shared" si="33"/>
        <v>63</v>
      </c>
      <c r="I192" s="348">
        <f t="shared" si="33"/>
        <v>0</v>
      </c>
      <c r="J192" s="161">
        <f t="shared" si="33"/>
        <v>0</v>
      </c>
      <c r="K192" s="161" t="e">
        <f t="shared" si="33"/>
        <v>#REF!</v>
      </c>
      <c r="L192" s="170"/>
      <c r="M192" s="170">
        <v>333</v>
      </c>
      <c r="N192" s="170">
        <f>L192+M192</f>
        <v>333</v>
      </c>
      <c r="O192" s="170">
        <v>233</v>
      </c>
    </row>
    <row r="193" spans="1:15" ht="15">
      <c r="A193" s="233" t="s">
        <v>395</v>
      </c>
      <c r="B193" s="234" t="s">
        <v>53</v>
      </c>
      <c r="C193" s="234" t="s">
        <v>382</v>
      </c>
      <c r="D193" s="234" t="s">
        <v>394</v>
      </c>
      <c r="E193" s="159"/>
      <c r="F193" s="159"/>
      <c r="G193" s="360">
        <f t="shared" si="33"/>
        <v>0</v>
      </c>
      <c r="H193" s="360">
        <f t="shared" si="33"/>
        <v>63</v>
      </c>
      <c r="I193" s="360">
        <f t="shared" si="33"/>
        <v>0</v>
      </c>
      <c r="J193" s="170">
        <f t="shared" si="33"/>
        <v>0</v>
      </c>
      <c r="K193" s="170" t="e">
        <f t="shared" si="33"/>
        <v>#REF!</v>
      </c>
      <c r="L193" s="170">
        <f>L194</f>
        <v>0</v>
      </c>
      <c r="M193" s="170">
        <f>M194</f>
        <v>187.6</v>
      </c>
      <c r="N193" s="170">
        <f>N194</f>
        <v>187.6</v>
      </c>
      <c r="O193" s="170">
        <f>O194</f>
        <v>187.6</v>
      </c>
    </row>
    <row r="194" spans="1:15" ht="25.5">
      <c r="A194" s="440" t="s">
        <v>759</v>
      </c>
      <c r="B194" s="221" t="s">
        <v>53</v>
      </c>
      <c r="C194" s="221" t="s">
        <v>382</v>
      </c>
      <c r="D194" s="221" t="s">
        <v>394</v>
      </c>
      <c r="E194" s="159" t="s">
        <v>979</v>
      </c>
      <c r="F194" s="159"/>
      <c r="G194" s="360">
        <f t="shared" si="33"/>
        <v>0</v>
      </c>
      <c r="H194" s="360">
        <f t="shared" si="33"/>
        <v>63</v>
      </c>
      <c r="I194" s="360">
        <f t="shared" si="33"/>
        <v>0</v>
      </c>
      <c r="J194" s="170">
        <f t="shared" si="33"/>
        <v>0</v>
      </c>
      <c r="K194" s="170" t="e">
        <f t="shared" si="33"/>
        <v>#REF!</v>
      </c>
      <c r="L194" s="170">
        <f>L195+L197</f>
        <v>0</v>
      </c>
      <c r="M194" s="170">
        <f>M195+M197</f>
        <v>187.6</v>
      </c>
      <c r="N194" s="170">
        <f>N195+N197</f>
        <v>187.6</v>
      </c>
      <c r="O194" s="170">
        <f>O195+O197</f>
        <v>187.6</v>
      </c>
    </row>
    <row r="195" spans="1:15" ht="51.75">
      <c r="A195" s="173" t="s">
        <v>624</v>
      </c>
      <c r="B195" s="159" t="s">
        <v>53</v>
      </c>
      <c r="C195" s="159" t="s">
        <v>382</v>
      </c>
      <c r="D195" s="159" t="s">
        <v>394</v>
      </c>
      <c r="E195" s="159" t="s">
        <v>625</v>
      </c>
      <c r="F195" s="159"/>
      <c r="G195" s="360"/>
      <c r="H195" s="357">
        <v>63</v>
      </c>
      <c r="I195" s="360"/>
      <c r="J195" s="170"/>
      <c r="K195" s="170" t="e">
        <f>#REF!+J195</f>
        <v>#REF!</v>
      </c>
      <c r="L195" s="170">
        <f>L196</f>
        <v>0</v>
      </c>
      <c r="M195" s="170">
        <f>M196</f>
        <v>0.5</v>
      </c>
      <c r="N195" s="170">
        <f>N196</f>
        <v>0.5</v>
      </c>
      <c r="O195" s="170">
        <f>O196</f>
        <v>0.5</v>
      </c>
    </row>
    <row r="196" spans="1:15" ht="30" customHeight="1">
      <c r="A196" s="213" t="s">
        <v>577</v>
      </c>
      <c r="B196" s="159" t="s">
        <v>53</v>
      </c>
      <c r="C196" s="159" t="s">
        <v>382</v>
      </c>
      <c r="D196" s="159" t="s">
        <v>394</v>
      </c>
      <c r="E196" s="159" t="s">
        <v>625</v>
      </c>
      <c r="F196" s="159" t="s">
        <v>579</v>
      </c>
      <c r="G196" s="360"/>
      <c r="H196" s="357"/>
      <c r="I196" s="360"/>
      <c r="J196" s="170"/>
      <c r="K196" s="170"/>
      <c r="L196" s="170"/>
      <c r="M196" s="170">
        <v>0.5</v>
      </c>
      <c r="N196" s="170">
        <f>SUM(L196:M196)</f>
        <v>0.5</v>
      </c>
      <c r="O196" s="170">
        <v>0.5</v>
      </c>
    </row>
    <row r="197" spans="1:15" ht="76.5">
      <c r="A197" s="235" t="s">
        <v>638</v>
      </c>
      <c r="B197" s="221" t="s">
        <v>53</v>
      </c>
      <c r="C197" s="221" t="s">
        <v>382</v>
      </c>
      <c r="D197" s="221" t="s">
        <v>394</v>
      </c>
      <c r="E197" s="221" t="s">
        <v>639</v>
      </c>
      <c r="F197" s="159"/>
      <c r="G197" s="360"/>
      <c r="H197" s="357"/>
      <c r="I197" s="360"/>
      <c r="J197" s="170"/>
      <c r="K197" s="170"/>
      <c r="L197" s="170">
        <f>L198</f>
        <v>0</v>
      </c>
      <c r="M197" s="170">
        <f>M198</f>
        <v>187.1</v>
      </c>
      <c r="N197" s="170">
        <f>N198</f>
        <v>187.1</v>
      </c>
      <c r="O197" s="170">
        <f>O198</f>
        <v>187.1</v>
      </c>
    </row>
    <row r="198" spans="1:15" ht="16.5" customHeight="1">
      <c r="A198" s="213" t="s">
        <v>584</v>
      </c>
      <c r="B198" s="221" t="s">
        <v>53</v>
      </c>
      <c r="C198" s="221" t="s">
        <v>382</v>
      </c>
      <c r="D198" s="221" t="s">
        <v>394</v>
      </c>
      <c r="E198" s="221" t="s">
        <v>639</v>
      </c>
      <c r="F198" s="159" t="s">
        <v>585</v>
      </c>
      <c r="G198" s="360"/>
      <c r="H198" s="357"/>
      <c r="I198" s="360"/>
      <c r="J198" s="170"/>
      <c r="K198" s="170"/>
      <c r="L198" s="170"/>
      <c r="M198" s="170">
        <v>187.1</v>
      </c>
      <c r="N198" s="170">
        <f>L198+M198</f>
        <v>187.1</v>
      </c>
      <c r="O198" s="170">
        <v>187.1</v>
      </c>
    </row>
    <row r="199" spans="1:15" ht="15">
      <c r="A199" s="231" t="s">
        <v>397</v>
      </c>
      <c r="B199" s="168" t="s">
        <v>53</v>
      </c>
      <c r="C199" s="168" t="s">
        <v>383</v>
      </c>
      <c r="D199" s="168"/>
      <c r="E199" s="168"/>
      <c r="F199" s="168"/>
      <c r="G199" s="360"/>
      <c r="H199" s="357"/>
      <c r="I199" s="360"/>
      <c r="J199" s="170"/>
      <c r="K199" s="170"/>
      <c r="L199" s="161">
        <f aca="true" t="shared" si="34" ref="L199:O200">L200</f>
        <v>567.6</v>
      </c>
      <c r="M199" s="161">
        <f t="shared" si="34"/>
        <v>-3</v>
      </c>
      <c r="N199" s="161">
        <f t="shared" si="34"/>
        <v>564.6</v>
      </c>
      <c r="O199" s="161">
        <f t="shared" si="34"/>
        <v>581.2</v>
      </c>
    </row>
    <row r="200" spans="1:15" s="232" customFormat="1" ht="25.5">
      <c r="A200" s="167" t="s">
        <v>642</v>
      </c>
      <c r="B200" s="168" t="s">
        <v>53</v>
      </c>
      <c r="C200" s="168" t="s">
        <v>383</v>
      </c>
      <c r="D200" s="168" t="s">
        <v>384</v>
      </c>
      <c r="E200" s="168"/>
      <c r="F200" s="168"/>
      <c r="G200" s="348"/>
      <c r="H200" s="365"/>
      <c r="I200" s="348"/>
      <c r="J200" s="161"/>
      <c r="K200" s="161"/>
      <c r="L200" s="161">
        <f t="shared" si="34"/>
        <v>567.6</v>
      </c>
      <c r="M200" s="161">
        <f t="shared" si="34"/>
        <v>-3</v>
      </c>
      <c r="N200" s="161">
        <f t="shared" si="34"/>
        <v>564.6</v>
      </c>
      <c r="O200" s="161">
        <f t="shared" si="34"/>
        <v>581.2</v>
      </c>
    </row>
    <row r="201" spans="1:15" ht="39">
      <c r="A201" s="173" t="s">
        <v>643</v>
      </c>
      <c r="B201" s="159" t="s">
        <v>53</v>
      </c>
      <c r="C201" s="159" t="s">
        <v>383</v>
      </c>
      <c r="D201" s="159" t="s">
        <v>384</v>
      </c>
      <c r="E201" s="159" t="s">
        <v>644</v>
      </c>
      <c r="F201" s="159"/>
      <c r="G201" s="360"/>
      <c r="H201" s="357"/>
      <c r="I201" s="360"/>
      <c r="J201" s="170"/>
      <c r="K201" s="170"/>
      <c r="L201" s="170">
        <f>L202+L203</f>
        <v>567.6</v>
      </c>
      <c r="M201" s="170">
        <f>M202+M203</f>
        <v>-3</v>
      </c>
      <c r="N201" s="170">
        <f>N202+N203</f>
        <v>564.6</v>
      </c>
      <c r="O201" s="170">
        <f>O202+O203</f>
        <v>581.2</v>
      </c>
    </row>
    <row r="202" spans="1:15" s="232" customFormat="1" ht="14.25">
      <c r="A202" s="230" t="s">
        <v>645</v>
      </c>
      <c r="B202" s="159" t="s">
        <v>53</v>
      </c>
      <c r="C202" s="159" t="s">
        <v>383</v>
      </c>
      <c r="D202" s="159" t="s">
        <v>384</v>
      </c>
      <c r="E202" s="159" t="s">
        <v>644</v>
      </c>
      <c r="F202" s="159" t="s">
        <v>646</v>
      </c>
      <c r="G202" s="348">
        <f aca="true" t="shared" si="35" ref="G202:K204">G203</f>
        <v>-233.58</v>
      </c>
      <c r="H202" s="348">
        <f t="shared" si="35"/>
        <v>0</v>
      </c>
      <c r="I202" s="348">
        <f t="shared" si="35"/>
        <v>0</v>
      </c>
      <c r="J202" s="161">
        <f t="shared" si="35"/>
        <v>-323</v>
      </c>
      <c r="K202" s="161" t="e">
        <f t="shared" si="35"/>
        <v>#REF!</v>
      </c>
      <c r="L202" s="170">
        <v>567.6</v>
      </c>
      <c r="M202" s="170">
        <v>-567.6</v>
      </c>
      <c r="N202" s="170">
        <f>L202+M202</f>
        <v>0</v>
      </c>
      <c r="O202" s="170"/>
    </row>
    <row r="203" spans="1:15" ht="15">
      <c r="A203" s="236" t="s">
        <v>640</v>
      </c>
      <c r="B203" s="159" t="s">
        <v>53</v>
      </c>
      <c r="C203" s="159" t="s">
        <v>383</v>
      </c>
      <c r="D203" s="159" t="s">
        <v>384</v>
      </c>
      <c r="E203" s="159" t="s">
        <v>644</v>
      </c>
      <c r="F203" s="159" t="s">
        <v>647</v>
      </c>
      <c r="G203" s="360">
        <f t="shared" si="35"/>
        <v>-233.58</v>
      </c>
      <c r="H203" s="360">
        <f t="shared" si="35"/>
        <v>0</v>
      </c>
      <c r="I203" s="360">
        <f t="shared" si="35"/>
        <v>0</v>
      </c>
      <c r="J203" s="170">
        <f t="shared" si="35"/>
        <v>-323</v>
      </c>
      <c r="K203" s="170" t="e">
        <f t="shared" si="35"/>
        <v>#REF!</v>
      </c>
      <c r="L203" s="170"/>
      <c r="M203" s="170">
        <v>564.6</v>
      </c>
      <c r="N203" s="170">
        <f>L203+M203</f>
        <v>564.6</v>
      </c>
      <c r="O203" s="170">
        <v>581.2</v>
      </c>
    </row>
    <row r="204" spans="1:15" ht="26.25">
      <c r="A204" s="229" t="s">
        <v>400</v>
      </c>
      <c r="B204" s="168" t="s">
        <v>53</v>
      </c>
      <c r="C204" s="168" t="s">
        <v>384</v>
      </c>
      <c r="D204" s="159"/>
      <c r="E204" s="159"/>
      <c r="F204" s="159"/>
      <c r="G204" s="360">
        <f t="shared" si="35"/>
        <v>-233.58</v>
      </c>
      <c r="H204" s="360">
        <f t="shared" si="35"/>
        <v>0</v>
      </c>
      <c r="I204" s="360">
        <f t="shared" si="35"/>
        <v>0</v>
      </c>
      <c r="J204" s="170">
        <f t="shared" si="35"/>
        <v>-323</v>
      </c>
      <c r="K204" s="170" t="e">
        <f t="shared" si="35"/>
        <v>#REF!</v>
      </c>
      <c r="L204" s="161">
        <f>L205</f>
        <v>0</v>
      </c>
      <c r="M204" s="161">
        <f>M205</f>
        <v>0</v>
      </c>
      <c r="N204" s="161">
        <f>N205</f>
        <v>0</v>
      </c>
      <c r="O204" s="161">
        <f>O205</f>
        <v>0</v>
      </c>
    </row>
    <row r="205" spans="1:15" ht="15">
      <c r="A205" s="229" t="s">
        <v>402</v>
      </c>
      <c r="B205" s="168" t="s">
        <v>53</v>
      </c>
      <c r="C205" s="168" t="s">
        <v>384</v>
      </c>
      <c r="D205" s="168" t="s">
        <v>383</v>
      </c>
      <c r="E205" s="168"/>
      <c r="F205" s="168"/>
      <c r="G205" s="360">
        <f>-163.58-60-10</f>
        <v>-233.58</v>
      </c>
      <c r="H205" s="357"/>
      <c r="I205" s="360"/>
      <c r="J205" s="170">
        <f>-323</f>
        <v>-323</v>
      </c>
      <c r="K205" s="170" t="e">
        <f>#REF!+J205</f>
        <v>#REF!</v>
      </c>
      <c r="L205" s="161">
        <f>L207+L210</f>
        <v>0</v>
      </c>
      <c r="M205" s="161">
        <f>M207+M210</f>
        <v>0</v>
      </c>
      <c r="N205" s="161">
        <f>N207+N210</f>
        <v>0</v>
      </c>
      <c r="O205" s="161">
        <f>O207+O210</f>
        <v>0</v>
      </c>
    </row>
    <row r="206" spans="1:15" ht="15">
      <c r="A206" s="230" t="s">
        <v>835</v>
      </c>
      <c r="B206" s="159" t="s">
        <v>53</v>
      </c>
      <c r="C206" s="159" t="s">
        <v>384</v>
      </c>
      <c r="D206" s="159" t="s">
        <v>383</v>
      </c>
      <c r="E206" s="159" t="s">
        <v>761</v>
      </c>
      <c r="F206" s="159"/>
      <c r="G206" s="360"/>
      <c r="H206" s="357"/>
      <c r="I206" s="360"/>
      <c r="J206" s="170"/>
      <c r="K206" s="170"/>
      <c r="L206" s="170">
        <f>L207+L210</f>
        <v>0</v>
      </c>
      <c r="M206" s="170">
        <f>M207+M210</f>
        <v>0</v>
      </c>
      <c r="N206" s="170">
        <f>N207+N210</f>
        <v>0</v>
      </c>
      <c r="O206" s="170">
        <f>O207+O210</f>
        <v>0</v>
      </c>
    </row>
    <row r="207" spans="1:15" ht="38.25" hidden="1">
      <c r="A207" s="239" t="s">
        <v>648</v>
      </c>
      <c r="B207" s="159" t="s">
        <v>53</v>
      </c>
      <c r="C207" s="159" t="s">
        <v>384</v>
      </c>
      <c r="D207" s="159" t="s">
        <v>383</v>
      </c>
      <c r="E207" s="159" t="s">
        <v>649</v>
      </c>
      <c r="F207" s="159"/>
      <c r="G207" s="360"/>
      <c r="H207" s="357"/>
      <c r="I207" s="360"/>
      <c r="J207" s="170">
        <f>J208</f>
        <v>0</v>
      </c>
      <c r="K207" s="170">
        <f>K208</f>
        <v>0</v>
      </c>
      <c r="L207" s="170">
        <f>L208+L209</f>
        <v>0</v>
      </c>
      <c r="M207" s="170">
        <f>M208+M209</f>
        <v>0</v>
      </c>
      <c r="N207" s="170">
        <f>N208+N209</f>
        <v>0</v>
      </c>
      <c r="O207" s="170">
        <f>O208+O209</f>
        <v>0</v>
      </c>
    </row>
    <row r="208" spans="1:15" ht="26.25" hidden="1">
      <c r="A208" s="230" t="s">
        <v>487</v>
      </c>
      <c r="B208" s="159" t="s">
        <v>53</v>
      </c>
      <c r="C208" s="159" t="s">
        <v>384</v>
      </c>
      <c r="D208" s="159" t="s">
        <v>383</v>
      </c>
      <c r="E208" s="159" t="s">
        <v>649</v>
      </c>
      <c r="F208" s="159" t="s">
        <v>485</v>
      </c>
      <c r="G208" s="360"/>
      <c r="H208" s="357"/>
      <c r="I208" s="360"/>
      <c r="J208" s="170">
        <f>J209</f>
        <v>0</v>
      </c>
      <c r="K208" s="170">
        <f>K209</f>
        <v>0</v>
      </c>
      <c r="L208" s="170"/>
      <c r="M208" s="170"/>
      <c r="N208" s="170">
        <f>L208+M208</f>
        <v>0</v>
      </c>
      <c r="O208" s="170"/>
    </row>
    <row r="209" spans="1:15" ht="26.25" customHeight="1" hidden="1">
      <c r="A209" s="213" t="s">
        <v>577</v>
      </c>
      <c r="B209" s="159" t="s">
        <v>53</v>
      </c>
      <c r="C209" s="159" t="s">
        <v>384</v>
      </c>
      <c r="D209" s="159" t="s">
        <v>383</v>
      </c>
      <c r="E209" s="159" t="s">
        <v>649</v>
      </c>
      <c r="F209" s="159" t="s">
        <v>579</v>
      </c>
      <c r="G209" s="360"/>
      <c r="H209" s="357"/>
      <c r="I209" s="360"/>
      <c r="J209" s="170"/>
      <c r="K209" s="170"/>
      <c r="L209" s="170"/>
      <c r="M209" s="170"/>
      <c r="N209" s="170">
        <f>L209+M209</f>
        <v>0</v>
      </c>
      <c r="O209" s="170"/>
    </row>
    <row r="210" spans="1:15" s="232" customFormat="1" ht="38.25" hidden="1">
      <c r="A210" s="173" t="s">
        <v>650</v>
      </c>
      <c r="B210" s="159" t="s">
        <v>53</v>
      </c>
      <c r="C210" s="159" t="s">
        <v>384</v>
      </c>
      <c r="D210" s="159" t="s">
        <v>383</v>
      </c>
      <c r="E210" s="159" t="s">
        <v>651</v>
      </c>
      <c r="F210" s="159"/>
      <c r="G210" s="383">
        <f aca="true" t="shared" si="36" ref="G210:K212">G211</f>
        <v>-1000</v>
      </c>
      <c r="H210" s="383">
        <f t="shared" si="36"/>
        <v>1548</v>
      </c>
      <c r="I210" s="383">
        <f t="shared" si="36"/>
        <v>0</v>
      </c>
      <c r="J210" s="161">
        <f t="shared" si="36"/>
        <v>0</v>
      </c>
      <c r="K210" s="161" t="e">
        <f t="shared" si="36"/>
        <v>#REF!</v>
      </c>
      <c r="L210" s="170">
        <f>L211+L212</f>
        <v>0</v>
      </c>
      <c r="M210" s="170">
        <f>M211+M212</f>
        <v>0</v>
      </c>
      <c r="N210" s="170">
        <f>N211+N212</f>
        <v>0</v>
      </c>
      <c r="O210" s="170">
        <f>O211+O212</f>
        <v>0</v>
      </c>
    </row>
    <row r="211" spans="1:15" ht="26.25" hidden="1">
      <c r="A211" s="230" t="s">
        <v>487</v>
      </c>
      <c r="B211" s="159" t="s">
        <v>53</v>
      </c>
      <c r="C211" s="159" t="s">
        <v>384</v>
      </c>
      <c r="D211" s="159" t="s">
        <v>383</v>
      </c>
      <c r="E211" s="159" t="s">
        <v>651</v>
      </c>
      <c r="F211" s="159" t="s">
        <v>485</v>
      </c>
      <c r="G211" s="360">
        <f t="shared" si="36"/>
        <v>-1000</v>
      </c>
      <c r="H211" s="360">
        <f t="shared" si="36"/>
        <v>1548</v>
      </c>
      <c r="I211" s="360">
        <f t="shared" si="36"/>
        <v>0</v>
      </c>
      <c r="J211" s="170">
        <f t="shared" si="36"/>
        <v>0</v>
      </c>
      <c r="K211" s="170" t="e">
        <f t="shared" si="36"/>
        <v>#REF!</v>
      </c>
      <c r="L211" s="170"/>
      <c r="M211" s="170"/>
      <c r="N211" s="170">
        <f>L211+M211</f>
        <v>0</v>
      </c>
      <c r="O211" s="170"/>
    </row>
    <row r="212" spans="1:15" ht="29.25" customHeight="1" hidden="1">
      <c r="A212" s="213" t="s">
        <v>577</v>
      </c>
      <c r="B212" s="159" t="s">
        <v>53</v>
      </c>
      <c r="C212" s="159" t="s">
        <v>384</v>
      </c>
      <c r="D212" s="159" t="s">
        <v>383</v>
      </c>
      <c r="E212" s="159" t="s">
        <v>651</v>
      </c>
      <c r="F212" s="159" t="s">
        <v>579</v>
      </c>
      <c r="G212" s="360">
        <f t="shared" si="36"/>
        <v>-1000</v>
      </c>
      <c r="H212" s="360">
        <f t="shared" si="36"/>
        <v>1548</v>
      </c>
      <c r="I212" s="360">
        <f t="shared" si="36"/>
        <v>0</v>
      </c>
      <c r="J212" s="170">
        <f>J213+J214</f>
        <v>0</v>
      </c>
      <c r="K212" s="170" t="e">
        <f>K213+K214</f>
        <v>#REF!</v>
      </c>
      <c r="L212" s="170"/>
      <c r="M212" s="170"/>
      <c r="N212" s="170">
        <f>L212+M212</f>
        <v>0</v>
      </c>
      <c r="O212" s="170"/>
    </row>
    <row r="213" spans="1:15" ht="15" hidden="1">
      <c r="A213" s="229" t="s">
        <v>406</v>
      </c>
      <c r="B213" s="168" t="s">
        <v>53</v>
      </c>
      <c r="C213" s="168" t="s">
        <v>385</v>
      </c>
      <c r="D213" s="168"/>
      <c r="E213" s="168"/>
      <c r="F213" s="168"/>
      <c r="G213" s="360">
        <v>-1000</v>
      </c>
      <c r="H213" s="357">
        <v>1548</v>
      </c>
      <c r="I213" s="360"/>
      <c r="J213" s="170"/>
      <c r="K213" s="170" t="e">
        <f>#REF!+J213</f>
        <v>#REF!</v>
      </c>
      <c r="L213" s="161">
        <f>L214</f>
        <v>0</v>
      </c>
      <c r="M213" s="161">
        <f>M214</f>
        <v>0</v>
      </c>
      <c r="N213" s="161">
        <f>N214</f>
        <v>0</v>
      </c>
      <c r="O213" s="161">
        <f>O214</f>
        <v>0</v>
      </c>
    </row>
    <row r="214" spans="1:15" ht="26.25" hidden="1">
      <c r="A214" s="231" t="s">
        <v>411</v>
      </c>
      <c r="B214" s="168" t="s">
        <v>53</v>
      </c>
      <c r="C214" s="168" t="s">
        <v>385</v>
      </c>
      <c r="D214" s="168" t="s">
        <v>393</v>
      </c>
      <c r="E214" s="168"/>
      <c r="F214" s="168"/>
      <c r="G214" s="177">
        <f>G215</f>
        <v>0</v>
      </c>
      <c r="H214" s="177">
        <f>H215</f>
        <v>0</v>
      </c>
      <c r="I214" s="177">
        <f>I215</f>
        <v>0</v>
      </c>
      <c r="J214" s="170">
        <f>J215</f>
        <v>0</v>
      </c>
      <c r="K214" s="170" t="e">
        <f>K215</f>
        <v>#REF!</v>
      </c>
      <c r="L214" s="161">
        <f>L218+L215</f>
        <v>0</v>
      </c>
      <c r="M214" s="161">
        <f>M218+M215</f>
        <v>0</v>
      </c>
      <c r="N214" s="161">
        <f>N218+N215</f>
        <v>0</v>
      </c>
      <c r="O214" s="161">
        <f>O218+O215</f>
        <v>0</v>
      </c>
    </row>
    <row r="215" spans="1:15" ht="39" hidden="1">
      <c r="A215" s="173" t="s">
        <v>654</v>
      </c>
      <c r="B215" s="159" t="s">
        <v>53</v>
      </c>
      <c r="C215" s="159" t="s">
        <v>385</v>
      </c>
      <c r="D215" s="159" t="s">
        <v>393</v>
      </c>
      <c r="E215" s="159" t="s">
        <v>655</v>
      </c>
      <c r="F215" s="159"/>
      <c r="G215" s="360"/>
      <c r="H215" s="357"/>
      <c r="I215" s="360"/>
      <c r="J215" s="170"/>
      <c r="K215" s="170" t="e">
        <f>#REF!+J215</f>
        <v>#REF!</v>
      </c>
      <c r="L215" s="170">
        <f>L216+L217</f>
        <v>0</v>
      </c>
      <c r="M215" s="170">
        <f>M216+M217</f>
        <v>0</v>
      </c>
      <c r="N215" s="170">
        <f>N216+N217</f>
        <v>0</v>
      </c>
      <c r="O215" s="170">
        <f>O216+O217</f>
        <v>0</v>
      </c>
    </row>
    <row r="216" spans="1:15" ht="39" hidden="1">
      <c r="A216" s="173" t="s">
        <v>654</v>
      </c>
      <c r="B216" s="159" t="s">
        <v>53</v>
      </c>
      <c r="C216" s="159" t="s">
        <v>385</v>
      </c>
      <c r="D216" s="159" t="s">
        <v>393</v>
      </c>
      <c r="E216" s="159" t="s">
        <v>655</v>
      </c>
      <c r="F216" s="159" t="s">
        <v>653</v>
      </c>
      <c r="G216" s="360"/>
      <c r="H216" s="357"/>
      <c r="I216" s="360"/>
      <c r="J216" s="170"/>
      <c r="K216" s="170"/>
      <c r="L216" s="170"/>
      <c r="M216" s="170"/>
      <c r="N216" s="170">
        <f>L216+M216</f>
        <v>0</v>
      </c>
      <c r="O216" s="170"/>
    </row>
    <row r="217" spans="1:15" ht="51" hidden="1">
      <c r="A217" s="213" t="s">
        <v>656</v>
      </c>
      <c r="B217" s="159" t="s">
        <v>53</v>
      </c>
      <c r="C217" s="159" t="s">
        <v>385</v>
      </c>
      <c r="D217" s="159" t="s">
        <v>393</v>
      </c>
      <c r="E217" s="159" t="s">
        <v>655</v>
      </c>
      <c r="F217" s="159" t="s">
        <v>657</v>
      </c>
      <c r="G217" s="359">
        <f>G218</f>
        <v>0</v>
      </c>
      <c r="H217" s="359">
        <f>H218</f>
        <v>526.1</v>
      </c>
      <c r="I217" s="359">
        <f>I218</f>
        <v>0</v>
      </c>
      <c r="J217" s="355">
        <f>J218</f>
        <v>0</v>
      </c>
      <c r="K217" s="355" t="e">
        <f>K218</f>
        <v>#REF!</v>
      </c>
      <c r="L217" s="170"/>
      <c r="M217" s="170"/>
      <c r="N217" s="170">
        <f>L217+M217</f>
        <v>0</v>
      </c>
      <c r="O217" s="170"/>
    </row>
    <row r="218" spans="1:15" s="232" customFormat="1" ht="14.25" hidden="1">
      <c r="A218" s="213" t="s">
        <v>835</v>
      </c>
      <c r="B218" s="159" t="s">
        <v>53</v>
      </c>
      <c r="C218" s="159" t="s">
        <v>385</v>
      </c>
      <c r="D218" s="159" t="s">
        <v>393</v>
      </c>
      <c r="E218" s="159" t="s">
        <v>761</v>
      </c>
      <c r="F218" s="159"/>
      <c r="G218" s="348">
        <f>G219+G222</f>
        <v>0</v>
      </c>
      <c r="H218" s="348">
        <f>H219+H222</f>
        <v>526.1</v>
      </c>
      <c r="I218" s="348">
        <f>I219+I222</f>
        <v>0</v>
      </c>
      <c r="J218" s="161">
        <f>J219+J222</f>
        <v>0</v>
      </c>
      <c r="K218" s="161" t="e">
        <f>K219+K222</f>
        <v>#REF!</v>
      </c>
      <c r="L218" s="170">
        <f>L219</f>
        <v>0</v>
      </c>
      <c r="M218" s="170">
        <f>M219</f>
        <v>0</v>
      </c>
      <c r="N218" s="170">
        <f>N219</f>
        <v>0</v>
      </c>
      <c r="O218" s="170">
        <f>O219</f>
        <v>0</v>
      </c>
    </row>
    <row r="219" spans="1:15" ht="39" hidden="1">
      <c r="A219" s="240" t="s">
        <v>658</v>
      </c>
      <c r="B219" s="159" t="s">
        <v>53</v>
      </c>
      <c r="C219" s="159" t="s">
        <v>385</v>
      </c>
      <c r="D219" s="159" t="s">
        <v>393</v>
      </c>
      <c r="E219" s="159" t="s">
        <v>659</v>
      </c>
      <c r="F219" s="159"/>
      <c r="G219" s="360">
        <f>G220</f>
        <v>0</v>
      </c>
      <c r="H219" s="360">
        <f>H220</f>
        <v>316.5</v>
      </c>
      <c r="I219" s="360">
        <f>I220</f>
        <v>0</v>
      </c>
      <c r="J219" s="170">
        <f>J220</f>
        <v>0</v>
      </c>
      <c r="K219" s="170" t="e">
        <f>K220</f>
        <v>#REF!</v>
      </c>
      <c r="L219" s="170">
        <f>L220+L227+L228</f>
        <v>0</v>
      </c>
      <c r="M219" s="170">
        <f>M220+M227+M228</f>
        <v>0</v>
      </c>
      <c r="N219" s="170">
        <f>N220+N227+N228</f>
        <v>0</v>
      </c>
      <c r="O219" s="170">
        <f>O220+O227+O228</f>
        <v>0</v>
      </c>
    </row>
    <row r="220" spans="1:15" ht="26.25" hidden="1">
      <c r="A220" s="230" t="s">
        <v>487</v>
      </c>
      <c r="B220" s="159" t="s">
        <v>53</v>
      </c>
      <c r="C220" s="159" t="s">
        <v>385</v>
      </c>
      <c r="D220" s="159" t="s">
        <v>393</v>
      </c>
      <c r="E220" s="159" t="s">
        <v>659</v>
      </c>
      <c r="F220" s="159" t="s">
        <v>485</v>
      </c>
      <c r="G220" s="360"/>
      <c r="H220" s="357">
        <v>316.5</v>
      </c>
      <c r="I220" s="360"/>
      <c r="J220" s="170"/>
      <c r="K220" s="170" t="e">
        <f>#REF!+J220</f>
        <v>#REF!</v>
      </c>
      <c r="L220" s="170"/>
      <c r="M220" s="170"/>
      <c r="N220" s="170">
        <f>L220+M220</f>
        <v>0</v>
      </c>
      <c r="O220" s="170"/>
    </row>
    <row r="221" spans="1:15" ht="15" hidden="1">
      <c r="A221" s="173" t="s">
        <v>660</v>
      </c>
      <c r="B221" s="159" t="s">
        <v>53</v>
      </c>
      <c r="C221" s="159" t="s">
        <v>385</v>
      </c>
      <c r="D221" s="159" t="s">
        <v>393</v>
      </c>
      <c r="E221" s="159" t="s">
        <v>659</v>
      </c>
      <c r="F221" s="159"/>
      <c r="G221" s="360"/>
      <c r="H221" s="357"/>
      <c r="I221" s="360"/>
      <c r="J221" s="170"/>
      <c r="K221" s="170"/>
      <c r="L221" s="170">
        <f>L222</f>
        <v>0</v>
      </c>
      <c r="M221" s="170">
        <f>M222</f>
        <v>0</v>
      </c>
      <c r="N221" s="170">
        <f>N222</f>
        <v>0</v>
      </c>
      <c r="O221" s="170">
        <f>O222</f>
        <v>0</v>
      </c>
    </row>
    <row r="222" spans="1:15" ht="15" hidden="1">
      <c r="A222" s="173" t="s">
        <v>414</v>
      </c>
      <c r="B222" s="159" t="s">
        <v>53</v>
      </c>
      <c r="C222" s="159" t="s">
        <v>385</v>
      </c>
      <c r="D222" s="159" t="s">
        <v>393</v>
      </c>
      <c r="E222" s="159" t="s">
        <v>659</v>
      </c>
      <c r="F222" s="159"/>
      <c r="G222" s="360">
        <f>G223</f>
        <v>0</v>
      </c>
      <c r="H222" s="360">
        <f>H223</f>
        <v>209.6</v>
      </c>
      <c r="I222" s="360">
        <f>I223</f>
        <v>0</v>
      </c>
      <c r="J222" s="170">
        <f>J223</f>
        <v>0</v>
      </c>
      <c r="K222" s="170" t="e">
        <f>K223</f>
        <v>#REF!</v>
      </c>
      <c r="L222" s="170">
        <f>L225+L223</f>
        <v>0</v>
      </c>
      <c r="M222" s="170">
        <f>M225+M223</f>
        <v>0</v>
      </c>
      <c r="N222" s="170">
        <f>N225+N223</f>
        <v>0</v>
      </c>
      <c r="O222" s="170">
        <f>O225+O223</f>
        <v>0</v>
      </c>
    </row>
    <row r="223" spans="1:15" ht="64.5" hidden="1">
      <c r="A223" s="173" t="s">
        <v>661</v>
      </c>
      <c r="B223" s="159" t="s">
        <v>53</v>
      </c>
      <c r="C223" s="159" t="s">
        <v>385</v>
      </c>
      <c r="D223" s="159" t="s">
        <v>393</v>
      </c>
      <c r="E223" s="159" t="s">
        <v>659</v>
      </c>
      <c r="F223" s="159"/>
      <c r="G223" s="360"/>
      <c r="H223" s="357">
        <v>209.6</v>
      </c>
      <c r="I223" s="360"/>
      <c r="J223" s="170"/>
      <c r="K223" s="170" t="e">
        <f>#REF!+J223</f>
        <v>#REF!</v>
      </c>
      <c r="L223" s="170">
        <f>L224</f>
        <v>0</v>
      </c>
      <c r="M223" s="170">
        <f>M224</f>
        <v>0</v>
      </c>
      <c r="N223" s="170">
        <f>N224</f>
        <v>0</v>
      </c>
      <c r="O223" s="170">
        <f>O224</f>
        <v>0</v>
      </c>
    </row>
    <row r="224" spans="1:15" ht="51.75" hidden="1">
      <c r="A224" s="173" t="s">
        <v>662</v>
      </c>
      <c r="B224" s="159" t="s">
        <v>53</v>
      </c>
      <c r="C224" s="159" t="s">
        <v>385</v>
      </c>
      <c r="D224" s="159" t="s">
        <v>393</v>
      </c>
      <c r="E224" s="159" t="s">
        <v>659</v>
      </c>
      <c r="F224" s="159" t="s">
        <v>653</v>
      </c>
      <c r="G224" s="360"/>
      <c r="H224" s="357"/>
      <c r="I224" s="360"/>
      <c r="J224" s="170"/>
      <c r="K224" s="170"/>
      <c r="L224" s="170"/>
      <c r="M224" s="170"/>
      <c r="N224" s="170">
        <f>L224+M224</f>
        <v>0</v>
      </c>
      <c r="O224" s="170"/>
    </row>
    <row r="225" spans="1:15" ht="64.5" hidden="1">
      <c r="A225" s="173" t="s">
        <v>661</v>
      </c>
      <c r="B225" s="159" t="s">
        <v>53</v>
      </c>
      <c r="C225" s="159" t="s">
        <v>385</v>
      </c>
      <c r="D225" s="159" t="s">
        <v>393</v>
      </c>
      <c r="E225" s="159" t="s">
        <v>659</v>
      </c>
      <c r="F225" s="159"/>
      <c r="G225" s="359">
        <f>G226+G232</f>
        <v>0</v>
      </c>
      <c r="H225" s="359">
        <f>H226+H232</f>
        <v>340.3</v>
      </c>
      <c r="I225" s="359">
        <f>I226+I232</f>
        <v>0</v>
      </c>
      <c r="J225" s="355">
        <f>J226+J232</f>
        <v>0</v>
      </c>
      <c r="K225" s="355" t="e">
        <f>K226+K232</f>
        <v>#REF!</v>
      </c>
      <c r="L225" s="170">
        <f>L226</f>
        <v>0</v>
      </c>
      <c r="M225" s="170">
        <f>M226</f>
        <v>0</v>
      </c>
      <c r="N225" s="170">
        <f>N226</f>
        <v>0</v>
      </c>
      <c r="O225" s="170">
        <f>O226</f>
        <v>0</v>
      </c>
    </row>
    <row r="226" spans="1:15" s="232" customFormat="1" ht="51" hidden="1">
      <c r="A226" s="173" t="s">
        <v>662</v>
      </c>
      <c r="B226" s="159" t="s">
        <v>53</v>
      </c>
      <c r="C226" s="159" t="s">
        <v>385</v>
      </c>
      <c r="D226" s="159" t="s">
        <v>393</v>
      </c>
      <c r="E226" s="159" t="s">
        <v>659</v>
      </c>
      <c r="F226" s="159" t="s">
        <v>653</v>
      </c>
      <c r="G226" s="348">
        <f aca="true" t="shared" si="37" ref="G226:K228">G227</f>
        <v>0</v>
      </c>
      <c r="H226" s="365">
        <f>H227+H230</f>
        <v>104.8</v>
      </c>
      <c r="I226" s="365">
        <f>I227+I230</f>
        <v>0</v>
      </c>
      <c r="J226" s="161">
        <f>J227+J230</f>
        <v>0</v>
      </c>
      <c r="K226" s="161" t="e">
        <f>K227+K230</f>
        <v>#REF!</v>
      </c>
      <c r="L226" s="170"/>
      <c r="M226" s="170"/>
      <c r="N226" s="170">
        <f>L226+M226</f>
        <v>0</v>
      </c>
      <c r="O226" s="170"/>
    </row>
    <row r="227" spans="1:15" ht="38.25" hidden="1">
      <c r="A227" s="213" t="s">
        <v>577</v>
      </c>
      <c r="B227" s="159" t="s">
        <v>53</v>
      </c>
      <c r="C227" s="159" t="s">
        <v>385</v>
      </c>
      <c r="D227" s="159" t="s">
        <v>393</v>
      </c>
      <c r="E227" s="159" t="s">
        <v>659</v>
      </c>
      <c r="F227" s="159" t="s">
        <v>579</v>
      </c>
      <c r="G227" s="360">
        <f t="shared" si="37"/>
        <v>0</v>
      </c>
      <c r="H227" s="360">
        <f t="shared" si="37"/>
        <v>104.8</v>
      </c>
      <c r="I227" s="360">
        <f t="shared" si="37"/>
        <v>0</v>
      </c>
      <c r="J227" s="170">
        <f t="shared" si="37"/>
        <v>0</v>
      </c>
      <c r="K227" s="170" t="e">
        <f t="shared" si="37"/>
        <v>#REF!</v>
      </c>
      <c r="L227" s="170"/>
      <c r="M227" s="170"/>
      <c r="N227" s="170">
        <f>L227+M227</f>
        <v>0</v>
      </c>
      <c r="O227" s="170"/>
    </row>
    <row r="228" spans="1:15" ht="51" hidden="1">
      <c r="A228" s="213" t="s">
        <v>656</v>
      </c>
      <c r="B228" s="159" t="s">
        <v>53</v>
      </c>
      <c r="C228" s="159" t="s">
        <v>385</v>
      </c>
      <c r="D228" s="159" t="s">
        <v>393</v>
      </c>
      <c r="E228" s="159" t="s">
        <v>659</v>
      </c>
      <c r="F228" s="159" t="s">
        <v>657</v>
      </c>
      <c r="G228" s="360">
        <f t="shared" si="37"/>
        <v>0</v>
      </c>
      <c r="H228" s="360">
        <f t="shared" si="37"/>
        <v>104.8</v>
      </c>
      <c r="I228" s="360">
        <f t="shared" si="37"/>
        <v>0</v>
      </c>
      <c r="J228" s="170">
        <f t="shared" si="37"/>
        <v>0</v>
      </c>
      <c r="K228" s="170" t="e">
        <f t="shared" si="37"/>
        <v>#REF!</v>
      </c>
      <c r="L228" s="170"/>
      <c r="M228" s="170"/>
      <c r="N228" s="170">
        <f>L228+M228</f>
        <v>0</v>
      </c>
      <c r="O228" s="170"/>
    </row>
    <row r="229" spans="1:15" ht="15">
      <c r="A229" s="242" t="s">
        <v>417</v>
      </c>
      <c r="B229" s="168" t="s">
        <v>53</v>
      </c>
      <c r="C229" s="168" t="s">
        <v>390</v>
      </c>
      <c r="D229" s="168"/>
      <c r="E229" s="168"/>
      <c r="F229" s="168"/>
      <c r="G229" s="360"/>
      <c r="H229" s="357">
        <v>104.8</v>
      </c>
      <c r="I229" s="360"/>
      <c r="J229" s="170"/>
      <c r="K229" s="170" t="e">
        <f>#REF!+J229</f>
        <v>#REF!</v>
      </c>
      <c r="L229" s="161">
        <f aca="true" t="shared" si="38" ref="L229:O231">L230</f>
        <v>60</v>
      </c>
      <c r="M229" s="161">
        <f t="shared" si="38"/>
        <v>-60</v>
      </c>
      <c r="N229" s="161">
        <f t="shared" si="38"/>
        <v>0</v>
      </c>
      <c r="O229" s="161">
        <f t="shared" si="38"/>
        <v>0</v>
      </c>
    </row>
    <row r="230" spans="1:15" ht="26.25">
      <c r="A230" s="179" t="s">
        <v>663</v>
      </c>
      <c r="B230" s="168" t="s">
        <v>53</v>
      </c>
      <c r="C230" s="168" t="s">
        <v>390</v>
      </c>
      <c r="D230" s="168" t="s">
        <v>387</v>
      </c>
      <c r="E230" s="168"/>
      <c r="F230" s="168"/>
      <c r="G230" s="360"/>
      <c r="H230" s="357">
        <f aca="true" t="shared" si="39" ref="H230:O230">H231</f>
        <v>0</v>
      </c>
      <c r="I230" s="357">
        <f t="shared" si="39"/>
        <v>0</v>
      </c>
      <c r="J230" s="170">
        <f t="shared" si="39"/>
        <v>0</v>
      </c>
      <c r="K230" s="170" t="e">
        <f t="shared" si="39"/>
        <v>#REF!</v>
      </c>
      <c r="L230" s="161">
        <f t="shared" si="39"/>
        <v>60</v>
      </c>
      <c r="M230" s="161">
        <f t="shared" si="39"/>
        <v>-60</v>
      </c>
      <c r="N230" s="161">
        <f t="shared" si="39"/>
        <v>0</v>
      </c>
      <c r="O230" s="161">
        <f t="shared" si="39"/>
        <v>0</v>
      </c>
    </row>
    <row r="231" spans="1:15" ht="26.25">
      <c r="A231" s="179" t="s">
        <v>480</v>
      </c>
      <c r="B231" s="159" t="s">
        <v>53</v>
      </c>
      <c r="C231" s="159" t="s">
        <v>390</v>
      </c>
      <c r="D231" s="159" t="s">
        <v>387</v>
      </c>
      <c r="E231" s="159" t="s">
        <v>481</v>
      </c>
      <c r="F231" s="159"/>
      <c r="G231" s="360"/>
      <c r="H231" s="357"/>
      <c r="I231" s="360"/>
      <c r="J231" s="170"/>
      <c r="K231" s="170" t="e">
        <f>#REF!+J231</f>
        <v>#REF!</v>
      </c>
      <c r="L231" s="170">
        <f t="shared" si="38"/>
        <v>60</v>
      </c>
      <c r="M231" s="170">
        <f t="shared" si="38"/>
        <v>-60</v>
      </c>
      <c r="N231" s="170">
        <f t="shared" si="38"/>
        <v>0</v>
      </c>
      <c r="O231" s="170">
        <f t="shared" si="38"/>
        <v>0</v>
      </c>
    </row>
    <row r="232" spans="1:15" s="232" customFormat="1" ht="25.5">
      <c r="A232" s="179" t="s">
        <v>497</v>
      </c>
      <c r="B232" s="159" t="s">
        <v>53</v>
      </c>
      <c r="C232" s="159" t="s">
        <v>390</v>
      </c>
      <c r="D232" s="159" t="s">
        <v>387</v>
      </c>
      <c r="E232" s="159" t="s">
        <v>483</v>
      </c>
      <c r="F232" s="159"/>
      <c r="G232" s="348">
        <f>G238</f>
        <v>0</v>
      </c>
      <c r="H232" s="348">
        <f>H238</f>
        <v>235.5</v>
      </c>
      <c r="I232" s="348">
        <f>I238</f>
        <v>0</v>
      </c>
      <c r="J232" s="161">
        <f>J238</f>
        <v>0</v>
      </c>
      <c r="K232" s="161" t="e">
        <f>K238</f>
        <v>#REF!</v>
      </c>
      <c r="L232" s="170">
        <f>L233+L234+L235</f>
        <v>60</v>
      </c>
      <c r="M232" s="170">
        <f>M233+M234+M235</f>
        <v>-60</v>
      </c>
      <c r="N232" s="170">
        <f>N233+N234+N235</f>
        <v>0</v>
      </c>
      <c r="O232" s="170">
        <f>O233+O234+O235</f>
        <v>0</v>
      </c>
    </row>
    <row r="233" spans="1:15" s="232" customFormat="1" ht="25.5" hidden="1">
      <c r="A233" s="219" t="s">
        <v>664</v>
      </c>
      <c r="B233" s="159" t="s">
        <v>53</v>
      </c>
      <c r="C233" s="159" t="s">
        <v>390</v>
      </c>
      <c r="D233" s="159" t="s">
        <v>387</v>
      </c>
      <c r="E233" s="159" t="s">
        <v>483</v>
      </c>
      <c r="F233" s="159" t="s">
        <v>588</v>
      </c>
      <c r="G233" s="348"/>
      <c r="H233" s="348"/>
      <c r="I233" s="348"/>
      <c r="J233" s="161"/>
      <c r="K233" s="161"/>
      <c r="L233" s="170"/>
      <c r="M233" s="170"/>
      <c r="N233" s="170">
        <f>L233+M233</f>
        <v>0</v>
      </c>
      <c r="O233" s="170"/>
    </row>
    <row r="234" spans="1:15" s="232" customFormat="1" ht="25.5" hidden="1">
      <c r="A234" s="219" t="s">
        <v>665</v>
      </c>
      <c r="B234" s="159" t="s">
        <v>53</v>
      </c>
      <c r="C234" s="159" t="s">
        <v>390</v>
      </c>
      <c r="D234" s="159" t="s">
        <v>387</v>
      </c>
      <c r="E234" s="159" t="s">
        <v>483</v>
      </c>
      <c r="F234" s="159" t="s">
        <v>579</v>
      </c>
      <c r="G234" s="348"/>
      <c r="H234" s="348"/>
      <c r="I234" s="348"/>
      <c r="J234" s="161"/>
      <c r="K234" s="161"/>
      <c r="L234" s="170"/>
      <c r="M234" s="170"/>
      <c r="N234" s="170">
        <f>L234+M234</f>
        <v>0</v>
      </c>
      <c r="O234" s="170"/>
    </row>
    <row r="235" spans="1:15" s="232" customFormat="1" ht="25.5">
      <c r="A235" s="179" t="s">
        <v>493</v>
      </c>
      <c r="B235" s="159" t="s">
        <v>53</v>
      </c>
      <c r="C235" s="159" t="s">
        <v>390</v>
      </c>
      <c r="D235" s="159" t="s">
        <v>387</v>
      </c>
      <c r="E235" s="159" t="s">
        <v>483</v>
      </c>
      <c r="F235" s="159" t="s">
        <v>485</v>
      </c>
      <c r="G235" s="348"/>
      <c r="H235" s="348"/>
      <c r="I235" s="348"/>
      <c r="J235" s="161"/>
      <c r="K235" s="161"/>
      <c r="L235" s="170">
        <v>60</v>
      </c>
      <c r="M235" s="170">
        <v>-60</v>
      </c>
      <c r="N235" s="170">
        <f>L235+M235</f>
        <v>0</v>
      </c>
      <c r="O235" s="170"/>
    </row>
    <row r="236" spans="1:15" s="232" customFormat="1" ht="14.25">
      <c r="A236" s="356" t="s">
        <v>488</v>
      </c>
      <c r="B236" s="350" t="s">
        <v>53</v>
      </c>
      <c r="C236" s="350" t="s">
        <v>404</v>
      </c>
      <c r="D236" s="351"/>
      <c r="E236" s="159"/>
      <c r="F236" s="159"/>
      <c r="G236" s="348"/>
      <c r="H236" s="348"/>
      <c r="I236" s="348"/>
      <c r="J236" s="161"/>
      <c r="K236" s="161"/>
      <c r="L236" s="170">
        <f>L237</f>
        <v>26521.22</v>
      </c>
      <c r="M236" s="170">
        <f aca="true" t="shared" si="40" ref="M236:O237">M237</f>
        <v>-26521.22</v>
      </c>
      <c r="N236" s="170">
        <f t="shared" si="40"/>
        <v>0</v>
      </c>
      <c r="O236" s="170">
        <f t="shared" si="40"/>
        <v>0</v>
      </c>
    </row>
    <row r="237" spans="1:15" s="232" customFormat="1" ht="14.25">
      <c r="A237" s="356" t="s">
        <v>431</v>
      </c>
      <c r="B237" s="350" t="s">
        <v>53</v>
      </c>
      <c r="C237" s="350" t="s">
        <v>404</v>
      </c>
      <c r="D237" s="350" t="s">
        <v>382</v>
      </c>
      <c r="E237" s="159"/>
      <c r="F237" s="159"/>
      <c r="G237" s="348"/>
      <c r="H237" s="348"/>
      <c r="I237" s="348"/>
      <c r="J237" s="161"/>
      <c r="K237" s="161"/>
      <c r="L237" s="170">
        <f>L238</f>
        <v>26521.22</v>
      </c>
      <c r="M237" s="170">
        <f t="shared" si="40"/>
        <v>-26521.22</v>
      </c>
      <c r="N237" s="170">
        <f t="shared" si="40"/>
        <v>0</v>
      </c>
      <c r="O237" s="170">
        <f t="shared" si="40"/>
        <v>0</v>
      </c>
    </row>
    <row r="238" spans="1:15" ht="51.75">
      <c r="A238" s="179" t="s">
        <v>509</v>
      </c>
      <c r="B238" s="159" t="s">
        <v>53</v>
      </c>
      <c r="C238" s="159" t="s">
        <v>404</v>
      </c>
      <c r="D238" s="159" t="s">
        <v>382</v>
      </c>
      <c r="E238" s="159" t="s">
        <v>510</v>
      </c>
      <c r="F238" s="159"/>
      <c r="G238" s="177">
        <f aca="true" t="shared" si="41" ref="G238:O238">G239</f>
        <v>0</v>
      </c>
      <c r="H238" s="177">
        <f t="shared" si="41"/>
        <v>235.5</v>
      </c>
      <c r="I238" s="177">
        <f t="shared" si="41"/>
        <v>0</v>
      </c>
      <c r="J238" s="170">
        <f t="shared" si="41"/>
        <v>0</v>
      </c>
      <c r="K238" s="170" t="e">
        <f t="shared" si="41"/>
        <v>#REF!</v>
      </c>
      <c r="L238" s="170">
        <f t="shared" si="41"/>
        <v>26521.22</v>
      </c>
      <c r="M238" s="170">
        <f t="shared" si="41"/>
        <v>-26521.22</v>
      </c>
      <c r="N238" s="170">
        <f t="shared" si="41"/>
        <v>0</v>
      </c>
      <c r="O238" s="170">
        <f t="shared" si="41"/>
        <v>0</v>
      </c>
    </row>
    <row r="239" spans="1:15" ht="39">
      <c r="A239" s="179" t="s">
        <v>511</v>
      </c>
      <c r="B239" s="159" t="s">
        <v>53</v>
      </c>
      <c r="C239" s="159" t="s">
        <v>404</v>
      </c>
      <c r="D239" s="159" t="s">
        <v>382</v>
      </c>
      <c r="E239" s="159" t="s">
        <v>510</v>
      </c>
      <c r="F239" s="159" t="s">
        <v>512</v>
      </c>
      <c r="G239" s="177"/>
      <c r="H239" s="169">
        <v>235.5</v>
      </c>
      <c r="I239" s="177"/>
      <c r="J239" s="170"/>
      <c r="K239" s="170" t="e">
        <f>#REF!+J239</f>
        <v>#REF!</v>
      </c>
      <c r="L239" s="170">
        <v>26521.22</v>
      </c>
      <c r="M239" s="170">
        <v>-26521.22</v>
      </c>
      <c r="N239" s="170">
        <f>L239+M239</f>
        <v>0</v>
      </c>
      <c r="O239" s="170"/>
    </row>
    <row r="240" spans="1:15" ht="15" hidden="1">
      <c r="A240" s="231" t="s">
        <v>666</v>
      </c>
      <c r="B240" s="168" t="s">
        <v>53</v>
      </c>
      <c r="C240" s="168" t="s">
        <v>392</v>
      </c>
      <c r="D240" s="168"/>
      <c r="E240" s="168"/>
      <c r="F240" s="168"/>
      <c r="G240" s="384"/>
      <c r="H240" s="384">
        <f>H241</f>
        <v>0</v>
      </c>
      <c r="I240" s="384">
        <f>I241</f>
        <v>31353.699999999997</v>
      </c>
      <c r="J240" s="170">
        <f>J241</f>
        <v>0</v>
      </c>
      <c r="K240" s="170" t="e">
        <f>K241</f>
        <v>#REF!</v>
      </c>
      <c r="L240" s="161">
        <f>L241+L246+L254</f>
        <v>0</v>
      </c>
      <c r="M240" s="161">
        <f>M241+M246+M254</f>
        <v>0</v>
      </c>
      <c r="N240" s="161">
        <f>N241+N246+N254</f>
        <v>0</v>
      </c>
      <c r="O240" s="161">
        <f>O241+O246+O254</f>
        <v>0</v>
      </c>
    </row>
    <row r="241" spans="1:15" ht="27.75" customHeight="1" hidden="1">
      <c r="A241" s="231" t="s">
        <v>225</v>
      </c>
      <c r="B241" s="168" t="s">
        <v>53</v>
      </c>
      <c r="C241" s="168" t="s">
        <v>392</v>
      </c>
      <c r="D241" s="168" t="s">
        <v>382</v>
      </c>
      <c r="E241" s="168"/>
      <c r="F241" s="168"/>
      <c r="G241" s="384"/>
      <c r="H241" s="384">
        <f>H242+H244</f>
        <v>0</v>
      </c>
      <c r="I241" s="384">
        <f>I242+I244</f>
        <v>31353.699999999997</v>
      </c>
      <c r="J241" s="170">
        <f>J244+J242</f>
        <v>0</v>
      </c>
      <c r="K241" s="170" t="e">
        <f>K244+K242</f>
        <v>#REF!</v>
      </c>
      <c r="L241" s="161">
        <f>L242+L244</f>
        <v>0</v>
      </c>
      <c r="M241" s="161">
        <f>M242+M244</f>
        <v>0</v>
      </c>
      <c r="N241" s="161">
        <f>N242+N244</f>
        <v>0</v>
      </c>
      <c r="O241" s="161">
        <f>O242+O244</f>
        <v>0</v>
      </c>
    </row>
    <row r="242" spans="1:15" ht="39" hidden="1">
      <c r="A242" s="179" t="s">
        <v>667</v>
      </c>
      <c r="B242" s="159" t="s">
        <v>53</v>
      </c>
      <c r="C242" s="159" t="s">
        <v>392</v>
      </c>
      <c r="D242" s="159" t="s">
        <v>382</v>
      </c>
      <c r="E242" s="159" t="s">
        <v>668</v>
      </c>
      <c r="F242" s="159"/>
      <c r="G242" s="384"/>
      <c r="H242" s="384">
        <f aca="true" t="shared" si="42" ref="H242:O242">H243</f>
        <v>0</v>
      </c>
      <c r="I242" s="384">
        <f t="shared" si="42"/>
        <v>23145.3</v>
      </c>
      <c r="J242" s="170">
        <f t="shared" si="42"/>
        <v>0</v>
      </c>
      <c r="K242" s="170" t="e">
        <f t="shared" si="42"/>
        <v>#REF!</v>
      </c>
      <c r="L242" s="170">
        <f t="shared" si="42"/>
        <v>0</v>
      </c>
      <c r="M242" s="170">
        <f t="shared" si="42"/>
        <v>0</v>
      </c>
      <c r="N242" s="170">
        <f t="shared" si="42"/>
        <v>0</v>
      </c>
      <c r="O242" s="170">
        <f t="shared" si="42"/>
        <v>0</v>
      </c>
    </row>
    <row r="243" spans="1:15" ht="15" hidden="1">
      <c r="A243" s="179" t="s">
        <v>669</v>
      </c>
      <c r="B243" s="159" t="s">
        <v>53</v>
      </c>
      <c r="C243" s="159" t="s">
        <v>392</v>
      </c>
      <c r="D243" s="159" t="s">
        <v>382</v>
      </c>
      <c r="E243" s="159" t="s">
        <v>668</v>
      </c>
      <c r="F243" s="159" t="s">
        <v>670</v>
      </c>
      <c r="G243" s="384"/>
      <c r="H243" s="384"/>
      <c r="I243" s="384">
        <v>23145.3</v>
      </c>
      <c r="J243" s="170"/>
      <c r="K243" s="170" t="e">
        <f>#REF!+J243</f>
        <v>#REF!</v>
      </c>
      <c r="L243" s="170">
        <v>0</v>
      </c>
      <c r="M243" s="170"/>
      <c r="N243" s="170">
        <f>L243+M243</f>
        <v>0</v>
      </c>
      <c r="O243" s="170"/>
    </row>
    <row r="244" spans="1:15" ht="39" hidden="1">
      <c r="A244" s="179" t="s">
        <v>671</v>
      </c>
      <c r="B244" s="159" t="s">
        <v>53</v>
      </c>
      <c r="C244" s="159" t="s">
        <v>392</v>
      </c>
      <c r="D244" s="159" t="s">
        <v>382</v>
      </c>
      <c r="E244" s="159" t="s">
        <v>672</v>
      </c>
      <c r="F244" s="159"/>
      <c r="G244" s="384"/>
      <c r="H244" s="384">
        <f aca="true" t="shared" si="43" ref="H244:O244">H245</f>
        <v>0</v>
      </c>
      <c r="I244" s="384">
        <f t="shared" si="43"/>
        <v>8208.4</v>
      </c>
      <c r="J244" s="170">
        <f t="shared" si="43"/>
        <v>0</v>
      </c>
      <c r="K244" s="170" t="e">
        <f t="shared" si="43"/>
        <v>#REF!</v>
      </c>
      <c r="L244" s="170">
        <f t="shared" si="43"/>
        <v>0</v>
      </c>
      <c r="M244" s="170">
        <f t="shared" si="43"/>
        <v>0</v>
      </c>
      <c r="N244" s="170">
        <f t="shared" si="43"/>
        <v>0</v>
      </c>
      <c r="O244" s="170">
        <f t="shared" si="43"/>
        <v>0</v>
      </c>
    </row>
    <row r="245" spans="1:15" ht="15" hidden="1">
      <c r="A245" s="179" t="s">
        <v>669</v>
      </c>
      <c r="B245" s="159" t="s">
        <v>53</v>
      </c>
      <c r="C245" s="159" t="s">
        <v>392</v>
      </c>
      <c r="D245" s="159" t="s">
        <v>382</v>
      </c>
      <c r="E245" s="159" t="s">
        <v>672</v>
      </c>
      <c r="F245" s="159" t="s">
        <v>670</v>
      </c>
      <c r="G245" s="384"/>
      <c r="H245" s="384"/>
      <c r="I245" s="384">
        <v>8208.4</v>
      </c>
      <c r="J245" s="170"/>
      <c r="K245" s="170" t="e">
        <f>#REF!+J245</f>
        <v>#REF!</v>
      </c>
      <c r="L245" s="170">
        <v>0</v>
      </c>
      <c r="M245" s="170"/>
      <c r="N245" s="170">
        <f>L245+M245</f>
        <v>0</v>
      </c>
      <c r="O245" s="170"/>
    </row>
    <row r="246" spans="1:15" ht="39" customHeight="1" hidden="1">
      <c r="A246" s="231" t="s">
        <v>673</v>
      </c>
      <c r="B246" s="168" t="s">
        <v>53</v>
      </c>
      <c r="C246" s="168" t="s">
        <v>392</v>
      </c>
      <c r="D246" s="168" t="s">
        <v>383</v>
      </c>
      <c r="E246" s="168"/>
      <c r="F246" s="168"/>
      <c r="G246" s="384"/>
      <c r="H246" s="384"/>
      <c r="I246" s="384"/>
      <c r="J246" s="170"/>
      <c r="K246" s="170"/>
      <c r="L246" s="161">
        <f>L247</f>
        <v>0</v>
      </c>
      <c r="M246" s="161">
        <f>M247</f>
        <v>0</v>
      </c>
      <c r="N246" s="161">
        <f>N247</f>
        <v>0</v>
      </c>
      <c r="O246" s="161">
        <f>O247</f>
        <v>0</v>
      </c>
    </row>
    <row r="247" spans="1:15" ht="77.25" hidden="1">
      <c r="A247" s="179" t="s">
        <v>674</v>
      </c>
      <c r="B247" s="159" t="s">
        <v>53</v>
      </c>
      <c r="C247" s="159" t="s">
        <v>392</v>
      </c>
      <c r="D247" s="159" t="s">
        <v>383</v>
      </c>
      <c r="E247" s="159" t="s">
        <v>675</v>
      </c>
      <c r="F247" s="159"/>
      <c r="G247" s="384"/>
      <c r="H247" s="384"/>
      <c r="I247" s="384"/>
      <c r="J247" s="170"/>
      <c r="K247" s="170"/>
      <c r="L247" s="170">
        <f>L250+L252+L248</f>
        <v>0</v>
      </c>
      <c r="M247" s="170">
        <f>M250+M252+M248</f>
        <v>0</v>
      </c>
      <c r="N247" s="170">
        <f>N250+N252+N248</f>
        <v>0</v>
      </c>
      <c r="O247" s="170">
        <f>O250+O252+O248</f>
        <v>0</v>
      </c>
    </row>
    <row r="248" spans="1:15" ht="39" hidden="1">
      <c r="A248" s="179" t="s">
        <v>676</v>
      </c>
      <c r="B248" s="159" t="s">
        <v>53</v>
      </c>
      <c r="C248" s="159" t="s">
        <v>392</v>
      </c>
      <c r="D248" s="159" t="s">
        <v>383</v>
      </c>
      <c r="E248" s="159" t="s">
        <v>677</v>
      </c>
      <c r="F248" s="159"/>
      <c r="G248" s="359">
        <f aca="true" t="shared" si="44" ref="G248:O251">G249</f>
        <v>-54.4</v>
      </c>
      <c r="H248" s="359">
        <f t="shared" si="44"/>
        <v>44.5</v>
      </c>
      <c r="I248" s="359">
        <f t="shared" si="44"/>
        <v>0</v>
      </c>
      <c r="J248" s="355">
        <f t="shared" si="44"/>
        <v>741.3</v>
      </c>
      <c r="K248" s="355" t="e">
        <f t="shared" si="44"/>
        <v>#REF!</v>
      </c>
      <c r="L248" s="170">
        <f t="shared" si="44"/>
        <v>0</v>
      </c>
      <c r="M248" s="170">
        <f>M249</f>
        <v>0</v>
      </c>
      <c r="N248" s="170">
        <f t="shared" si="44"/>
        <v>0</v>
      </c>
      <c r="O248" s="170">
        <f>O249</f>
        <v>0</v>
      </c>
    </row>
    <row r="249" spans="1:15" s="232" customFormat="1" ht="14.25" hidden="1">
      <c r="A249" s="179" t="s">
        <v>678</v>
      </c>
      <c r="B249" s="159" t="s">
        <v>53</v>
      </c>
      <c r="C249" s="159" t="s">
        <v>392</v>
      </c>
      <c r="D249" s="159" t="s">
        <v>383</v>
      </c>
      <c r="E249" s="159" t="s">
        <v>677</v>
      </c>
      <c r="F249" s="159" t="s">
        <v>679</v>
      </c>
      <c r="G249" s="365">
        <f>G250+G255</f>
        <v>-54.4</v>
      </c>
      <c r="H249" s="365">
        <f>H250+H255</f>
        <v>44.5</v>
      </c>
      <c r="I249" s="365">
        <f>I250+I255</f>
        <v>0</v>
      </c>
      <c r="J249" s="161">
        <f>J250+J255</f>
        <v>741.3</v>
      </c>
      <c r="K249" s="161" t="e">
        <f>K250+K255</f>
        <v>#REF!</v>
      </c>
      <c r="L249" s="170"/>
      <c r="M249" s="170"/>
      <c r="N249" s="170">
        <f>L249+M249</f>
        <v>0</v>
      </c>
      <c r="O249" s="170"/>
    </row>
    <row r="250" spans="1:15" ht="26.25" hidden="1">
      <c r="A250" s="179" t="s">
        <v>680</v>
      </c>
      <c r="B250" s="159" t="s">
        <v>53</v>
      </c>
      <c r="C250" s="159" t="s">
        <v>392</v>
      </c>
      <c r="D250" s="159" t="s">
        <v>383</v>
      </c>
      <c r="E250" s="159" t="s">
        <v>681</v>
      </c>
      <c r="F250" s="159"/>
      <c r="G250" s="360">
        <f t="shared" si="44"/>
        <v>-54.4</v>
      </c>
      <c r="H250" s="360">
        <f t="shared" si="44"/>
        <v>44.5</v>
      </c>
      <c r="I250" s="360">
        <f t="shared" si="44"/>
        <v>0</v>
      </c>
      <c r="J250" s="170">
        <f t="shared" si="44"/>
        <v>0</v>
      </c>
      <c r="K250" s="170" t="e">
        <f t="shared" si="44"/>
        <v>#REF!</v>
      </c>
      <c r="L250" s="170">
        <f t="shared" si="44"/>
        <v>0</v>
      </c>
      <c r="M250" s="170">
        <f t="shared" si="44"/>
        <v>0</v>
      </c>
      <c r="N250" s="170">
        <f t="shared" si="44"/>
        <v>0</v>
      </c>
      <c r="O250" s="170">
        <f t="shared" si="44"/>
        <v>0</v>
      </c>
    </row>
    <row r="251" spans="1:15" ht="15" hidden="1">
      <c r="A251" s="179" t="s">
        <v>678</v>
      </c>
      <c r="B251" s="159" t="s">
        <v>53</v>
      </c>
      <c r="C251" s="159" t="s">
        <v>392</v>
      </c>
      <c r="D251" s="159" t="s">
        <v>383</v>
      </c>
      <c r="E251" s="159" t="s">
        <v>681</v>
      </c>
      <c r="F251" s="159" t="s">
        <v>679</v>
      </c>
      <c r="G251" s="360">
        <f t="shared" si="44"/>
        <v>-54.4</v>
      </c>
      <c r="H251" s="360">
        <f t="shared" si="44"/>
        <v>44.5</v>
      </c>
      <c r="I251" s="360">
        <f t="shared" si="44"/>
        <v>0</v>
      </c>
      <c r="J251" s="170">
        <f t="shared" si="44"/>
        <v>0</v>
      </c>
      <c r="K251" s="170" t="e">
        <f t="shared" si="44"/>
        <v>#REF!</v>
      </c>
      <c r="L251" s="170"/>
      <c r="M251" s="170"/>
      <c r="N251" s="170">
        <f>L251+M251</f>
        <v>0</v>
      </c>
      <c r="O251" s="170"/>
    </row>
    <row r="252" spans="1:15" ht="51.75" hidden="1">
      <c r="A252" s="179" t="s">
        <v>682</v>
      </c>
      <c r="B252" s="159" t="s">
        <v>53</v>
      </c>
      <c r="C252" s="159" t="s">
        <v>392</v>
      </c>
      <c r="D252" s="159" t="s">
        <v>383</v>
      </c>
      <c r="E252" s="159" t="s">
        <v>683</v>
      </c>
      <c r="F252" s="159"/>
      <c r="G252" s="360">
        <f>-54.4</f>
        <v>-54.4</v>
      </c>
      <c r="H252" s="357">
        <v>44.5</v>
      </c>
      <c r="I252" s="360"/>
      <c r="J252" s="170"/>
      <c r="K252" s="170" t="e">
        <f>#REF!+J252</f>
        <v>#REF!</v>
      </c>
      <c r="L252" s="170">
        <f>L253</f>
        <v>0</v>
      </c>
      <c r="M252" s="170">
        <f>M253</f>
        <v>0</v>
      </c>
      <c r="N252" s="170">
        <f>N253</f>
        <v>0</v>
      </c>
      <c r="O252" s="170">
        <f>O253</f>
        <v>0</v>
      </c>
    </row>
    <row r="253" spans="1:15" ht="15" hidden="1">
      <c r="A253" s="179" t="s">
        <v>678</v>
      </c>
      <c r="B253" s="159" t="s">
        <v>53</v>
      </c>
      <c r="C253" s="159" t="s">
        <v>392</v>
      </c>
      <c r="D253" s="159" t="s">
        <v>383</v>
      </c>
      <c r="E253" s="159" t="s">
        <v>683</v>
      </c>
      <c r="F253" s="159" t="s">
        <v>679</v>
      </c>
      <c r="G253" s="360"/>
      <c r="H253" s="357"/>
      <c r="I253" s="360"/>
      <c r="J253" s="170"/>
      <c r="K253" s="170"/>
      <c r="L253" s="170">
        <v>0</v>
      </c>
      <c r="M253" s="170"/>
      <c r="N253" s="170">
        <f>L253+M253</f>
        <v>0</v>
      </c>
      <c r="O253" s="170"/>
    </row>
    <row r="254" spans="1:15" ht="39" hidden="1">
      <c r="A254" s="231" t="s">
        <v>684</v>
      </c>
      <c r="B254" s="168" t="s">
        <v>53</v>
      </c>
      <c r="C254" s="168" t="s">
        <v>392</v>
      </c>
      <c r="D254" s="168" t="s">
        <v>384</v>
      </c>
      <c r="E254" s="168"/>
      <c r="F254" s="168"/>
      <c r="G254" s="360"/>
      <c r="H254" s="357"/>
      <c r="I254" s="360"/>
      <c r="J254" s="170"/>
      <c r="K254" s="170"/>
      <c r="L254" s="161">
        <f aca="true" t="shared" si="45" ref="L254:O255">L255</f>
        <v>0</v>
      </c>
      <c r="M254" s="161">
        <f t="shared" si="45"/>
        <v>0</v>
      </c>
      <c r="N254" s="161">
        <f t="shared" si="45"/>
        <v>0</v>
      </c>
      <c r="O254" s="161">
        <f t="shared" si="45"/>
        <v>0</v>
      </c>
    </row>
    <row r="255" spans="1:15" ht="39" hidden="1">
      <c r="A255" s="179" t="s">
        <v>685</v>
      </c>
      <c r="B255" s="159" t="s">
        <v>53</v>
      </c>
      <c r="C255" s="159" t="s">
        <v>392</v>
      </c>
      <c r="D255" s="159" t="s">
        <v>384</v>
      </c>
      <c r="E255" s="159" t="s">
        <v>644</v>
      </c>
      <c r="F255" s="159"/>
      <c r="G255" s="362"/>
      <c r="H255" s="363"/>
      <c r="I255" s="362"/>
      <c r="J255" s="170">
        <f>J256</f>
        <v>741.3</v>
      </c>
      <c r="K255" s="170" t="e">
        <f>K256</f>
        <v>#REF!</v>
      </c>
      <c r="L255" s="170">
        <f t="shared" si="45"/>
        <v>0</v>
      </c>
      <c r="M255" s="170">
        <f t="shared" si="45"/>
        <v>0</v>
      </c>
      <c r="N255" s="170">
        <f t="shared" si="45"/>
        <v>0</v>
      </c>
      <c r="O255" s="170">
        <f t="shared" si="45"/>
        <v>0</v>
      </c>
    </row>
    <row r="256" spans="1:15" ht="15" hidden="1">
      <c r="A256" s="179" t="s">
        <v>686</v>
      </c>
      <c r="B256" s="159" t="s">
        <v>53</v>
      </c>
      <c r="C256" s="159" t="s">
        <v>392</v>
      </c>
      <c r="D256" s="159" t="s">
        <v>384</v>
      </c>
      <c r="E256" s="159" t="s">
        <v>644</v>
      </c>
      <c r="F256" s="159" t="s">
        <v>646</v>
      </c>
      <c r="G256" s="362"/>
      <c r="H256" s="363"/>
      <c r="I256" s="362"/>
      <c r="J256" s="170">
        <v>741.3</v>
      </c>
      <c r="K256" s="170" t="e">
        <f>#REF!+J256</f>
        <v>#REF!</v>
      </c>
      <c r="L256" s="170"/>
      <c r="M256" s="170"/>
      <c r="N256" s="170">
        <f>L256+M256</f>
        <v>0</v>
      </c>
      <c r="O256" s="170"/>
    </row>
    <row r="257" spans="1:15" ht="26.25">
      <c r="A257" s="231" t="s">
        <v>449</v>
      </c>
      <c r="B257" s="168" t="s">
        <v>53</v>
      </c>
      <c r="C257" s="168" t="s">
        <v>394</v>
      </c>
      <c r="D257" s="168"/>
      <c r="E257" s="159"/>
      <c r="F257" s="159"/>
      <c r="G257" s="359" t="e">
        <f>G258+G263+G271+#REF!</f>
        <v>#REF!</v>
      </c>
      <c r="H257" s="359" t="e">
        <f>H258+H263+H271+#REF!</f>
        <v>#REF!</v>
      </c>
      <c r="I257" s="359" t="e">
        <f>I258+I263+I271+#REF!</f>
        <v>#REF!</v>
      </c>
      <c r="J257" s="355" t="e">
        <f>J258+J263+J271+#REF!</f>
        <v>#REF!</v>
      </c>
      <c r="K257" s="355" t="e">
        <f>K258+K263+K271+#REF!</f>
        <v>#REF!</v>
      </c>
      <c r="L257" s="161">
        <f>L259</f>
        <v>100</v>
      </c>
      <c r="M257" s="161">
        <f>M259</f>
        <v>-54.96</v>
      </c>
      <c r="N257" s="161">
        <f>N259</f>
        <v>45.04</v>
      </c>
      <c r="O257" s="161">
        <f>O259</f>
        <v>7.22</v>
      </c>
    </row>
    <row r="258" spans="1:15" s="232" customFormat="1" ht="30.75" customHeight="1">
      <c r="A258" s="231" t="s">
        <v>451</v>
      </c>
      <c r="B258" s="168" t="s">
        <v>53</v>
      </c>
      <c r="C258" s="168" t="s">
        <v>394</v>
      </c>
      <c r="D258" s="168" t="s">
        <v>382</v>
      </c>
      <c r="E258" s="159"/>
      <c r="F258" s="159"/>
      <c r="G258" s="348">
        <f>G259+G261</f>
        <v>264</v>
      </c>
      <c r="H258" s="348">
        <f>H259+H261</f>
        <v>20914.8</v>
      </c>
      <c r="I258" s="348">
        <f>I259+I261</f>
        <v>0</v>
      </c>
      <c r="J258" s="161">
        <f>J259+J261</f>
        <v>8.4</v>
      </c>
      <c r="K258" s="161" t="e">
        <f>K259+K261</f>
        <v>#REF!</v>
      </c>
      <c r="L258" s="161">
        <f aca="true" t="shared" si="46" ref="L258:O259">L259</f>
        <v>100</v>
      </c>
      <c r="M258" s="161">
        <f t="shared" si="46"/>
        <v>-54.96</v>
      </c>
      <c r="N258" s="161">
        <f t="shared" si="46"/>
        <v>45.04</v>
      </c>
      <c r="O258" s="161">
        <f t="shared" si="46"/>
        <v>7.22</v>
      </c>
    </row>
    <row r="259" spans="1:15" ht="26.25">
      <c r="A259" s="179" t="s">
        <v>629</v>
      </c>
      <c r="B259" s="159" t="s">
        <v>53</v>
      </c>
      <c r="C259" s="159" t="s">
        <v>394</v>
      </c>
      <c r="D259" s="159" t="s">
        <v>382</v>
      </c>
      <c r="E259" s="159" t="s">
        <v>687</v>
      </c>
      <c r="F259" s="159"/>
      <c r="G259" s="360">
        <f>G260</f>
        <v>0</v>
      </c>
      <c r="H259" s="360">
        <f>H260</f>
        <v>3469.8</v>
      </c>
      <c r="I259" s="360">
        <f>I260</f>
        <v>0</v>
      </c>
      <c r="J259" s="170">
        <f>J260</f>
        <v>0</v>
      </c>
      <c r="K259" s="170" t="e">
        <f>K260</f>
        <v>#REF!</v>
      </c>
      <c r="L259" s="170">
        <f t="shared" si="46"/>
        <v>100</v>
      </c>
      <c r="M259" s="170">
        <f t="shared" si="46"/>
        <v>-54.96</v>
      </c>
      <c r="N259" s="170">
        <f t="shared" si="46"/>
        <v>45.04</v>
      </c>
      <c r="O259" s="170">
        <f t="shared" si="46"/>
        <v>7.22</v>
      </c>
    </row>
    <row r="260" spans="1:15" ht="26.25">
      <c r="A260" s="179" t="s">
        <v>630</v>
      </c>
      <c r="B260" s="159" t="s">
        <v>53</v>
      </c>
      <c r="C260" s="159" t="s">
        <v>394</v>
      </c>
      <c r="D260" s="159" t="s">
        <v>382</v>
      </c>
      <c r="E260" s="159" t="s">
        <v>688</v>
      </c>
      <c r="F260" s="159"/>
      <c r="G260" s="360"/>
      <c r="H260" s="357">
        <v>3469.8</v>
      </c>
      <c r="I260" s="360"/>
      <c r="J260" s="170"/>
      <c r="K260" s="170" t="e">
        <f>#REF!+J260</f>
        <v>#REF!</v>
      </c>
      <c r="L260" s="170">
        <f>L261+L262</f>
        <v>100</v>
      </c>
      <c r="M260" s="170">
        <f>M261+M262</f>
        <v>-54.96</v>
      </c>
      <c r="N260" s="170">
        <f>N261+N262</f>
        <v>45.04</v>
      </c>
      <c r="O260" s="170">
        <f>O261+O262</f>
        <v>7.22</v>
      </c>
    </row>
    <row r="261" spans="1:15" ht="15">
      <c r="A261" s="179" t="s">
        <v>631</v>
      </c>
      <c r="B261" s="159" t="s">
        <v>53</v>
      </c>
      <c r="C261" s="159" t="s">
        <v>394</v>
      </c>
      <c r="D261" s="159" t="s">
        <v>382</v>
      </c>
      <c r="E261" s="159" t="s">
        <v>688</v>
      </c>
      <c r="F261" s="159" t="s">
        <v>632</v>
      </c>
      <c r="G261" s="360">
        <f>G262</f>
        <v>264</v>
      </c>
      <c r="H261" s="360">
        <f>H262</f>
        <v>17445</v>
      </c>
      <c r="I261" s="360">
        <f>I262</f>
        <v>0</v>
      </c>
      <c r="J261" s="170">
        <f>J262</f>
        <v>8.4</v>
      </c>
      <c r="K261" s="170" t="e">
        <f>K262</f>
        <v>#REF!</v>
      </c>
      <c r="L261" s="170">
        <v>100</v>
      </c>
      <c r="M261" s="170">
        <v>-100</v>
      </c>
      <c r="N261" s="170">
        <f>L261+M261</f>
        <v>0</v>
      </c>
      <c r="O261" s="170"/>
    </row>
    <row r="262" spans="1:15" ht="25.5">
      <c r="A262" s="213" t="s">
        <v>689</v>
      </c>
      <c r="B262" s="159" t="s">
        <v>53</v>
      </c>
      <c r="C262" s="159" t="s">
        <v>394</v>
      </c>
      <c r="D262" s="159" t="s">
        <v>382</v>
      </c>
      <c r="E262" s="159" t="s">
        <v>688</v>
      </c>
      <c r="F262" s="159" t="s">
        <v>690</v>
      </c>
      <c r="G262" s="360">
        <v>264</v>
      </c>
      <c r="H262" s="357">
        <v>17445</v>
      </c>
      <c r="I262" s="360"/>
      <c r="J262" s="170">
        <f>8.4</f>
        <v>8.4</v>
      </c>
      <c r="K262" s="170" t="e">
        <f>#REF!+J262</f>
        <v>#REF!</v>
      </c>
      <c r="L262" s="170"/>
      <c r="M262" s="170">
        <v>45.04</v>
      </c>
      <c r="N262" s="170">
        <f>L262+M262</f>
        <v>45.04</v>
      </c>
      <c r="O262" s="170">
        <v>7.22</v>
      </c>
    </row>
    <row r="263" spans="1:15" s="232" customFormat="1" ht="38.25">
      <c r="A263" s="231" t="s">
        <v>691</v>
      </c>
      <c r="B263" s="168" t="s">
        <v>53</v>
      </c>
      <c r="C263" s="168" t="s">
        <v>396</v>
      </c>
      <c r="D263" s="168" t="s">
        <v>641</v>
      </c>
      <c r="E263" s="168"/>
      <c r="F263" s="168"/>
      <c r="G263" s="348">
        <f>G264</f>
        <v>0</v>
      </c>
      <c r="H263" s="348">
        <f>H264</f>
        <v>9363.8</v>
      </c>
      <c r="I263" s="348">
        <f>I264</f>
        <v>0</v>
      </c>
      <c r="J263" s="161">
        <f>J264</f>
        <v>-768</v>
      </c>
      <c r="K263" s="161" t="e">
        <f>K264</f>
        <v>#REF!</v>
      </c>
      <c r="L263" s="161">
        <f>L264+L272</f>
        <v>29126.1</v>
      </c>
      <c r="M263" s="161">
        <f>M264+M272</f>
        <v>-0.1999999999998181</v>
      </c>
      <c r="N263" s="161">
        <f>N264+N272</f>
        <v>29125.9</v>
      </c>
      <c r="O263" s="161">
        <f>O264+O272</f>
        <v>29125.9</v>
      </c>
    </row>
    <row r="264" spans="1:15" ht="39">
      <c r="A264" s="231" t="s">
        <v>692</v>
      </c>
      <c r="B264" s="168" t="s">
        <v>53</v>
      </c>
      <c r="C264" s="168" t="s">
        <v>396</v>
      </c>
      <c r="D264" s="168" t="s">
        <v>382</v>
      </c>
      <c r="E264" s="168"/>
      <c r="F264" s="168"/>
      <c r="G264" s="360">
        <f>G267+G269+G265</f>
        <v>0</v>
      </c>
      <c r="H264" s="360">
        <f>H267+H269+H265</f>
        <v>9363.8</v>
      </c>
      <c r="I264" s="360">
        <f>I267+I269+I265</f>
        <v>0</v>
      </c>
      <c r="J264" s="170">
        <f>J267+J269+J265</f>
        <v>-768</v>
      </c>
      <c r="K264" s="170" t="e">
        <f>K267+K269+K265</f>
        <v>#REF!</v>
      </c>
      <c r="L264" s="161">
        <f>L265</f>
        <v>23512.3</v>
      </c>
      <c r="M264" s="161">
        <f>M265</f>
        <v>5613.6</v>
      </c>
      <c r="N264" s="161">
        <f>N265</f>
        <v>29125.9</v>
      </c>
      <c r="O264" s="161">
        <f>O265</f>
        <v>29125.9</v>
      </c>
    </row>
    <row r="265" spans="1:15" ht="19.5" customHeight="1">
      <c r="A265" s="173" t="s">
        <v>693</v>
      </c>
      <c r="B265" s="159" t="s">
        <v>53</v>
      </c>
      <c r="C265" s="159" t="s">
        <v>396</v>
      </c>
      <c r="D265" s="159" t="s">
        <v>382</v>
      </c>
      <c r="E265" s="159" t="s">
        <v>694</v>
      </c>
      <c r="F265" s="159"/>
      <c r="G265" s="360">
        <f>G266</f>
        <v>0</v>
      </c>
      <c r="H265" s="360">
        <f>H266</f>
        <v>4300</v>
      </c>
      <c r="I265" s="360">
        <f>I266</f>
        <v>0</v>
      </c>
      <c r="J265" s="170">
        <f>J266</f>
        <v>-768</v>
      </c>
      <c r="K265" s="170" t="e">
        <f>K266</f>
        <v>#REF!</v>
      </c>
      <c r="L265" s="170">
        <f>L266+L269</f>
        <v>23512.3</v>
      </c>
      <c r="M265" s="170">
        <f>M266+M269</f>
        <v>5613.6</v>
      </c>
      <c r="N265" s="170">
        <f>L265+M265</f>
        <v>29125.9</v>
      </c>
      <c r="O265" s="170">
        <f>O266+O269</f>
        <v>29125.9</v>
      </c>
    </row>
    <row r="266" spans="1:15" ht="39.75" customHeight="1">
      <c r="A266" s="173" t="s">
        <v>695</v>
      </c>
      <c r="B266" s="159" t="s">
        <v>53</v>
      </c>
      <c r="C266" s="159" t="s">
        <v>396</v>
      </c>
      <c r="D266" s="159" t="s">
        <v>382</v>
      </c>
      <c r="E266" s="159" t="s">
        <v>668</v>
      </c>
      <c r="F266" s="159"/>
      <c r="G266" s="360"/>
      <c r="H266" s="357">
        <v>4300</v>
      </c>
      <c r="I266" s="360"/>
      <c r="J266" s="170">
        <f>-768</f>
        <v>-768</v>
      </c>
      <c r="K266" s="170" t="e">
        <f>#REF!+J266</f>
        <v>#REF!</v>
      </c>
      <c r="L266" s="170">
        <f>L267+L268</f>
        <v>4269.5</v>
      </c>
      <c r="M266" s="170">
        <f>M267+M268</f>
        <v>5613.6</v>
      </c>
      <c r="N266" s="170">
        <f>N267+N268</f>
        <v>9883.1</v>
      </c>
      <c r="O266" s="170">
        <f>O267+O268</f>
        <v>9883.1</v>
      </c>
    </row>
    <row r="267" spans="1:15" ht="15">
      <c r="A267" s="173" t="s">
        <v>696</v>
      </c>
      <c r="B267" s="159" t="s">
        <v>53</v>
      </c>
      <c r="C267" s="159" t="s">
        <v>396</v>
      </c>
      <c r="D267" s="159" t="s">
        <v>382</v>
      </c>
      <c r="E267" s="159" t="s">
        <v>668</v>
      </c>
      <c r="F267" s="159" t="s">
        <v>670</v>
      </c>
      <c r="G267" s="360">
        <f>G268</f>
        <v>0</v>
      </c>
      <c r="H267" s="360">
        <f>H268</f>
        <v>3301.5</v>
      </c>
      <c r="I267" s="360">
        <f>I268</f>
        <v>0</v>
      </c>
      <c r="J267" s="170">
        <f>J268</f>
        <v>0</v>
      </c>
      <c r="K267" s="170" t="e">
        <f>K268</f>
        <v>#REF!</v>
      </c>
      <c r="L267" s="170">
        <v>4269.5</v>
      </c>
      <c r="M267" s="170">
        <v>-4269.5</v>
      </c>
      <c r="N267" s="170">
        <f>L267+M267</f>
        <v>0</v>
      </c>
      <c r="O267" s="170"/>
    </row>
    <row r="268" spans="1:15" ht="38.25">
      <c r="A268" s="213" t="s">
        <v>697</v>
      </c>
      <c r="B268" s="159" t="s">
        <v>53</v>
      </c>
      <c r="C268" s="159" t="s">
        <v>396</v>
      </c>
      <c r="D268" s="159" t="s">
        <v>382</v>
      </c>
      <c r="E268" s="159" t="s">
        <v>668</v>
      </c>
      <c r="F268" s="159" t="s">
        <v>698</v>
      </c>
      <c r="G268" s="360"/>
      <c r="H268" s="177">
        <v>3301.5</v>
      </c>
      <c r="I268" s="177"/>
      <c r="J268" s="170"/>
      <c r="K268" s="170" t="e">
        <f>#REF!+J268</f>
        <v>#REF!</v>
      </c>
      <c r="L268" s="170"/>
      <c r="M268" s="170">
        <v>9883.1</v>
      </c>
      <c r="N268" s="170">
        <f>L268+M268</f>
        <v>9883.1</v>
      </c>
      <c r="O268" s="170">
        <v>9883.1</v>
      </c>
    </row>
    <row r="269" spans="1:15" ht="39">
      <c r="A269" s="173" t="s">
        <v>699</v>
      </c>
      <c r="B269" s="159" t="s">
        <v>53</v>
      </c>
      <c r="C269" s="159" t="s">
        <v>396</v>
      </c>
      <c r="D269" s="159" t="s">
        <v>382</v>
      </c>
      <c r="E269" s="159" t="s">
        <v>672</v>
      </c>
      <c r="F269" s="159"/>
      <c r="G269" s="360">
        <f>G270</f>
        <v>0</v>
      </c>
      <c r="H269" s="360">
        <f>H270</f>
        <v>1762.3</v>
      </c>
      <c r="I269" s="360">
        <f>I270</f>
        <v>0</v>
      </c>
      <c r="J269" s="170">
        <f>J270</f>
        <v>0</v>
      </c>
      <c r="K269" s="170" t="e">
        <f>K270</f>
        <v>#REF!</v>
      </c>
      <c r="L269" s="170">
        <f>L270+L271</f>
        <v>19242.8</v>
      </c>
      <c r="M269" s="170">
        <f>M270+M271</f>
        <v>0</v>
      </c>
      <c r="N269" s="170">
        <f>N270+N271</f>
        <v>19242.8</v>
      </c>
      <c r="O269" s="170">
        <f>O270+O271</f>
        <v>19242.8</v>
      </c>
    </row>
    <row r="270" spans="1:15" ht="15">
      <c r="A270" s="173" t="s">
        <v>696</v>
      </c>
      <c r="B270" s="159" t="s">
        <v>53</v>
      </c>
      <c r="C270" s="159" t="s">
        <v>396</v>
      </c>
      <c r="D270" s="159" t="s">
        <v>382</v>
      </c>
      <c r="E270" s="159" t="s">
        <v>672</v>
      </c>
      <c r="F270" s="159" t="s">
        <v>670</v>
      </c>
      <c r="G270" s="360"/>
      <c r="H270" s="177">
        <v>1762.3</v>
      </c>
      <c r="I270" s="177"/>
      <c r="J270" s="170"/>
      <c r="K270" s="170" t="e">
        <f>#REF!+J270</f>
        <v>#REF!</v>
      </c>
      <c r="L270" s="170">
        <v>19242.8</v>
      </c>
      <c r="M270" s="170">
        <v>-19242.8</v>
      </c>
      <c r="N270" s="170">
        <f>L270+M270</f>
        <v>0</v>
      </c>
      <c r="O270" s="170"/>
    </row>
    <row r="271" spans="1:18" s="232" customFormat="1" ht="38.25">
      <c r="A271" s="213" t="s">
        <v>697</v>
      </c>
      <c r="B271" s="159" t="s">
        <v>53</v>
      </c>
      <c r="C271" s="159" t="s">
        <v>396</v>
      </c>
      <c r="D271" s="159" t="s">
        <v>382</v>
      </c>
      <c r="E271" s="159" t="s">
        <v>672</v>
      </c>
      <c r="F271" s="159" t="s">
        <v>698</v>
      </c>
      <c r="G271" s="348">
        <f aca="true" t="shared" si="47" ref="G271:O274">G272</f>
        <v>42.8</v>
      </c>
      <c r="H271" s="348">
        <f t="shared" si="47"/>
        <v>573.7</v>
      </c>
      <c r="I271" s="348">
        <f t="shared" si="47"/>
        <v>0</v>
      </c>
      <c r="J271" s="161">
        <f t="shared" si="47"/>
        <v>0</v>
      </c>
      <c r="K271" s="161" t="e">
        <f t="shared" si="47"/>
        <v>#REF!</v>
      </c>
      <c r="L271" s="170"/>
      <c r="M271" s="170">
        <v>19242.8</v>
      </c>
      <c r="N271" s="170">
        <f>L271+M271</f>
        <v>19242.8</v>
      </c>
      <c r="O271" s="170">
        <v>19242.8</v>
      </c>
      <c r="R271" s="243"/>
    </row>
    <row r="272" spans="1:15" ht="51.75">
      <c r="A272" s="231" t="s">
        <v>456</v>
      </c>
      <c r="B272" s="168" t="s">
        <v>53</v>
      </c>
      <c r="C272" s="168" t="s">
        <v>396</v>
      </c>
      <c r="D272" s="168" t="s">
        <v>384</v>
      </c>
      <c r="E272" s="168"/>
      <c r="F272" s="168"/>
      <c r="G272" s="360">
        <f t="shared" si="47"/>
        <v>42.8</v>
      </c>
      <c r="H272" s="360">
        <f t="shared" si="47"/>
        <v>573.7</v>
      </c>
      <c r="I272" s="360">
        <f t="shared" si="47"/>
        <v>0</v>
      </c>
      <c r="J272" s="170">
        <f t="shared" si="47"/>
        <v>0</v>
      </c>
      <c r="K272" s="170" t="e">
        <f t="shared" si="47"/>
        <v>#REF!</v>
      </c>
      <c r="L272" s="161">
        <f t="shared" si="47"/>
        <v>5613.8</v>
      </c>
      <c r="M272" s="161">
        <f t="shared" si="47"/>
        <v>-5613.8</v>
      </c>
      <c r="N272" s="161">
        <f t="shared" si="47"/>
        <v>0</v>
      </c>
      <c r="O272" s="161">
        <f t="shared" si="47"/>
        <v>0</v>
      </c>
    </row>
    <row r="273" spans="1:15" ht="77.25">
      <c r="A273" s="179" t="s">
        <v>674</v>
      </c>
      <c r="B273" s="159" t="s">
        <v>53</v>
      </c>
      <c r="C273" s="159" t="s">
        <v>396</v>
      </c>
      <c r="D273" s="159" t="s">
        <v>384</v>
      </c>
      <c r="E273" s="159" t="s">
        <v>675</v>
      </c>
      <c r="F273" s="159"/>
      <c r="G273" s="360">
        <v>42.8</v>
      </c>
      <c r="H273" s="360">
        <v>573.7</v>
      </c>
      <c r="I273" s="360"/>
      <c r="J273" s="170"/>
      <c r="K273" s="170" t="e">
        <f>#REF!+J273</f>
        <v>#REF!</v>
      </c>
      <c r="L273" s="170">
        <f t="shared" si="47"/>
        <v>5613.8</v>
      </c>
      <c r="M273" s="170">
        <f t="shared" si="47"/>
        <v>-5613.8</v>
      </c>
      <c r="N273" s="170">
        <f t="shared" si="47"/>
        <v>0</v>
      </c>
      <c r="O273" s="170">
        <f t="shared" si="47"/>
        <v>0</v>
      </c>
    </row>
    <row r="274" spans="1:15" ht="51.75">
      <c r="A274" s="179" t="s">
        <v>682</v>
      </c>
      <c r="B274" s="159" t="s">
        <v>53</v>
      </c>
      <c r="C274" s="159" t="s">
        <v>396</v>
      </c>
      <c r="D274" s="159" t="s">
        <v>384</v>
      </c>
      <c r="E274" s="159" t="s">
        <v>683</v>
      </c>
      <c r="F274" s="159"/>
      <c r="G274" s="385" t="e">
        <f>#REF!</f>
        <v>#REF!</v>
      </c>
      <c r="H274" s="386" t="e">
        <f>#REF!+#REF!</f>
        <v>#REF!</v>
      </c>
      <c r="I274" s="386" t="e">
        <f>#REF!+#REF!</f>
        <v>#REF!</v>
      </c>
      <c r="J274" s="170"/>
      <c r="K274" s="170"/>
      <c r="L274" s="170">
        <f t="shared" si="47"/>
        <v>5613.8</v>
      </c>
      <c r="M274" s="170">
        <f t="shared" si="47"/>
        <v>-5613.8</v>
      </c>
      <c r="N274" s="170">
        <f t="shared" si="47"/>
        <v>0</v>
      </c>
      <c r="O274" s="170">
        <f t="shared" si="47"/>
        <v>0</v>
      </c>
    </row>
    <row r="275" spans="1:15" ht="15">
      <c r="A275" s="179" t="s">
        <v>678</v>
      </c>
      <c r="B275" s="159" t="s">
        <v>53</v>
      </c>
      <c r="C275" s="159" t="s">
        <v>396</v>
      </c>
      <c r="D275" s="159" t="s">
        <v>384</v>
      </c>
      <c r="E275" s="159" t="s">
        <v>683</v>
      </c>
      <c r="F275" s="159" t="s">
        <v>679</v>
      </c>
      <c r="G275" s="360"/>
      <c r="H275" s="357"/>
      <c r="I275" s="357"/>
      <c r="J275" s="170"/>
      <c r="K275" s="170"/>
      <c r="L275" s="170">
        <v>5613.8</v>
      </c>
      <c r="M275" s="170">
        <v>-5613.8</v>
      </c>
      <c r="N275" s="170">
        <f>L275+M275</f>
        <v>0</v>
      </c>
      <c r="O275" s="170"/>
    </row>
    <row r="276" spans="1:15" ht="26.25">
      <c r="A276" s="372" t="s">
        <v>700</v>
      </c>
      <c r="B276" s="350" t="s">
        <v>701</v>
      </c>
      <c r="C276" s="350"/>
      <c r="D276" s="350"/>
      <c r="E276" s="350"/>
      <c r="F276" s="350"/>
      <c r="G276" s="373" t="e">
        <f aca="true" t="shared" si="48" ref="G276:N276">G277+G288</f>
        <v>#REF!</v>
      </c>
      <c r="H276" s="373">
        <f t="shared" si="48"/>
        <v>42203.4</v>
      </c>
      <c r="I276" s="373">
        <f t="shared" si="48"/>
        <v>0</v>
      </c>
      <c r="J276" s="353">
        <f t="shared" si="48"/>
        <v>135.5</v>
      </c>
      <c r="K276" s="353" t="e">
        <f t="shared" si="48"/>
        <v>#REF!</v>
      </c>
      <c r="L276" s="353">
        <f t="shared" si="48"/>
        <v>61242.087</v>
      </c>
      <c r="M276" s="161">
        <f t="shared" si="48"/>
        <v>-61242.087</v>
      </c>
      <c r="N276" s="161">
        <f t="shared" si="48"/>
        <v>0</v>
      </c>
      <c r="O276" s="161">
        <f>O277+O288</f>
        <v>0</v>
      </c>
    </row>
    <row r="277" spans="1:15" ht="15">
      <c r="A277" s="242" t="s">
        <v>417</v>
      </c>
      <c r="B277" s="350" t="s">
        <v>701</v>
      </c>
      <c r="C277" s="350" t="s">
        <v>390</v>
      </c>
      <c r="D277" s="351"/>
      <c r="E277" s="351"/>
      <c r="F277" s="351"/>
      <c r="G277" s="359">
        <f aca="true" t="shared" si="49" ref="G277:O280">G278</f>
        <v>0</v>
      </c>
      <c r="H277" s="354">
        <f aca="true" t="shared" si="50" ref="H277:N277">H278+H284</f>
        <v>50</v>
      </c>
      <c r="I277" s="354">
        <f t="shared" si="50"/>
        <v>0</v>
      </c>
      <c r="J277" s="355">
        <f t="shared" si="50"/>
        <v>0</v>
      </c>
      <c r="K277" s="355" t="e">
        <f t="shared" si="50"/>
        <v>#REF!</v>
      </c>
      <c r="L277" s="355">
        <f t="shared" si="50"/>
        <v>1699</v>
      </c>
      <c r="M277" s="161">
        <f t="shared" si="50"/>
        <v>-1699</v>
      </c>
      <c r="N277" s="161">
        <f t="shared" si="50"/>
        <v>0</v>
      </c>
      <c r="O277" s="161">
        <f>O278+O284</f>
        <v>0</v>
      </c>
    </row>
    <row r="278" spans="1:15" s="232" customFormat="1" ht="14.25" customHeight="1" hidden="1">
      <c r="A278" s="246" t="s">
        <v>663</v>
      </c>
      <c r="B278" s="350" t="s">
        <v>701</v>
      </c>
      <c r="C278" s="350" t="s">
        <v>390</v>
      </c>
      <c r="D278" s="350" t="s">
        <v>387</v>
      </c>
      <c r="E278" s="350"/>
      <c r="F278" s="350"/>
      <c r="G278" s="365">
        <f aca="true" t="shared" si="51" ref="G278:N278">G279+G282</f>
        <v>0</v>
      </c>
      <c r="H278" s="365">
        <f t="shared" si="51"/>
        <v>50</v>
      </c>
      <c r="I278" s="365">
        <f t="shared" si="51"/>
        <v>0</v>
      </c>
      <c r="J278" s="161">
        <f t="shared" si="51"/>
        <v>0</v>
      </c>
      <c r="K278" s="161" t="e">
        <f t="shared" si="51"/>
        <v>#REF!</v>
      </c>
      <c r="L278" s="161">
        <f t="shared" si="51"/>
        <v>0</v>
      </c>
      <c r="M278" s="161">
        <f t="shared" si="51"/>
        <v>0</v>
      </c>
      <c r="N278" s="161">
        <f t="shared" si="51"/>
        <v>0</v>
      </c>
      <c r="O278" s="161">
        <f>O279+O282</f>
        <v>0</v>
      </c>
    </row>
    <row r="279" spans="1:15" ht="26.25" customHeight="1" hidden="1">
      <c r="A279" s="179" t="s">
        <v>480</v>
      </c>
      <c r="B279" s="351" t="s">
        <v>701</v>
      </c>
      <c r="C279" s="351" t="s">
        <v>390</v>
      </c>
      <c r="D279" s="351" t="s">
        <v>387</v>
      </c>
      <c r="E279" s="351" t="s">
        <v>481</v>
      </c>
      <c r="F279" s="351"/>
      <c r="G279" s="360">
        <f t="shared" si="49"/>
        <v>-50</v>
      </c>
      <c r="H279" s="360">
        <f t="shared" si="49"/>
        <v>50</v>
      </c>
      <c r="I279" s="360">
        <f t="shared" si="49"/>
        <v>0</v>
      </c>
      <c r="J279" s="170">
        <f t="shared" si="49"/>
        <v>0</v>
      </c>
      <c r="K279" s="170" t="e">
        <f t="shared" si="49"/>
        <v>#REF!</v>
      </c>
      <c r="L279" s="170">
        <f t="shared" si="49"/>
        <v>0</v>
      </c>
      <c r="M279" s="170">
        <f t="shared" si="49"/>
        <v>0</v>
      </c>
      <c r="N279" s="170">
        <f t="shared" si="49"/>
        <v>0</v>
      </c>
      <c r="O279" s="170">
        <f t="shared" si="49"/>
        <v>0</v>
      </c>
    </row>
    <row r="280" spans="1:15" ht="26.25" customHeight="1" hidden="1">
      <c r="A280" s="179" t="s">
        <v>702</v>
      </c>
      <c r="B280" s="351" t="s">
        <v>701</v>
      </c>
      <c r="C280" s="351" t="s">
        <v>390</v>
      </c>
      <c r="D280" s="351" t="s">
        <v>387</v>
      </c>
      <c r="E280" s="351" t="s">
        <v>483</v>
      </c>
      <c r="F280" s="351"/>
      <c r="G280" s="360">
        <f t="shared" si="49"/>
        <v>-50</v>
      </c>
      <c r="H280" s="360">
        <f t="shared" si="49"/>
        <v>50</v>
      </c>
      <c r="I280" s="360">
        <f t="shared" si="49"/>
        <v>0</v>
      </c>
      <c r="J280" s="170">
        <f t="shared" si="49"/>
        <v>0</v>
      </c>
      <c r="K280" s="170" t="e">
        <f t="shared" si="49"/>
        <v>#REF!</v>
      </c>
      <c r="L280" s="170">
        <f t="shared" si="49"/>
        <v>0</v>
      </c>
      <c r="M280" s="170">
        <f t="shared" si="49"/>
        <v>0</v>
      </c>
      <c r="N280" s="170">
        <f t="shared" si="49"/>
        <v>0</v>
      </c>
      <c r="O280" s="170">
        <f t="shared" si="49"/>
        <v>0</v>
      </c>
    </row>
    <row r="281" spans="1:15" ht="26.25" customHeight="1" hidden="1">
      <c r="A281" s="179" t="s">
        <v>493</v>
      </c>
      <c r="B281" s="351" t="s">
        <v>701</v>
      </c>
      <c r="C281" s="351" t="s">
        <v>390</v>
      </c>
      <c r="D281" s="351" t="s">
        <v>387</v>
      </c>
      <c r="E281" s="351" t="s">
        <v>483</v>
      </c>
      <c r="F281" s="351" t="s">
        <v>583</v>
      </c>
      <c r="G281" s="360">
        <v>-50</v>
      </c>
      <c r="H281" s="357">
        <v>50</v>
      </c>
      <c r="I281" s="360"/>
      <c r="J281" s="170"/>
      <c r="K281" s="170" t="e">
        <f>#REF!+J281</f>
        <v>#REF!</v>
      </c>
      <c r="L281" s="170"/>
      <c r="M281" s="170"/>
      <c r="N281" s="170">
        <f>L281+M281</f>
        <v>0</v>
      </c>
      <c r="O281" s="170"/>
    </row>
    <row r="282" spans="1:15" ht="26.25" customHeight="1" hidden="1">
      <c r="A282" s="148" t="s">
        <v>482</v>
      </c>
      <c r="B282" s="351" t="s">
        <v>701</v>
      </c>
      <c r="C282" s="351" t="s">
        <v>390</v>
      </c>
      <c r="D282" s="351" t="s">
        <v>387</v>
      </c>
      <c r="E282" s="351" t="s">
        <v>486</v>
      </c>
      <c r="F282" s="351"/>
      <c r="G282" s="357">
        <f aca="true" t="shared" si="52" ref="G282:O282">G283</f>
        <v>50</v>
      </c>
      <c r="H282" s="357">
        <f t="shared" si="52"/>
        <v>0</v>
      </c>
      <c r="I282" s="357">
        <f t="shared" si="52"/>
        <v>0</v>
      </c>
      <c r="J282" s="170">
        <f t="shared" si="52"/>
        <v>0</v>
      </c>
      <c r="K282" s="170" t="e">
        <f t="shared" si="52"/>
        <v>#REF!</v>
      </c>
      <c r="L282" s="170">
        <f t="shared" si="52"/>
        <v>0</v>
      </c>
      <c r="M282" s="170">
        <f t="shared" si="52"/>
        <v>0</v>
      </c>
      <c r="N282" s="170">
        <f t="shared" si="52"/>
        <v>0</v>
      </c>
      <c r="O282" s="170">
        <f t="shared" si="52"/>
        <v>0</v>
      </c>
    </row>
    <row r="283" spans="1:15" ht="26.25" customHeight="1" hidden="1">
      <c r="A283" s="148" t="s">
        <v>487</v>
      </c>
      <c r="B283" s="351" t="s">
        <v>701</v>
      </c>
      <c r="C283" s="351" t="s">
        <v>390</v>
      </c>
      <c r="D283" s="351" t="s">
        <v>387</v>
      </c>
      <c r="E283" s="351" t="s">
        <v>486</v>
      </c>
      <c r="F283" s="351" t="s">
        <v>485</v>
      </c>
      <c r="G283" s="357">
        <v>50</v>
      </c>
      <c r="H283" s="357"/>
      <c r="I283" s="357"/>
      <c r="J283" s="170"/>
      <c r="K283" s="170" t="e">
        <f>#REF!+J283</f>
        <v>#REF!</v>
      </c>
      <c r="L283" s="170"/>
      <c r="M283" s="170"/>
      <c r="N283" s="170">
        <f>L283+M283</f>
        <v>0</v>
      </c>
      <c r="O283" s="170"/>
    </row>
    <row r="284" spans="1:15" ht="26.25">
      <c r="A284" s="356" t="s">
        <v>422</v>
      </c>
      <c r="B284" s="350" t="s">
        <v>701</v>
      </c>
      <c r="C284" s="350" t="s">
        <v>390</v>
      </c>
      <c r="D284" s="350" t="s">
        <v>390</v>
      </c>
      <c r="E284" s="350"/>
      <c r="F284" s="350"/>
      <c r="G284" s="348" t="e">
        <f aca="true" t="shared" si="53" ref="G284:O286">G285</f>
        <v>#REF!</v>
      </c>
      <c r="H284" s="348">
        <f t="shared" si="53"/>
        <v>0</v>
      </c>
      <c r="I284" s="348">
        <f t="shared" si="53"/>
        <v>0</v>
      </c>
      <c r="J284" s="161">
        <f t="shared" si="53"/>
        <v>0</v>
      </c>
      <c r="K284" s="161" t="e">
        <f t="shared" si="53"/>
        <v>#REF!</v>
      </c>
      <c r="L284" s="161">
        <f t="shared" si="53"/>
        <v>1699</v>
      </c>
      <c r="M284" s="161">
        <f t="shared" si="53"/>
        <v>-1699</v>
      </c>
      <c r="N284" s="161">
        <f t="shared" si="53"/>
        <v>0</v>
      </c>
      <c r="O284" s="161">
        <f t="shared" si="53"/>
        <v>0</v>
      </c>
    </row>
    <row r="285" spans="1:15" ht="39">
      <c r="A285" s="148" t="s">
        <v>573</v>
      </c>
      <c r="B285" s="351" t="s">
        <v>701</v>
      </c>
      <c r="C285" s="351" t="s">
        <v>390</v>
      </c>
      <c r="D285" s="351" t="s">
        <v>390</v>
      </c>
      <c r="E285" s="351" t="s">
        <v>574</v>
      </c>
      <c r="F285" s="351"/>
      <c r="G285" s="360" t="e">
        <f t="shared" si="53"/>
        <v>#REF!</v>
      </c>
      <c r="H285" s="360">
        <f t="shared" si="53"/>
        <v>0</v>
      </c>
      <c r="I285" s="360">
        <f t="shared" si="53"/>
        <v>0</v>
      </c>
      <c r="J285" s="170">
        <f t="shared" si="53"/>
        <v>0</v>
      </c>
      <c r="K285" s="170" t="e">
        <f t="shared" si="53"/>
        <v>#REF!</v>
      </c>
      <c r="L285" s="170">
        <f t="shared" si="53"/>
        <v>1699</v>
      </c>
      <c r="M285" s="170">
        <f t="shared" si="53"/>
        <v>-1699</v>
      </c>
      <c r="N285" s="170">
        <f t="shared" si="53"/>
        <v>0</v>
      </c>
      <c r="O285" s="170">
        <f t="shared" si="53"/>
        <v>0</v>
      </c>
    </row>
    <row r="286" spans="1:15" ht="15">
      <c r="A286" s="148" t="s">
        <v>575</v>
      </c>
      <c r="B286" s="351" t="s">
        <v>701</v>
      </c>
      <c r="C286" s="351" t="s">
        <v>390</v>
      </c>
      <c r="D286" s="351" t="s">
        <v>390</v>
      </c>
      <c r="E286" s="351" t="s">
        <v>576</v>
      </c>
      <c r="F286" s="351"/>
      <c r="G286" s="360" t="e">
        <f>G287+#REF!</f>
        <v>#REF!</v>
      </c>
      <c r="H286" s="357">
        <f t="shared" si="53"/>
        <v>0</v>
      </c>
      <c r="I286" s="360">
        <f t="shared" si="53"/>
        <v>0</v>
      </c>
      <c r="J286" s="170">
        <f t="shared" si="53"/>
        <v>0</v>
      </c>
      <c r="K286" s="170" t="e">
        <f t="shared" si="53"/>
        <v>#REF!</v>
      </c>
      <c r="L286" s="170">
        <f t="shared" si="53"/>
        <v>1699</v>
      </c>
      <c r="M286" s="170">
        <f t="shared" si="53"/>
        <v>-1699</v>
      </c>
      <c r="N286" s="170">
        <f t="shared" si="53"/>
        <v>0</v>
      </c>
      <c r="O286" s="170">
        <f t="shared" si="53"/>
        <v>0</v>
      </c>
    </row>
    <row r="287" spans="1:16" ht="26.25">
      <c r="A287" s="148" t="s">
        <v>504</v>
      </c>
      <c r="B287" s="351" t="s">
        <v>701</v>
      </c>
      <c r="C287" s="351" t="s">
        <v>390</v>
      </c>
      <c r="D287" s="351" t="s">
        <v>390</v>
      </c>
      <c r="E287" s="351" t="s">
        <v>576</v>
      </c>
      <c r="F287" s="351" t="s">
        <v>494</v>
      </c>
      <c r="G287" s="360">
        <v>321</v>
      </c>
      <c r="H287" s="357"/>
      <c r="I287" s="360"/>
      <c r="J287" s="170"/>
      <c r="K287" s="170" t="e">
        <f>#REF!+J287</f>
        <v>#REF!</v>
      </c>
      <c r="L287" s="170">
        <v>1699</v>
      </c>
      <c r="M287" s="170">
        <v>-1699</v>
      </c>
      <c r="N287" s="170">
        <f>L287+M287</f>
        <v>0</v>
      </c>
      <c r="O287" s="170"/>
      <c r="P287" s="150">
        <v>1699</v>
      </c>
    </row>
    <row r="288" spans="1:15" ht="15">
      <c r="A288" s="382" t="s">
        <v>438</v>
      </c>
      <c r="B288" s="350" t="s">
        <v>701</v>
      </c>
      <c r="C288" s="350" t="s">
        <v>437</v>
      </c>
      <c r="D288" s="350"/>
      <c r="E288" s="350"/>
      <c r="F288" s="350"/>
      <c r="G288" s="374" t="e">
        <f aca="true" t="shared" si="54" ref="G288:N288">G289+G296+G306+G357</f>
        <v>#REF!</v>
      </c>
      <c r="H288" s="374">
        <f t="shared" si="54"/>
        <v>42153.4</v>
      </c>
      <c r="I288" s="374">
        <f t="shared" si="54"/>
        <v>0</v>
      </c>
      <c r="J288" s="355">
        <f t="shared" si="54"/>
        <v>135.5</v>
      </c>
      <c r="K288" s="355" t="e">
        <f t="shared" si="54"/>
        <v>#REF!</v>
      </c>
      <c r="L288" s="355">
        <f t="shared" si="54"/>
        <v>59543.087</v>
      </c>
      <c r="M288" s="161">
        <f t="shared" si="54"/>
        <v>-59543.087</v>
      </c>
      <c r="N288" s="161">
        <f t="shared" si="54"/>
        <v>0</v>
      </c>
      <c r="O288" s="161">
        <f>O289+O296+O306+O357</f>
        <v>0</v>
      </c>
    </row>
    <row r="289" spans="1:15" ht="15">
      <c r="A289" s="380" t="s">
        <v>440</v>
      </c>
      <c r="B289" s="350" t="s">
        <v>701</v>
      </c>
      <c r="C289" s="350" t="s">
        <v>437</v>
      </c>
      <c r="D289" s="350" t="s">
        <v>382</v>
      </c>
      <c r="E289" s="350"/>
      <c r="F289" s="350"/>
      <c r="G289" s="348" t="e">
        <f>G290+G292</f>
        <v>#REF!</v>
      </c>
      <c r="H289" s="365">
        <f>H290+H292</f>
        <v>1925.2</v>
      </c>
      <c r="I289" s="348">
        <f>I290+I292</f>
        <v>0</v>
      </c>
      <c r="J289" s="161">
        <f>J290+J292</f>
        <v>0</v>
      </c>
      <c r="K289" s="161" t="e">
        <f>K290+K292</f>
        <v>#REF!</v>
      </c>
      <c r="L289" s="161">
        <f>L290+L292+L294</f>
        <v>1685.287</v>
      </c>
      <c r="M289" s="161">
        <f>M290+M292+M294</f>
        <v>-1685.287</v>
      </c>
      <c r="N289" s="161">
        <f>N290+N292+N294</f>
        <v>0</v>
      </c>
      <c r="O289" s="161">
        <f>O290+O292+O294</f>
        <v>0</v>
      </c>
    </row>
    <row r="290" spans="1:15" ht="51.75" customHeight="1" hidden="1">
      <c r="A290" s="380" t="s">
        <v>703</v>
      </c>
      <c r="B290" s="351" t="s">
        <v>701</v>
      </c>
      <c r="C290" s="351" t="s">
        <v>437</v>
      </c>
      <c r="D290" s="351" t="s">
        <v>382</v>
      </c>
      <c r="E290" s="351" t="s">
        <v>704</v>
      </c>
      <c r="F290" s="351"/>
      <c r="G290" s="360">
        <f aca="true" t="shared" si="55" ref="G290:O290">G291</f>
        <v>-227</v>
      </c>
      <c r="H290" s="360">
        <f t="shared" si="55"/>
        <v>1925.2</v>
      </c>
      <c r="I290" s="360">
        <f t="shared" si="55"/>
        <v>0</v>
      </c>
      <c r="J290" s="170">
        <f t="shared" si="55"/>
        <v>0</v>
      </c>
      <c r="K290" s="170" t="e">
        <f t="shared" si="55"/>
        <v>#REF!</v>
      </c>
      <c r="L290" s="170">
        <f t="shared" si="55"/>
        <v>0</v>
      </c>
      <c r="M290" s="170">
        <f t="shared" si="55"/>
        <v>0</v>
      </c>
      <c r="N290" s="170">
        <f t="shared" si="55"/>
        <v>0</v>
      </c>
      <c r="O290" s="170">
        <f t="shared" si="55"/>
        <v>0</v>
      </c>
    </row>
    <row r="291" spans="1:15" ht="15" customHeight="1" hidden="1">
      <c r="A291" s="380" t="s">
        <v>602</v>
      </c>
      <c r="B291" s="351" t="s">
        <v>701</v>
      </c>
      <c r="C291" s="351" t="s">
        <v>437</v>
      </c>
      <c r="D291" s="351" t="s">
        <v>382</v>
      </c>
      <c r="E291" s="351" t="s">
        <v>704</v>
      </c>
      <c r="F291" s="351" t="s">
        <v>603</v>
      </c>
      <c r="G291" s="360">
        <f>-227</f>
        <v>-227</v>
      </c>
      <c r="H291" s="357">
        <v>1925.2</v>
      </c>
      <c r="I291" s="360"/>
      <c r="J291" s="170"/>
      <c r="K291" s="170" t="e">
        <f>#REF!+J291</f>
        <v>#REF!</v>
      </c>
      <c r="L291" s="170"/>
      <c r="M291" s="170"/>
      <c r="N291" s="170">
        <f>L291+M291</f>
        <v>0</v>
      </c>
      <c r="O291" s="170"/>
    </row>
    <row r="292" spans="1:15" ht="39">
      <c r="A292" s="380" t="s">
        <v>705</v>
      </c>
      <c r="B292" s="351" t="s">
        <v>701</v>
      </c>
      <c r="C292" s="351" t="s">
        <v>437</v>
      </c>
      <c r="D292" s="351" t="s">
        <v>382</v>
      </c>
      <c r="E292" s="351" t="s">
        <v>706</v>
      </c>
      <c r="F292" s="351"/>
      <c r="G292" s="360" t="e">
        <f aca="true" t="shared" si="56" ref="G292:O292">G293</f>
        <v>#REF!</v>
      </c>
      <c r="H292" s="357">
        <f t="shared" si="56"/>
        <v>0</v>
      </c>
      <c r="I292" s="360">
        <f t="shared" si="56"/>
        <v>0</v>
      </c>
      <c r="J292" s="170">
        <f t="shared" si="56"/>
        <v>0</v>
      </c>
      <c r="K292" s="170" t="e">
        <f t="shared" si="56"/>
        <v>#REF!</v>
      </c>
      <c r="L292" s="170">
        <f t="shared" si="56"/>
        <v>145.287</v>
      </c>
      <c r="M292" s="170">
        <f t="shared" si="56"/>
        <v>-145.287</v>
      </c>
      <c r="N292" s="170">
        <f t="shared" si="56"/>
        <v>0</v>
      </c>
      <c r="O292" s="170">
        <f t="shared" si="56"/>
        <v>0</v>
      </c>
    </row>
    <row r="293" spans="1:16" s="152" customFormat="1" ht="15">
      <c r="A293" s="230" t="s">
        <v>602</v>
      </c>
      <c r="B293" s="351" t="s">
        <v>701</v>
      </c>
      <c r="C293" s="351" t="s">
        <v>437</v>
      </c>
      <c r="D293" s="351" t="s">
        <v>382</v>
      </c>
      <c r="E293" s="351" t="s">
        <v>706</v>
      </c>
      <c r="F293" s="351" t="s">
        <v>603</v>
      </c>
      <c r="G293" s="169" t="e">
        <f>H293-#REF!</f>
        <v>#REF!</v>
      </c>
      <c r="H293" s="169"/>
      <c r="I293" s="169"/>
      <c r="J293" s="170"/>
      <c r="K293" s="170" t="e">
        <f>#REF!+J293</f>
        <v>#REF!</v>
      </c>
      <c r="L293" s="170">
        <v>145.287</v>
      </c>
      <c r="M293" s="170">
        <v>-145.287</v>
      </c>
      <c r="N293" s="170">
        <f>L293+M293</f>
        <v>0</v>
      </c>
      <c r="O293" s="170"/>
      <c r="P293" s="247" t="e">
        <f>#REF!-L293</f>
        <v>#REF!</v>
      </c>
    </row>
    <row r="294" spans="1:15" ht="51.75">
      <c r="A294" s="380" t="s">
        <v>703</v>
      </c>
      <c r="B294" s="351" t="s">
        <v>701</v>
      </c>
      <c r="C294" s="351" t="s">
        <v>437</v>
      </c>
      <c r="D294" s="351" t="s">
        <v>382</v>
      </c>
      <c r="E294" s="351" t="s">
        <v>707</v>
      </c>
      <c r="F294" s="351"/>
      <c r="G294" s="357"/>
      <c r="H294" s="357"/>
      <c r="I294" s="357"/>
      <c r="J294" s="170"/>
      <c r="K294" s="170"/>
      <c r="L294" s="170">
        <f>L295</f>
        <v>1540</v>
      </c>
      <c r="M294" s="170">
        <f>M295</f>
        <v>-1540</v>
      </c>
      <c r="N294" s="170">
        <f>N295</f>
        <v>0</v>
      </c>
      <c r="O294" s="170">
        <f>O295</f>
        <v>0</v>
      </c>
    </row>
    <row r="295" spans="1:18" ht="15">
      <c r="A295" s="380" t="s">
        <v>602</v>
      </c>
      <c r="B295" s="351" t="s">
        <v>701</v>
      </c>
      <c r="C295" s="351" t="s">
        <v>437</v>
      </c>
      <c r="D295" s="351" t="s">
        <v>382</v>
      </c>
      <c r="E295" s="351" t="s">
        <v>707</v>
      </c>
      <c r="F295" s="351" t="s">
        <v>603</v>
      </c>
      <c r="G295" s="357"/>
      <c r="H295" s="357"/>
      <c r="I295" s="357"/>
      <c r="J295" s="170"/>
      <c r="K295" s="170"/>
      <c r="L295" s="170">
        <v>1540</v>
      </c>
      <c r="M295" s="170">
        <v>-1540</v>
      </c>
      <c r="N295" s="170">
        <f>L295+M295</f>
        <v>0</v>
      </c>
      <c r="O295" s="170"/>
      <c r="P295" s="215">
        <v>1523</v>
      </c>
      <c r="R295" s="184" t="e">
        <f>#REF!-P295</f>
        <v>#REF!</v>
      </c>
    </row>
    <row r="296" spans="1:15" ht="15">
      <c r="A296" s="382" t="s">
        <v>441</v>
      </c>
      <c r="B296" s="350" t="s">
        <v>701</v>
      </c>
      <c r="C296" s="350" t="s">
        <v>437</v>
      </c>
      <c r="D296" s="350" t="s">
        <v>383</v>
      </c>
      <c r="E296" s="350"/>
      <c r="F296" s="350"/>
      <c r="G296" s="348">
        <f>G301+G297+G299</f>
        <v>6</v>
      </c>
      <c r="H296" s="348">
        <f>H301+H297+H299</f>
        <v>4331.9</v>
      </c>
      <c r="I296" s="348">
        <f>I301+I297+I299</f>
        <v>0</v>
      </c>
      <c r="J296" s="161">
        <f>J301+J297+J299</f>
        <v>182.5</v>
      </c>
      <c r="K296" s="161" t="e">
        <f>K301+K297+K299</f>
        <v>#REF!</v>
      </c>
      <c r="L296" s="161">
        <f>L301+L297+L299+L304</f>
        <v>7127.990000000001</v>
      </c>
      <c r="M296" s="161">
        <f>M301+M297+M299+M304</f>
        <v>-7127.990000000001</v>
      </c>
      <c r="N296" s="161">
        <f>N301+N297+N299+N304</f>
        <v>0</v>
      </c>
      <c r="O296" s="161">
        <f>O301+O297+O299+O304</f>
        <v>0</v>
      </c>
    </row>
    <row r="297" spans="1:15" ht="63.75">
      <c r="A297" s="375" t="s">
        <v>708</v>
      </c>
      <c r="B297" s="351" t="s">
        <v>701</v>
      </c>
      <c r="C297" s="351" t="s">
        <v>437</v>
      </c>
      <c r="D297" s="351" t="s">
        <v>383</v>
      </c>
      <c r="E297" s="351" t="s">
        <v>709</v>
      </c>
      <c r="F297" s="351"/>
      <c r="G297" s="360">
        <f aca="true" t="shared" si="57" ref="G297:O297">G298</f>
        <v>4570.299999999999</v>
      </c>
      <c r="H297" s="360">
        <f t="shared" si="57"/>
        <v>0</v>
      </c>
      <c r="I297" s="360">
        <f t="shared" si="57"/>
        <v>0</v>
      </c>
      <c r="J297" s="170">
        <f t="shared" si="57"/>
        <v>250</v>
      </c>
      <c r="K297" s="170" t="e">
        <f t="shared" si="57"/>
        <v>#REF!</v>
      </c>
      <c r="L297" s="170">
        <f t="shared" si="57"/>
        <v>6777.1</v>
      </c>
      <c r="M297" s="170">
        <f t="shared" si="57"/>
        <v>-6777.1</v>
      </c>
      <c r="N297" s="170">
        <f t="shared" si="57"/>
        <v>0</v>
      </c>
      <c r="O297" s="170">
        <f t="shared" si="57"/>
        <v>0</v>
      </c>
    </row>
    <row r="298" spans="1:15" ht="26.25">
      <c r="A298" s="381" t="s">
        <v>493</v>
      </c>
      <c r="B298" s="351" t="s">
        <v>701</v>
      </c>
      <c r="C298" s="351" t="s">
        <v>437</v>
      </c>
      <c r="D298" s="351" t="s">
        <v>383</v>
      </c>
      <c r="E298" s="351" t="s">
        <v>709</v>
      </c>
      <c r="F298" s="351" t="s">
        <v>494</v>
      </c>
      <c r="G298" s="360">
        <f>4569.9+0.4</f>
        <v>4570.299999999999</v>
      </c>
      <c r="H298" s="357"/>
      <c r="I298" s="360"/>
      <c r="J298" s="170">
        <v>250</v>
      </c>
      <c r="K298" s="170" t="e">
        <f>#REF!+J298</f>
        <v>#REF!</v>
      </c>
      <c r="L298" s="170">
        <f>8194.1-1417</f>
        <v>6777.1</v>
      </c>
      <c r="M298" s="170">
        <v>-6777.1</v>
      </c>
      <c r="N298" s="170">
        <f>L298+M298</f>
        <v>0</v>
      </c>
      <c r="O298" s="170"/>
    </row>
    <row r="299" spans="1:15" ht="51.75" customHeight="1" hidden="1">
      <c r="A299" s="380" t="s">
        <v>703</v>
      </c>
      <c r="B299" s="351" t="s">
        <v>701</v>
      </c>
      <c r="C299" s="351" t="s">
        <v>437</v>
      </c>
      <c r="D299" s="351" t="s">
        <v>383</v>
      </c>
      <c r="E299" s="351" t="s">
        <v>704</v>
      </c>
      <c r="F299" s="351"/>
      <c r="G299" s="360">
        <f aca="true" t="shared" si="58" ref="G299:O299">G300</f>
        <v>0</v>
      </c>
      <c r="H299" s="360">
        <f t="shared" si="58"/>
        <v>0</v>
      </c>
      <c r="I299" s="360">
        <f t="shared" si="58"/>
        <v>0</v>
      </c>
      <c r="J299" s="170">
        <f t="shared" si="58"/>
        <v>0</v>
      </c>
      <c r="K299" s="170" t="e">
        <f t="shared" si="58"/>
        <v>#REF!</v>
      </c>
      <c r="L299" s="170">
        <f t="shared" si="58"/>
        <v>0</v>
      </c>
      <c r="M299" s="170">
        <f t="shared" si="58"/>
        <v>0</v>
      </c>
      <c r="N299" s="170">
        <f t="shared" si="58"/>
        <v>0</v>
      </c>
      <c r="O299" s="170">
        <f t="shared" si="58"/>
        <v>0</v>
      </c>
    </row>
    <row r="300" spans="1:15" ht="15" customHeight="1" hidden="1">
      <c r="A300" s="380" t="s">
        <v>602</v>
      </c>
      <c r="B300" s="351" t="s">
        <v>701</v>
      </c>
      <c r="C300" s="351" t="s">
        <v>437</v>
      </c>
      <c r="D300" s="351" t="s">
        <v>383</v>
      </c>
      <c r="E300" s="351" t="s">
        <v>704</v>
      </c>
      <c r="F300" s="351" t="s">
        <v>603</v>
      </c>
      <c r="G300" s="360">
        <v>0</v>
      </c>
      <c r="H300" s="357"/>
      <c r="I300" s="360">
        <v>0</v>
      </c>
      <c r="J300" s="170">
        <v>0</v>
      </c>
      <c r="K300" s="170" t="e">
        <f>#REF!+J300</f>
        <v>#REF!</v>
      </c>
      <c r="L300" s="170"/>
      <c r="M300" s="170">
        <v>0</v>
      </c>
      <c r="N300" s="170">
        <f>L300+M300</f>
        <v>0</v>
      </c>
      <c r="O300" s="170">
        <v>0</v>
      </c>
    </row>
    <row r="301" spans="1:15" ht="26.25" customHeight="1" hidden="1">
      <c r="A301" s="381" t="s">
        <v>710</v>
      </c>
      <c r="B301" s="351" t="s">
        <v>701</v>
      </c>
      <c r="C301" s="351" t="s">
        <v>437</v>
      </c>
      <c r="D301" s="351" t="s">
        <v>383</v>
      </c>
      <c r="E301" s="351" t="s">
        <v>711</v>
      </c>
      <c r="F301" s="351"/>
      <c r="G301" s="360">
        <f aca="true" t="shared" si="59" ref="G301:O304">G302</f>
        <v>-4564.299999999999</v>
      </c>
      <c r="H301" s="360">
        <f t="shared" si="59"/>
        <v>4331.9</v>
      </c>
      <c r="I301" s="360">
        <f t="shared" si="59"/>
        <v>0</v>
      </c>
      <c r="J301" s="170">
        <f t="shared" si="59"/>
        <v>-67.5</v>
      </c>
      <c r="K301" s="170" t="e">
        <f t="shared" si="59"/>
        <v>#REF!</v>
      </c>
      <c r="L301" s="170">
        <f t="shared" si="59"/>
        <v>0</v>
      </c>
      <c r="M301" s="170">
        <f t="shared" si="59"/>
        <v>0</v>
      </c>
      <c r="N301" s="170">
        <f t="shared" si="59"/>
        <v>0</v>
      </c>
      <c r="O301" s="170">
        <f t="shared" si="59"/>
        <v>0</v>
      </c>
    </row>
    <row r="302" spans="1:15" ht="26.25" customHeight="1" hidden="1">
      <c r="A302" s="381" t="s">
        <v>497</v>
      </c>
      <c r="B302" s="351" t="s">
        <v>701</v>
      </c>
      <c r="C302" s="351" t="s">
        <v>437</v>
      </c>
      <c r="D302" s="351" t="s">
        <v>383</v>
      </c>
      <c r="E302" s="351" t="s">
        <v>712</v>
      </c>
      <c r="F302" s="351"/>
      <c r="G302" s="360">
        <f t="shared" si="59"/>
        <v>-4564.299999999999</v>
      </c>
      <c r="H302" s="360">
        <f t="shared" si="59"/>
        <v>4331.9</v>
      </c>
      <c r="I302" s="360">
        <f t="shared" si="59"/>
        <v>0</v>
      </c>
      <c r="J302" s="170">
        <f t="shared" si="59"/>
        <v>-67.5</v>
      </c>
      <c r="K302" s="170" t="e">
        <f t="shared" si="59"/>
        <v>#REF!</v>
      </c>
      <c r="L302" s="170">
        <f t="shared" si="59"/>
        <v>0</v>
      </c>
      <c r="M302" s="170">
        <f t="shared" si="59"/>
        <v>0</v>
      </c>
      <c r="N302" s="170">
        <f t="shared" si="59"/>
        <v>0</v>
      </c>
      <c r="O302" s="170">
        <f t="shared" si="59"/>
        <v>0</v>
      </c>
    </row>
    <row r="303" spans="1:15" ht="26.25" customHeight="1" hidden="1">
      <c r="A303" s="381" t="s">
        <v>493</v>
      </c>
      <c r="B303" s="351" t="s">
        <v>701</v>
      </c>
      <c r="C303" s="351" t="s">
        <v>437</v>
      </c>
      <c r="D303" s="351" t="s">
        <v>383</v>
      </c>
      <c r="E303" s="351" t="s">
        <v>712</v>
      </c>
      <c r="F303" s="351" t="s">
        <v>494</v>
      </c>
      <c r="G303" s="360">
        <f>6-15.4-4569.9+15</f>
        <v>-4564.299999999999</v>
      </c>
      <c r="H303" s="357">
        <v>4331.9</v>
      </c>
      <c r="I303" s="360"/>
      <c r="J303" s="170">
        <f>-17.5-50</f>
        <v>-67.5</v>
      </c>
      <c r="K303" s="170" t="e">
        <f>#REF!+J303</f>
        <v>#REF!</v>
      </c>
      <c r="L303" s="170"/>
      <c r="M303" s="170"/>
      <c r="N303" s="170">
        <f>L303+M303</f>
        <v>0</v>
      </c>
      <c r="O303" s="170"/>
    </row>
    <row r="304" spans="1:15" ht="26.25">
      <c r="A304" s="381" t="s">
        <v>497</v>
      </c>
      <c r="B304" s="351" t="s">
        <v>701</v>
      </c>
      <c r="C304" s="351" t="s">
        <v>437</v>
      </c>
      <c r="D304" s="351" t="s">
        <v>383</v>
      </c>
      <c r="E304" s="351" t="s">
        <v>713</v>
      </c>
      <c r="F304" s="351"/>
      <c r="G304" s="360"/>
      <c r="H304" s="357"/>
      <c r="I304" s="360"/>
      <c r="J304" s="170"/>
      <c r="K304" s="170"/>
      <c r="L304" s="170">
        <f t="shared" si="59"/>
        <v>350.89</v>
      </c>
      <c r="M304" s="170">
        <f t="shared" si="59"/>
        <v>-350.89</v>
      </c>
      <c r="N304" s="170">
        <f t="shared" si="59"/>
        <v>0</v>
      </c>
      <c r="O304" s="170">
        <f t="shared" si="59"/>
        <v>0</v>
      </c>
    </row>
    <row r="305" spans="1:15" ht="26.25">
      <c r="A305" s="381" t="s">
        <v>493</v>
      </c>
      <c r="B305" s="351" t="s">
        <v>701</v>
      </c>
      <c r="C305" s="351" t="s">
        <v>437</v>
      </c>
      <c r="D305" s="351" t="s">
        <v>383</v>
      </c>
      <c r="E305" s="351" t="s">
        <v>713</v>
      </c>
      <c r="F305" s="351" t="s">
        <v>494</v>
      </c>
      <c r="G305" s="360"/>
      <c r="H305" s="357"/>
      <c r="I305" s="360"/>
      <c r="J305" s="170"/>
      <c r="K305" s="170"/>
      <c r="L305" s="170">
        <v>350.89</v>
      </c>
      <c r="M305" s="170">
        <v>-350.89</v>
      </c>
      <c r="N305" s="170">
        <f>L305+M305</f>
        <v>0</v>
      </c>
      <c r="O305" s="170"/>
    </row>
    <row r="306" spans="1:15" ht="15">
      <c r="A306" s="382" t="s">
        <v>599</v>
      </c>
      <c r="B306" s="350" t="s">
        <v>701</v>
      </c>
      <c r="C306" s="350" t="s">
        <v>437</v>
      </c>
      <c r="D306" s="350" t="s">
        <v>384</v>
      </c>
      <c r="E306" s="350"/>
      <c r="F306" s="350"/>
      <c r="G306" s="364">
        <f aca="true" t="shared" si="60" ref="G306:N306">G309+G354+G307</f>
        <v>3317.9229300000006</v>
      </c>
      <c r="H306" s="364">
        <f t="shared" si="60"/>
        <v>34738.200000000004</v>
      </c>
      <c r="I306" s="364">
        <f t="shared" si="60"/>
        <v>0</v>
      </c>
      <c r="J306" s="161">
        <f t="shared" si="60"/>
        <v>122</v>
      </c>
      <c r="K306" s="161" t="e">
        <f t="shared" si="60"/>
        <v>#REF!</v>
      </c>
      <c r="L306" s="161">
        <f t="shared" si="60"/>
        <v>48802.7</v>
      </c>
      <c r="M306" s="161">
        <f t="shared" si="60"/>
        <v>-48802.7</v>
      </c>
      <c r="N306" s="161">
        <f t="shared" si="60"/>
        <v>0</v>
      </c>
      <c r="O306" s="161">
        <f>O309+O354+O307</f>
        <v>0</v>
      </c>
    </row>
    <row r="307" spans="1:15" ht="51.75" customHeight="1" hidden="1">
      <c r="A307" s="358" t="s">
        <v>489</v>
      </c>
      <c r="B307" s="350" t="s">
        <v>701</v>
      </c>
      <c r="C307" s="350" t="s">
        <v>437</v>
      </c>
      <c r="D307" s="350" t="s">
        <v>384</v>
      </c>
      <c r="E307" s="350" t="s">
        <v>490</v>
      </c>
      <c r="F307" s="350"/>
      <c r="G307" s="348">
        <f aca="true" t="shared" si="61" ref="G307:O307">G308</f>
        <v>3</v>
      </c>
      <c r="H307" s="348">
        <f t="shared" si="61"/>
        <v>0</v>
      </c>
      <c r="I307" s="348">
        <f t="shared" si="61"/>
        <v>0</v>
      </c>
      <c r="J307" s="161">
        <f t="shared" si="61"/>
        <v>0</v>
      </c>
      <c r="K307" s="161" t="e">
        <f t="shared" si="61"/>
        <v>#REF!</v>
      </c>
      <c r="L307" s="161">
        <f t="shared" si="61"/>
        <v>0</v>
      </c>
      <c r="M307" s="161">
        <f t="shared" si="61"/>
        <v>0</v>
      </c>
      <c r="N307" s="161">
        <f t="shared" si="61"/>
        <v>0</v>
      </c>
      <c r="O307" s="161">
        <f t="shared" si="61"/>
        <v>0</v>
      </c>
    </row>
    <row r="308" spans="1:15" ht="15" customHeight="1" hidden="1">
      <c r="A308" s="380" t="s">
        <v>602</v>
      </c>
      <c r="B308" s="350" t="s">
        <v>701</v>
      </c>
      <c r="C308" s="350" t="s">
        <v>437</v>
      </c>
      <c r="D308" s="350" t="s">
        <v>384</v>
      </c>
      <c r="E308" s="350" t="s">
        <v>490</v>
      </c>
      <c r="F308" s="350" t="s">
        <v>603</v>
      </c>
      <c r="G308" s="348">
        <v>3</v>
      </c>
      <c r="H308" s="357"/>
      <c r="I308" s="348"/>
      <c r="J308" s="161"/>
      <c r="K308" s="170" t="e">
        <f>#REF!+J308</f>
        <v>#REF!</v>
      </c>
      <c r="L308" s="170"/>
      <c r="M308" s="161"/>
      <c r="N308" s="170">
        <f>L308+M308</f>
        <v>0</v>
      </c>
      <c r="O308" s="161"/>
    </row>
    <row r="309" spans="1:15" ht="15">
      <c r="A309" s="381" t="s">
        <v>714</v>
      </c>
      <c r="B309" s="351" t="s">
        <v>701</v>
      </c>
      <c r="C309" s="351" t="s">
        <v>437</v>
      </c>
      <c r="D309" s="351" t="s">
        <v>384</v>
      </c>
      <c r="E309" s="351" t="s">
        <v>715</v>
      </c>
      <c r="F309" s="351"/>
      <c r="G309" s="366">
        <f>G310+G312+G315++G317+G319+G321+G324+G326+G328+G330++G333+G346+G348+G350+G352+G344</f>
        <v>6827.922930000001</v>
      </c>
      <c r="H309" s="366">
        <f>H310+H312+H315++H317+H319+H321+H324+H326+H328+H330++H333+H346+H348+H350+H352+H344</f>
        <v>31056.600000000002</v>
      </c>
      <c r="I309" s="366">
        <f>I310+I312+I315++I317+I319+I321+I324+I326+I328+I330++I333+I346+I348+I350+I352+I344</f>
        <v>0</v>
      </c>
      <c r="J309" s="170">
        <f>J310+J312+J315++J317+J319+J321+J324+J326+J328+J330++J333+J346+J348+J350+J352+J344</f>
        <v>122</v>
      </c>
      <c r="K309" s="170" t="e">
        <f>K310+K312+K315++K317+K319+K321+K324+K326+K328+K330++K333+K346+K348+K350+K352+K344</f>
        <v>#REF!</v>
      </c>
      <c r="L309" s="170">
        <f>L310+L312+L315++L317+L319+L321+L324+L326+L328+L330++L333+L346+L348+L350+L352+L344+L337+L339+L341</f>
        <v>48802.7</v>
      </c>
      <c r="M309" s="170">
        <f>M310+M312+M315++M317+M319+M321+M324+M326+M328+M330++M333+M346+M348+M350+M352+M344+M337+M339+M341</f>
        <v>-48802.7</v>
      </c>
      <c r="N309" s="170">
        <f>N310+N312+N315++N317+N319+N321+N324+N326+N328+N330++N333+N346+N348+N350+N352+N344+N337+N339+N341</f>
        <v>0</v>
      </c>
      <c r="O309" s="170">
        <f>O310+O312+O315++O317+O319+O321+O324+O326+O328+O330++O333+O346+O348+O350+O352+O344+O337+O339+O341</f>
        <v>0</v>
      </c>
    </row>
    <row r="310" spans="1:15" ht="77.25" customHeight="1" hidden="1">
      <c r="A310" s="380" t="s">
        <v>716</v>
      </c>
      <c r="B310" s="351" t="s">
        <v>701</v>
      </c>
      <c r="C310" s="351" t="s">
        <v>437</v>
      </c>
      <c r="D310" s="351" t="s">
        <v>384</v>
      </c>
      <c r="E310" s="351" t="s">
        <v>717</v>
      </c>
      <c r="F310" s="351"/>
      <c r="G310" s="360">
        <f aca="true" t="shared" si="62" ref="G310:O310">G311</f>
        <v>-206</v>
      </c>
      <c r="H310" s="360">
        <f t="shared" si="62"/>
        <v>215.9</v>
      </c>
      <c r="I310" s="360">
        <f t="shared" si="62"/>
        <v>0</v>
      </c>
      <c r="J310" s="170">
        <f t="shared" si="62"/>
        <v>0</v>
      </c>
      <c r="K310" s="170" t="e">
        <f t="shared" si="62"/>
        <v>#REF!</v>
      </c>
      <c r="L310" s="170">
        <f t="shared" si="62"/>
        <v>0</v>
      </c>
      <c r="M310" s="170">
        <f t="shared" si="62"/>
        <v>0</v>
      </c>
      <c r="N310" s="170">
        <f t="shared" si="62"/>
        <v>0</v>
      </c>
      <c r="O310" s="170">
        <f t="shared" si="62"/>
        <v>0</v>
      </c>
    </row>
    <row r="311" spans="1:15" ht="15" customHeight="1" hidden="1">
      <c r="A311" s="380" t="s">
        <v>602</v>
      </c>
      <c r="B311" s="351" t="s">
        <v>701</v>
      </c>
      <c r="C311" s="351" t="s">
        <v>437</v>
      </c>
      <c r="D311" s="351" t="s">
        <v>384</v>
      </c>
      <c r="E311" s="351" t="s">
        <v>717</v>
      </c>
      <c r="F311" s="351" t="s">
        <v>603</v>
      </c>
      <c r="G311" s="360">
        <v>-206</v>
      </c>
      <c r="H311" s="357">
        <v>215.9</v>
      </c>
      <c r="I311" s="360"/>
      <c r="J311" s="170"/>
      <c r="K311" s="170" t="e">
        <f>#REF!+J311</f>
        <v>#REF!</v>
      </c>
      <c r="L311" s="170"/>
      <c r="M311" s="170"/>
      <c r="N311" s="170">
        <f>L311+M311</f>
        <v>0</v>
      </c>
      <c r="O311" s="170"/>
    </row>
    <row r="312" spans="1:15" ht="39">
      <c r="A312" s="380" t="s">
        <v>718</v>
      </c>
      <c r="B312" s="351" t="s">
        <v>701</v>
      </c>
      <c r="C312" s="351" t="s">
        <v>437</v>
      </c>
      <c r="D312" s="351" t="s">
        <v>384</v>
      </c>
      <c r="E312" s="351" t="s">
        <v>719</v>
      </c>
      <c r="F312" s="351"/>
      <c r="G312" s="366">
        <f>G313+G314</f>
        <v>27.99813</v>
      </c>
      <c r="H312" s="366">
        <f>H313+H314</f>
        <v>87.7</v>
      </c>
      <c r="I312" s="366">
        <f>I313+I314</f>
        <v>0</v>
      </c>
      <c r="J312" s="170">
        <f>J313+J314</f>
        <v>0</v>
      </c>
      <c r="K312" s="170" t="e">
        <f>K313+K314</f>
        <v>#REF!</v>
      </c>
      <c r="L312" s="170">
        <f>L314</f>
        <v>134</v>
      </c>
      <c r="M312" s="170">
        <f>M314</f>
        <v>-134</v>
      </c>
      <c r="N312" s="170">
        <f>N314</f>
        <v>0</v>
      </c>
      <c r="O312" s="170">
        <f>O314</f>
        <v>0</v>
      </c>
    </row>
    <row r="313" spans="1:15" ht="26.25" customHeight="1" hidden="1">
      <c r="A313" s="380" t="s">
        <v>493</v>
      </c>
      <c r="B313" s="351" t="s">
        <v>701</v>
      </c>
      <c r="C313" s="351" t="s">
        <v>437</v>
      </c>
      <c r="D313" s="351" t="s">
        <v>384</v>
      </c>
      <c r="E313" s="351" t="s">
        <v>719</v>
      </c>
      <c r="F313" s="351" t="s">
        <v>494</v>
      </c>
      <c r="G313" s="360"/>
      <c r="H313" s="357">
        <v>87.7</v>
      </c>
      <c r="I313" s="360"/>
      <c r="J313" s="170"/>
      <c r="K313" s="170" t="e">
        <f>#REF!+J313</f>
        <v>#REF!</v>
      </c>
      <c r="L313" s="170"/>
      <c r="M313" s="170"/>
      <c r="N313" s="170">
        <f>L313+M313</f>
        <v>0</v>
      </c>
      <c r="O313" s="170"/>
    </row>
    <row r="314" spans="1:16" ht="15">
      <c r="A314" s="380" t="s">
        <v>602</v>
      </c>
      <c r="B314" s="351" t="s">
        <v>701</v>
      </c>
      <c r="C314" s="351" t="s">
        <v>437</v>
      </c>
      <c r="D314" s="351" t="s">
        <v>384</v>
      </c>
      <c r="E314" s="351" t="s">
        <v>719</v>
      </c>
      <c r="F314" s="351" t="s">
        <v>603</v>
      </c>
      <c r="G314" s="360">
        <v>27.99813</v>
      </c>
      <c r="H314" s="357"/>
      <c r="I314" s="360"/>
      <c r="J314" s="170"/>
      <c r="K314" s="170" t="e">
        <f>#REF!+J314</f>
        <v>#REF!</v>
      </c>
      <c r="L314" s="170">
        <v>134</v>
      </c>
      <c r="M314" s="170">
        <v>-134</v>
      </c>
      <c r="N314" s="170">
        <f>L314+M314</f>
        <v>0</v>
      </c>
      <c r="O314" s="170"/>
      <c r="P314" s="150">
        <v>125</v>
      </c>
    </row>
    <row r="315" spans="1:15" ht="26.25" customHeight="1" hidden="1">
      <c r="A315" s="380" t="s">
        <v>720</v>
      </c>
      <c r="B315" s="351" t="s">
        <v>701</v>
      </c>
      <c r="C315" s="351" t="s">
        <v>437</v>
      </c>
      <c r="D315" s="351" t="s">
        <v>384</v>
      </c>
      <c r="E315" s="351" t="s">
        <v>721</v>
      </c>
      <c r="F315" s="351"/>
      <c r="G315" s="360">
        <f aca="true" t="shared" si="63" ref="G315:O315">G316</f>
        <v>0</v>
      </c>
      <c r="H315" s="360">
        <f t="shared" si="63"/>
        <v>7457.6</v>
      </c>
      <c r="I315" s="360">
        <f t="shared" si="63"/>
        <v>0</v>
      </c>
      <c r="J315" s="170">
        <f t="shared" si="63"/>
        <v>0</v>
      </c>
      <c r="K315" s="170" t="e">
        <f t="shared" si="63"/>
        <v>#REF!</v>
      </c>
      <c r="L315" s="170">
        <f t="shared" si="63"/>
        <v>0</v>
      </c>
      <c r="M315" s="170">
        <f t="shared" si="63"/>
        <v>0</v>
      </c>
      <c r="N315" s="170">
        <f t="shared" si="63"/>
        <v>0</v>
      </c>
      <c r="O315" s="170">
        <f t="shared" si="63"/>
        <v>0</v>
      </c>
    </row>
    <row r="316" spans="1:15" ht="15" customHeight="1" hidden="1">
      <c r="A316" s="380" t="s">
        <v>722</v>
      </c>
      <c r="B316" s="351" t="s">
        <v>701</v>
      </c>
      <c r="C316" s="351" t="s">
        <v>437</v>
      </c>
      <c r="D316" s="351" t="s">
        <v>384</v>
      </c>
      <c r="E316" s="351" t="s">
        <v>721</v>
      </c>
      <c r="F316" s="351" t="s">
        <v>603</v>
      </c>
      <c r="G316" s="360">
        <f>-2752.3+2752.3</f>
        <v>0</v>
      </c>
      <c r="H316" s="357">
        <v>7457.6</v>
      </c>
      <c r="I316" s="360"/>
      <c r="J316" s="170"/>
      <c r="K316" s="170" t="e">
        <f>#REF!+J316</f>
        <v>#REF!</v>
      </c>
      <c r="L316" s="170"/>
      <c r="M316" s="170"/>
      <c r="N316" s="170">
        <f>L316+M316</f>
        <v>0</v>
      </c>
      <c r="O316" s="170"/>
    </row>
    <row r="317" spans="1:15" ht="15" customHeight="1" hidden="1">
      <c r="A317" s="375" t="s">
        <v>722</v>
      </c>
      <c r="B317" s="351" t="s">
        <v>701</v>
      </c>
      <c r="C317" s="351" t="s">
        <v>437</v>
      </c>
      <c r="D317" s="351" t="s">
        <v>384</v>
      </c>
      <c r="E317" s="351" t="s">
        <v>723</v>
      </c>
      <c r="F317" s="351"/>
      <c r="G317" s="366">
        <f aca="true" t="shared" si="64" ref="G317:O317">G318</f>
        <v>353.22045</v>
      </c>
      <c r="H317" s="366">
        <f t="shared" si="64"/>
        <v>0</v>
      </c>
      <c r="I317" s="366">
        <f t="shared" si="64"/>
        <v>0</v>
      </c>
      <c r="J317" s="170">
        <f t="shared" si="64"/>
        <v>0</v>
      </c>
      <c r="K317" s="170" t="e">
        <f t="shared" si="64"/>
        <v>#REF!</v>
      </c>
      <c r="L317" s="170">
        <f t="shared" si="64"/>
        <v>0</v>
      </c>
      <c r="M317" s="170">
        <f t="shared" si="64"/>
        <v>0</v>
      </c>
      <c r="N317" s="170">
        <f t="shared" si="64"/>
        <v>0</v>
      </c>
      <c r="O317" s="170">
        <f t="shared" si="64"/>
        <v>0</v>
      </c>
    </row>
    <row r="318" spans="1:15" ht="15" customHeight="1" hidden="1">
      <c r="A318" s="380" t="s">
        <v>602</v>
      </c>
      <c r="B318" s="351" t="s">
        <v>701</v>
      </c>
      <c r="C318" s="351" t="s">
        <v>437</v>
      </c>
      <c r="D318" s="351" t="s">
        <v>384</v>
      </c>
      <c r="E318" s="351" t="s">
        <v>723</v>
      </c>
      <c r="F318" s="351" t="s">
        <v>603</v>
      </c>
      <c r="G318" s="366">
        <v>353.22045</v>
      </c>
      <c r="H318" s="357"/>
      <c r="I318" s="366"/>
      <c r="J318" s="170"/>
      <c r="K318" s="170" t="e">
        <f>#REF!+J318</f>
        <v>#REF!</v>
      </c>
      <c r="L318" s="170"/>
      <c r="M318" s="170"/>
      <c r="N318" s="170">
        <f>L318+M318</f>
        <v>0</v>
      </c>
      <c r="O318" s="170"/>
    </row>
    <row r="319" spans="1:15" ht="25.5" customHeight="1" hidden="1">
      <c r="A319" s="375" t="s">
        <v>724</v>
      </c>
      <c r="B319" s="351" t="s">
        <v>701</v>
      </c>
      <c r="C319" s="351" t="s">
        <v>437</v>
      </c>
      <c r="D319" s="351" t="s">
        <v>384</v>
      </c>
      <c r="E319" s="351" t="s">
        <v>725</v>
      </c>
      <c r="F319" s="351"/>
      <c r="G319" s="366">
        <f aca="true" t="shared" si="65" ref="G319:O319">G320</f>
        <v>909.37545</v>
      </c>
      <c r="H319" s="360">
        <f t="shared" si="65"/>
        <v>0</v>
      </c>
      <c r="I319" s="366">
        <f t="shared" si="65"/>
        <v>0</v>
      </c>
      <c r="J319" s="170">
        <f t="shared" si="65"/>
        <v>0</v>
      </c>
      <c r="K319" s="170" t="e">
        <f t="shared" si="65"/>
        <v>#REF!</v>
      </c>
      <c r="L319" s="170">
        <f t="shared" si="65"/>
        <v>0</v>
      </c>
      <c r="M319" s="170">
        <f t="shared" si="65"/>
        <v>0</v>
      </c>
      <c r="N319" s="170">
        <f t="shared" si="65"/>
        <v>0</v>
      </c>
      <c r="O319" s="170">
        <f t="shared" si="65"/>
        <v>0</v>
      </c>
    </row>
    <row r="320" spans="1:15" ht="15" customHeight="1" hidden="1">
      <c r="A320" s="380" t="s">
        <v>602</v>
      </c>
      <c r="B320" s="351" t="s">
        <v>701</v>
      </c>
      <c r="C320" s="351" t="s">
        <v>437</v>
      </c>
      <c r="D320" s="351" t="s">
        <v>384</v>
      </c>
      <c r="E320" s="351" t="s">
        <v>725</v>
      </c>
      <c r="F320" s="351" t="s">
        <v>603</v>
      </c>
      <c r="G320" s="366">
        <f>0.17545+909.2</f>
        <v>909.37545</v>
      </c>
      <c r="H320" s="357"/>
      <c r="I320" s="366"/>
      <c r="J320" s="170"/>
      <c r="K320" s="170" t="e">
        <f>#REF!+J320</f>
        <v>#REF!</v>
      </c>
      <c r="L320" s="170"/>
      <c r="M320" s="170"/>
      <c r="N320" s="170">
        <f>L320+M320</f>
        <v>0</v>
      </c>
      <c r="O320" s="170"/>
    </row>
    <row r="321" spans="1:15" ht="26.25" customHeight="1" hidden="1">
      <c r="A321" s="380" t="s">
        <v>724</v>
      </c>
      <c r="B321" s="351" t="s">
        <v>701</v>
      </c>
      <c r="C321" s="351" t="s">
        <v>437</v>
      </c>
      <c r="D321" s="351" t="s">
        <v>384</v>
      </c>
      <c r="E321" s="351" t="s">
        <v>726</v>
      </c>
      <c r="F321" s="351"/>
      <c r="G321" s="366">
        <f aca="true" t="shared" si="66" ref="G321:N321">G322+G323</f>
        <v>-997.68505</v>
      </c>
      <c r="H321" s="366">
        <f t="shared" si="66"/>
        <v>1557.3</v>
      </c>
      <c r="I321" s="366">
        <f t="shared" si="66"/>
        <v>0</v>
      </c>
      <c r="J321" s="170">
        <f t="shared" si="66"/>
        <v>0</v>
      </c>
      <c r="K321" s="170" t="e">
        <f t="shared" si="66"/>
        <v>#REF!</v>
      </c>
      <c r="L321" s="170">
        <f t="shared" si="66"/>
        <v>0</v>
      </c>
      <c r="M321" s="170">
        <f t="shared" si="66"/>
        <v>0</v>
      </c>
      <c r="N321" s="170">
        <f t="shared" si="66"/>
        <v>0</v>
      </c>
      <c r="O321" s="170">
        <f>O322+O323</f>
        <v>0</v>
      </c>
    </row>
    <row r="322" spans="1:15" ht="26.25" customHeight="1" hidden="1">
      <c r="A322" s="380" t="s">
        <v>727</v>
      </c>
      <c r="B322" s="351" t="s">
        <v>701</v>
      </c>
      <c r="C322" s="351" t="s">
        <v>437</v>
      </c>
      <c r="D322" s="351" t="s">
        <v>384</v>
      </c>
      <c r="E322" s="351" t="s">
        <v>728</v>
      </c>
      <c r="F322" s="351" t="s">
        <v>603</v>
      </c>
      <c r="G322" s="366">
        <f>1.51495-90+486.8</f>
        <v>398.31495</v>
      </c>
      <c r="H322" s="357">
        <v>1557.3</v>
      </c>
      <c r="I322" s="366"/>
      <c r="J322" s="170"/>
      <c r="K322" s="170" t="e">
        <f>#REF!+J322</f>
        <v>#REF!</v>
      </c>
      <c r="L322" s="170"/>
      <c r="M322" s="170"/>
      <c r="N322" s="170">
        <f>L322+M322</f>
        <v>0</v>
      </c>
      <c r="O322" s="170"/>
    </row>
    <row r="323" spans="1:15" ht="26.25" customHeight="1" hidden="1">
      <c r="A323" s="380" t="s">
        <v>729</v>
      </c>
      <c r="B323" s="351" t="s">
        <v>701</v>
      </c>
      <c r="C323" s="351" t="s">
        <v>437</v>
      </c>
      <c r="D323" s="351" t="s">
        <v>384</v>
      </c>
      <c r="E323" s="351" t="s">
        <v>728</v>
      </c>
      <c r="F323" s="351" t="s">
        <v>603</v>
      </c>
      <c r="G323" s="360">
        <v>-1396</v>
      </c>
      <c r="H323" s="357"/>
      <c r="I323" s="360"/>
      <c r="J323" s="170"/>
      <c r="K323" s="170" t="e">
        <f>#REF!+J323</f>
        <v>#REF!</v>
      </c>
      <c r="L323" s="170"/>
      <c r="M323" s="170"/>
      <c r="N323" s="170">
        <f>L323+M323</f>
        <v>0</v>
      </c>
      <c r="O323" s="170"/>
    </row>
    <row r="324" spans="1:15" ht="102.75" customHeight="1" hidden="1">
      <c r="A324" s="380" t="s">
        <v>730</v>
      </c>
      <c r="B324" s="351" t="s">
        <v>701</v>
      </c>
      <c r="C324" s="351" t="s">
        <v>437</v>
      </c>
      <c r="D324" s="351" t="s">
        <v>384</v>
      </c>
      <c r="E324" s="351" t="s">
        <v>731</v>
      </c>
      <c r="F324" s="351"/>
      <c r="G324" s="360">
        <f aca="true" t="shared" si="67" ref="G324:O324">G325</f>
        <v>0</v>
      </c>
      <c r="H324" s="360">
        <f t="shared" si="67"/>
        <v>809.6</v>
      </c>
      <c r="I324" s="360">
        <f t="shared" si="67"/>
        <v>0</v>
      </c>
      <c r="J324" s="170">
        <f t="shared" si="67"/>
        <v>0</v>
      </c>
      <c r="K324" s="170" t="e">
        <f t="shared" si="67"/>
        <v>#REF!</v>
      </c>
      <c r="L324" s="170">
        <f t="shared" si="67"/>
        <v>0</v>
      </c>
      <c r="M324" s="170">
        <f t="shared" si="67"/>
        <v>0</v>
      </c>
      <c r="N324" s="170">
        <f t="shared" si="67"/>
        <v>0</v>
      </c>
      <c r="O324" s="170">
        <f t="shared" si="67"/>
        <v>0</v>
      </c>
    </row>
    <row r="325" spans="1:15" ht="15" customHeight="1" hidden="1">
      <c r="A325" s="380" t="s">
        <v>602</v>
      </c>
      <c r="B325" s="351" t="s">
        <v>701</v>
      </c>
      <c r="C325" s="351" t="s">
        <v>437</v>
      </c>
      <c r="D325" s="351" t="s">
        <v>384</v>
      </c>
      <c r="E325" s="351" t="s">
        <v>732</v>
      </c>
      <c r="F325" s="351" t="s">
        <v>603</v>
      </c>
      <c r="G325" s="360"/>
      <c r="H325" s="357">
        <v>809.6</v>
      </c>
      <c r="I325" s="360"/>
      <c r="J325" s="170"/>
      <c r="K325" s="170" t="e">
        <f>#REF!+J325</f>
        <v>#REF!</v>
      </c>
      <c r="L325" s="170"/>
      <c r="M325" s="170"/>
      <c r="N325" s="170">
        <f>L325+M325</f>
        <v>0</v>
      </c>
      <c r="O325" s="170"/>
    </row>
    <row r="326" spans="1:15" ht="64.5" customHeight="1" hidden="1">
      <c r="A326" s="380" t="s">
        <v>733</v>
      </c>
      <c r="B326" s="351" t="s">
        <v>701</v>
      </c>
      <c r="C326" s="351" t="s">
        <v>437</v>
      </c>
      <c r="D326" s="351" t="s">
        <v>384</v>
      </c>
      <c r="E326" s="351" t="s">
        <v>734</v>
      </c>
      <c r="F326" s="351"/>
      <c r="G326" s="366">
        <f aca="true" t="shared" si="68" ref="G326:O326">G327</f>
        <v>12.43358</v>
      </c>
      <c r="H326" s="366">
        <f t="shared" si="68"/>
        <v>63.5</v>
      </c>
      <c r="I326" s="366">
        <f t="shared" si="68"/>
        <v>0</v>
      </c>
      <c r="J326" s="170">
        <f t="shared" si="68"/>
        <v>0</v>
      </c>
      <c r="K326" s="170" t="e">
        <f t="shared" si="68"/>
        <v>#REF!</v>
      </c>
      <c r="L326" s="170">
        <f t="shared" si="68"/>
        <v>0</v>
      </c>
      <c r="M326" s="170">
        <f t="shared" si="68"/>
        <v>0</v>
      </c>
      <c r="N326" s="170">
        <f t="shared" si="68"/>
        <v>0</v>
      </c>
      <c r="O326" s="170">
        <f t="shared" si="68"/>
        <v>0</v>
      </c>
    </row>
    <row r="327" spans="1:15" ht="15" customHeight="1" hidden="1">
      <c r="A327" s="380" t="s">
        <v>602</v>
      </c>
      <c r="B327" s="351" t="s">
        <v>701</v>
      </c>
      <c r="C327" s="351" t="s">
        <v>437</v>
      </c>
      <c r="D327" s="351" t="s">
        <v>384</v>
      </c>
      <c r="E327" s="351" t="s">
        <v>734</v>
      </c>
      <c r="F327" s="351" t="s">
        <v>603</v>
      </c>
      <c r="G327" s="366">
        <v>12.43358</v>
      </c>
      <c r="H327" s="357">
        <v>63.5</v>
      </c>
      <c r="I327" s="366"/>
      <c r="J327" s="170"/>
      <c r="K327" s="170" t="e">
        <f>#REF!+J327</f>
        <v>#REF!</v>
      </c>
      <c r="L327" s="170"/>
      <c r="M327" s="170"/>
      <c r="N327" s="170">
        <f>L327+M327</f>
        <v>0</v>
      </c>
      <c r="O327" s="170"/>
    </row>
    <row r="328" spans="1:15" ht="26.25">
      <c r="A328" s="380" t="s">
        <v>735</v>
      </c>
      <c r="B328" s="351" t="s">
        <v>701</v>
      </c>
      <c r="C328" s="351" t="s">
        <v>437</v>
      </c>
      <c r="D328" s="351" t="s">
        <v>384</v>
      </c>
      <c r="E328" s="351" t="s">
        <v>736</v>
      </c>
      <c r="F328" s="351"/>
      <c r="G328" s="357">
        <f aca="true" t="shared" si="69" ref="G328:O328">G329</f>
        <v>2180.98653</v>
      </c>
      <c r="H328" s="357">
        <f t="shared" si="69"/>
        <v>19158.8</v>
      </c>
      <c r="I328" s="357">
        <f t="shared" si="69"/>
        <v>0</v>
      </c>
      <c r="J328" s="170">
        <f t="shared" si="69"/>
        <v>0</v>
      </c>
      <c r="K328" s="170" t="e">
        <f t="shared" si="69"/>
        <v>#REF!</v>
      </c>
      <c r="L328" s="170">
        <f t="shared" si="69"/>
        <v>12484.9</v>
      </c>
      <c r="M328" s="170">
        <f t="shared" si="69"/>
        <v>-12484.9</v>
      </c>
      <c r="N328" s="170">
        <f t="shared" si="69"/>
        <v>0</v>
      </c>
      <c r="O328" s="170">
        <f t="shared" si="69"/>
        <v>0</v>
      </c>
    </row>
    <row r="329" spans="1:16" ht="15">
      <c r="A329" s="380" t="s">
        <v>602</v>
      </c>
      <c r="B329" s="351" t="s">
        <v>701</v>
      </c>
      <c r="C329" s="351" t="s">
        <v>437</v>
      </c>
      <c r="D329" s="351" t="s">
        <v>384</v>
      </c>
      <c r="E329" s="351" t="s">
        <v>736</v>
      </c>
      <c r="F329" s="351" t="s">
        <v>603</v>
      </c>
      <c r="G329" s="357">
        <f>2180.98653</f>
        <v>2180.98653</v>
      </c>
      <c r="H329" s="357">
        <v>19158.8</v>
      </c>
      <c r="I329" s="357"/>
      <c r="J329" s="170"/>
      <c r="K329" s="170" t="e">
        <f>#REF!+J329</f>
        <v>#REF!</v>
      </c>
      <c r="L329" s="170">
        <v>12484.9</v>
      </c>
      <c r="M329" s="170">
        <v>-12484.9</v>
      </c>
      <c r="N329" s="170">
        <f>L329+M329</f>
        <v>0</v>
      </c>
      <c r="O329" s="170"/>
      <c r="P329" s="150">
        <v>11606.4</v>
      </c>
    </row>
    <row r="330" spans="1:15" ht="51.75" customHeight="1" hidden="1">
      <c r="A330" s="380" t="s">
        <v>737</v>
      </c>
      <c r="B330" s="351" t="s">
        <v>701</v>
      </c>
      <c r="C330" s="351" t="s">
        <v>437</v>
      </c>
      <c r="D330" s="351" t="s">
        <v>384</v>
      </c>
      <c r="E330" s="351" t="s">
        <v>738</v>
      </c>
      <c r="F330" s="351"/>
      <c r="G330" s="366">
        <f aca="true" t="shared" si="70" ref="G330:N330">G331+G332</f>
        <v>13.745500000000002</v>
      </c>
      <c r="H330" s="366">
        <f t="shared" si="70"/>
        <v>95.4</v>
      </c>
      <c r="I330" s="366">
        <f t="shared" si="70"/>
        <v>0</v>
      </c>
      <c r="J330" s="170">
        <f t="shared" si="70"/>
        <v>0</v>
      </c>
      <c r="K330" s="170" t="e">
        <f t="shared" si="70"/>
        <v>#REF!</v>
      </c>
      <c r="L330" s="170">
        <f t="shared" si="70"/>
        <v>0</v>
      </c>
      <c r="M330" s="170">
        <f t="shared" si="70"/>
        <v>0</v>
      </c>
      <c r="N330" s="170">
        <f t="shared" si="70"/>
        <v>0</v>
      </c>
      <c r="O330" s="170">
        <f>O331+O332</f>
        <v>0</v>
      </c>
    </row>
    <row r="331" spans="1:15" ht="15" customHeight="1" hidden="1">
      <c r="A331" s="380" t="s">
        <v>602</v>
      </c>
      <c r="B331" s="351" t="s">
        <v>701</v>
      </c>
      <c r="C331" s="351" t="s">
        <v>437</v>
      </c>
      <c r="D331" s="351" t="s">
        <v>384</v>
      </c>
      <c r="E331" s="351" t="s">
        <v>738</v>
      </c>
      <c r="F331" s="351" t="s">
        <v>603</v>
      </c>
      <c r="G331" s="366">
        <f>5.3945-47.9+47.9</f>
        <v>5.394500000000001</v>
      </c>
      <c r="H331" s="357">
        <v>95.4</v>
      </c>
      <c r="I331" s="366"/>
      <c r="J331" s="170"/>
      <c r="K331" s="170" t="e">
        <f>#REF!+J331</f>
        <v>#REF!</v>
      </c>
      <c r="L331" s="170"/>
      <c r="M331" s="170"/>
      <c r="N331" s="170">
        <f>L331+M331</f>
        <v>0</v>
      </c>
      <c r="O331" s="170"/>
    </row>
    <row r="332" spans="1:15" ht="15" customHeight="1" hidden="1">
      <c r="A332" s="380" t="s">
        <v>602</v>
      </c>
      <c r="B332" s="351" t="s">
        <v>701</v>
      </c>
      <c r="C332" s="351" t="s">
        <v>437</v>
      </c>
      <c r="D332" s="351" t="s">
        <v>384</v>
      </c>
      <c r="E332" s="351" t="s">
        <v>739</v>
      </c>
      <c r="F332" s="351" t="s">
        <v>603</v>
      </c>
      <c r="G332" s="360">
        <f>8.351</f>
        <v>8.351</v>
      </c>
      <c r="H332" s="357"/>
      <c r="I332" s="360"/>
      <c r="J332" s="170"/>
      <c r="K332" s="170" t="e">
        <f>#REF!+J332</f>
        <v>#REF!</v>
      </c>
      <c r="L332" s="170"/>
      <c r="M332" s="170"/>
      <c r="N332" s="170">
        <f>L332+M332</f>
        <v>0</v>
      </c>
      <c r="O332" s="170"/>
    </row>
    <row r="333" spans="1:15" ht="39">
      <c r="A333" s="380" t="s">
        <v>740</v>
      </c>
      <c r="B333" s="351" t="s">
        <v>701</v>
      </c>
      <c r="C333" s="351" t="s">
        <v>437</v>
      </c>
      <c r="D333" s="351" t="s">
        <v>384</v>
      </c>
      <c r="E333" s="351" t="s">
        <v>741</v>
      </c>
      <c r="F333" s="351"/>
      <c r="G333" s="366">
        <f>G334+G335</f>
        <v>701.88177</v>
      </c>
      <c r="H333" s="357">
        <f>H334+H335</f>
        <v>556.5</v>
      </c>
      <c r="I333" s="366">
        <f>I334+I335</f>
        <v>0</v>
      </c>
      <c r="J333" s="170">
        <f>J334+J335</f>
        <v>0</v>
      </c>
      <c r="K333" s="170" t="e">
        <f>K334+K335</f>
        <v>#REF!</v>
      </c>
      <c r="L333" s="170">
        <f>L335</f>
        <v>10053.8</v>
      </c>
      <c r="M333" s="170">
        <f>M334+M335</f>
        <v>-10053.8</v>
      </c>
      <c r="N333" s="170">
        <f>N334+N335</f>
        <v>0</v>
      </c>
      <c r="O333" s="170">
        <f>O334+O335</f>
        <v>0</v>
      </c>
    </row>
    <row r="334" spans="1:15" ht="15" customHeight="1" hidden="1">
      <c r="A334" s="380" t="s">
        <v>602</v>
      </c>
      <c r="B334" s="351" t="s">
        <v>701</v>
      </c>
      <c r="C334" s="351" t="s">
        <v>437</v>
      </c>
      <c r="D334" s="351" t="s">
        <v>384</v>
      </c>
      <c r="E334" s="351" t="s">
        <v>741</v>
      </c>
      <c r="F334" s="351" t="s">
        <v>603</v>
      </c>
      <c r="G334" s="366">
        <f>561.12977+140.752-531</f>
        <v>170.88176999999996</v>
      </c>
      <c r="H334" s="357">
        <v>556.5</v>
      </c>
      <c r="I334" s="366"/>
      <c r="J334" s="170"/>
      <c r="K334" s="170" t="e">
        <f>#REF!+J334</f>
        <v>#REF!</v>
      </c>
      <c r="L334" s="170"/>
      <c r="M334" s="170"/>
      <c r="N334" s="170">
        <f>L334+M334</f>
        <v>0</v>
      </c>
      <c r="O334" s="170"/>
    </row>
    <row r="335" spans="1:15" ht="38.25">
      <c r="A335" s="375" t="s">
        <v>740</v>
      </c>
      <c r="B335" s="351" t="s">
        <v>701</v>
      </c>
      <c r="C335" s="351" t="s">
        <v>437</v>
      </c>
      <c r="D335" s="351" t="s">
        <v>384</v>
      </c>
      <c r="E335" s="351" t="s">
        <v>742</v>
      </c>
      <c r="F335" s="351"/>
      <c r="G335" s="360">
        <f aca="true" t="shared" si="71" ref="G335:O335">G336</f>
        <v>531</v>
      </c>
      <c r="H335" s="360">
        <f t="shared" si="71"/>
        <v>0</v>
      </c>
      <c r="I335" s="360">
        <f t="shared" si="71"/>
        <v>0</v>
      </c>
      <c r="J335" s="170">
        <f t="shared" si="71"/>
        <v>0</v>
      </c>
      <c r="K335" s="170" t="e">
        <f t="shared" si="71"/>
        <v>#REF!</v>
      </c>
      <c r="L335" s="170">
        <f t="shared" si="71"/>
        <v>10053.8</v>
      </c>
      <c r="M335" s="170">
        <f t="shared" si="71"/>
        <v>-10053.8</v>
      </c>
      <c r="N335" s="170">
        <f t="shared" si="71"/>
        <v>0</v>
      </c>
      <c r="O335" s="170">
        <f t="shared" si="71"/>
        <v>0</v>
      </c>
    </row>
    <row r="336" spans="1:18" ht="15">
      <c r="A336" s="380" t="s">
        <v>602</v>
      </c>
      <c r="B336" s="351" t="s">
        <v>701</v>
      </c>
      <c r="C336" s="351" t="s">
        <v>437</v>
      </c>
      <c r="D336" s="351" t="s">
        <v>384</v>
      </c>
      <c r="E336" s="351" t="s">
        <v>742</v>
      </c>
      <c r="F336" s="351" t="s">
        <v>603</v>
      </c>
      <c r="G336" s="360">
        <v>531</v>
      </c>
      <c r="H336" s="357"/>
      <c r="I336" s="360"/>
      <c r="J336" s="170"/>
      <c r="K336" s="170" t="e">
        <f>#REF!+J336</f>
        <v>#REF!</v>
      </c>
      <c r="L336" s="170">
        <v>10053.8</v>
      </c>
      <c r="M336" s="170">
        <v>-10053.8</v>
      </c>
      <c r="N336" s="170">
        <f>L336+M336</f>
        <v>0</v>
      </c>
      <c r="O336" s="170"/>
      <c r="P336" s="215">
        <v>9139.8</v>
      </c>
      <c r="R336" s="184" t="e">
        <f>P336-#REF!</f>
        <v>#REF!</v>
      </c>
    </row>
    <row r="337" spans="1:15" ht="26.25">
      <c r="A337" s="380" t="s">
        <v>720</v>
      </c>
      <c r="B337" s="351" t="s">
        <v>701</v>
      </c>
      <c r="C337" s="351" t="s">
        <v>437</v>
      </c>
      <c r="D337" s="351" t="s">
        <v>384</v>
      </c>
      <c r="E337" s="351" t="s">
        <v>743</v>
      </c>
      <c r="F337" s="351"/>
      <c r="G337" s="360"/>
      <c r="H337" s="357"/>
      <c r="I337" s="360"/>
      <c r="J337" s="170"/>
      <c r="K337" s="170"/>
      <c r="L337" s="170">
        <f>L338</f>
        <v>7085</v>
      </c>
      <c r="M337" s="170">
        <f>M338</f>
        <v>-7085</v>
      </c>
      <c r="N337" s="170">
        <f>N338</f>
        <v>0</v>
      </c>
      <c r="O337" s="170">
        <f>O338</f>
        <v>0</v>
      </c>
    </row>
    <row r="338" spans="1:18" ht="15">
      <c r="A338" s="380" t="s">
        <v>722</v>
      </c>
      <c r="B338" s="351" t="s">
        <v>701</v>
      </c>
      <c r="C338" s="351" t="s">
        <v>437</v>
      </c>
      <c r="D338" s="351" t="s">
        <v>384</v>
      </c>
      <c r="E338" s="351" t="s">
        <v>743</v>
      </c>
      <c r="F338" s="351" t="s">
        <v>603</v>
      </c>
      <c r="G338" s="360"/>
      <c r="H338" s="357"/>
      <c r="I338" s="360"/>
      <c r="J338" s="170"/>
      <c r="K338" s="170"/>
      <c r="L338" s="170">
        <v>7085</v>
      </c>
      <c r="M338" s="170">
        <v>-7085</v>
      </c>
      <c r="N338" s="170">
        <f>L338+M338</f>
        <v>0</v>
      </c>
      <c r="O338" s="170"/>
      <c r="P338" s="215">
        <v>6979</v>
      </c>
      <c r="R338" s="184" t="e">
        <f>#REF!-P338</f>
        <v>#REF!</v>
      </c>
    </row>
    <row r="339" spans="1:15" ht="25.5">
      <c r="A339" s="375" t="s">
        <v>724</v>
      </c>
      <c r="B339" s="351" t="s">
        <v>701</v>
      </c>
      <c r="C339" s="351" t="s">
        <v>437</v>
      </c>
      <c r="D339" s="351" t="s">
        <v>384</v>
      </c>
      <c r="E339" s="351" t="s">
        <v>744</v>
      </c>
      <c r="F339" s="351"/>
      <c r="G339" s="360"/>
      <c r="H339" s="357"/>
      <c r="I339" s="360"/>
      <c r="J339" s="170"/>
      <c r="K339" s="170"/>
      <c r="L339" s="170">
        <f>L340</f>
        <v>4350</v>
      </c>
      <c r="M339" s="170">
        <f>M340</f>
        <v>-4350</v>
      </c>
      <c r="N339" s="170">
        <f>N340</f>
        <v>0</v>
      </c>
      <c r="O339" s="170">
        <f>O340</f>
        <v>0</v>
      </c>
    </row>
    <row r="340" spans="1:18" ht="15">
      <c r="A340" s="380" t="s">
        <v>602</v>
      </c>
      <c r="B340" s="351" t="s">
        <v>701</v>
      </c>
      <c r="C340" s="351" t="s">
        <v>437</v>
      </c>
      <c r="D340" s="351" t="s">
        <v>384</v>
      </c>
      <c r="E340" s="351" t="s">
        <v>744</v>
      </c>
      <c r="F340" s="351" t="s">
        <v>603</v>
      </c>
      <c r="G340" s="360"/>
      <c r="H340" s="357"/>
      <c r="I340" s="360"/>
      <c r="J340" s="170"/>
      <c r="K340" s="170"/>
      <c r="L340" s="170">
        <v>4350</v>
      </c>
      <c r="M340" s="170">
        <v>-4350</v>
      </c>
      <c r="N340" s="170">
        <f>L340+M340</f>
        <v>0</v>
      </c>
      <c r="O340" s="170"/>
      <c r="P340" s="215">
        <v>4056</v>
      </c>
      <c r="R340" s="184" t="e">
        <f>#REF!-P340</f>
        <v>#REF!</v>
      </c>
    </row>
    <row r="341" spans="1:15" ht="44.25" customHeight="1">
      <c r="A341" s="380" t="s">
        <v>737</v>
      </c>
      <c r="B341" s="351" t="s">
        <v>701</v>
      </c>
      <c r="C341" s="351" t="s">
        <v>437</v>
      </c>
      <c r="D341" s="351" t="s">
        <v>384</v>
      </c>
      <c r="E341" s="351" t="s">
        <v>745</v>
      </c>
      <c r="F341" s="351"/>
      <c r="G341" s="360"/>
      <c r="H341" s="357"/>
      <c r="I341" s="360"/>
      <c r="J341" s="170"/>
      <c r="K341" s="170"/>
      <c r="L341" s="170">
        <f>L343+L342</f>
        <v>256</v>
      </c>
      <c r="M341" s="170">
        <f>M343+M342</f>
        <v>-256</v>
      </c>
      <c r="N341" s="170">
        <f>N343+N342</f>
        <v>0</v>
      </c>
      <c r="O341" s="170">
        <f>O343+O342</f>
        <v>0</v>
      </c>
    </row>
    <row r="342" spans="1:15" ht="15" customHeight="1" hidden="1">
      <c r="A342" s="380" t="s">
        <v>602</v>
      </c>
      <c r="B342" s="351" t="s">
        <v>701</v>
      </c>
      <c r="C342" s="351" t="s">
        <v>437</v>
      </c>
      <c r="D342" s="351" t="s">
        <v>384</v>
      </c>
      <c r="E342" s="351" t="s">
        <v>745</v>
      </c>
      <c r="F342" s="351" t="s">
        <v>603</v>
      </c>
      <c r="G342" s="360"/>
      <c r="H342" s="357"/>
      <c r="I342" s="360"/>
      <c r="J342" s="170"/>
      <c r="K342" s="170"/>
      <c r="L342" s="170">
        <f>K342+J342</f>
        <v>0</v>
      </c>
      <c r="M342" s="170"/>
      <c r="N342" s="170">
        <f>M342+L342</f>
        <v>0</v>
      </c>
      <c r="O342" s="170"/>
    </row>
    <row r="343" spans="1:18" ht="15">
      <c r="A343" s="380" t="s">
        <v>602</v>
      </c>
      <c r="B343" s="351" t="s">
        <v>701</v>
      </c>
      <c r="C343" s="351" t="s">
        <v>437</v>
      </c>
      <c r="D343" s="351" t="s">
        <v>384</v>
      </c>
      <c r="E343" s="351" t="s">
        <v>746</v>
      </c>
      <c r="F343" s="351" t="s">
        <v>603</v>
      </c>
      <c r="G343" s="360"/>
      <c r="H343" s="357"/>
      <c r="I343" s="360"/>
      <c r="J343" s="170"/>
      <c r="K343" s="170"/>
      <c r="L343" s="170">
        <v>256</v>
      </c>
      <c r="M343" s="170">
        <v>-256</v>
      </c>
      <c r="N343" s="170">
        <f>L343+M343</f>
        <v>0</v>
      </c>
      <c r="O343" s="170"/>
      <c r="P343" s="150">
        <v>241</v>
      </c>
      <c r="R343" s="184" t="e">
        <f>#REF!-P343</f>
        <v>#REF!</v>
      </c>
    </row>
    <row r="344" spans="1:15" ht="25.5">
      <c r="A344" s="375" t="s">
        <v>747</v>
      </c>
      <c r="B344" s="351" t="s">
        <v>701</v>
      </c>
      <c r="C344" s="351" t="s">
        <v>437</v>
      </c>
      <c r="D344" s="351" t="s">
        <v>384</v>
      </c>
      <c r="E344" s="351" t="s">
        <v>748</v>
      </c>
      <c r="F344" s="351"/>
      <c r="G344" s="360">
        <f aca="true" t="shared" si="72" ref="G344:O344">G345</f>
        <v>206</v>
      </c>
      <c r="H344" s="360">
        <f t="shared" si="72"/>
        <v>0</v>
      </c>
      <c r="I344" s="360">
        <f t="shared" si="72"/>
        <v>0</v>
      </c>
      <c r="J344" s="170">
        <f t="shared" si="72"/>
        <v>0</v>
      </c>
      <c r="K344" s="170" t="e">
        <f t="shared" si="72"/>
        <v>#REF!</v>
      </c>
      <c r="L344" s="170">
        <f t="shared" si="72"/>
        <v>327</v>
      </c>
      <c r="M344" s="170">
        <f t="shared" si="72"/>
        <v>-327</v>
      </c>
      <c r="N344" s="170">
        <f t="shared" si="72"/>
        <v>0</v>
      </c>
      <c r="O344" s="170">
        <f t="shared" si="72"/>
        <v>0</v>
      </c>
    </row>
    <row r="345" spans="1:18" ht="15">
      <c r="A345" s="380" t="s">
        <v>602</v>
      </c>
      <c r="B345" s="351" t="s">
        <v>701</v>
      </c>
      <c r="C345" s="351" t="s">
        <v>437</v>
      </c>
      <c r="D345" s="351" t="s">
        <v>384</v>
      </c>
      <c r="E345" s="351" t="s">
        <v>748</v>
      </c>
      <c r="F345" s="351" t="s">
        <v>603</v>
      </c>
      <c r="G345" s="360">
        <f>206</f>
        <v>206</v>
      </c>
      <c r="H345" s="357"/>
      <c r="I345" s="360"/>
      <c r="J345" s="170"/>
      <c r="K345" s="170" t="e">
        <f>#REF!+J345</f>
        <v>#REF!</v>
      </c>
      <c r="L345" s="170">
        <v>327</v>
      </c>
      <c r="M345" s="170">
        <v>-327</v>
      </c>
      <c r="N345" s="170">
        <f>L345+M345</f>
        <v>0</v>
      </c>
      <c r="O345" s="170"/>
      <c r="P345" s="215">
        <v>327</v>
      </c>
      <c r="R345" s="184" t="e">
        <f>P345-#REF!</f>
        <v>#REF!</v>
      </c>
    </row>
    <row r="346" spans="1:15" ht="39">
      <c r="A346" s="148" t="s">
        <v>749</v>
      </c>
      <c r="B346" s="351" t="s">
        <v>701</v>
      </c>
      <c r="C346" s="351" t="s">
        <v>437</v>
      </c>
      <c r="D346" s="351" t="s">
        <v>384</v>
      </c>
      <c r="E346" s="351" t="s">
        <v>750</v>
      </c>
      <c r="F346" s="351"/>
      <c r="G346" s="366">
        <f aca="true" t="shared" si="73" ref="G346:O346">G347</f>
        <v>99.15607</v>
      </c>
      <c r="H346" s="366">
        <f t="shared" si="73"/>
        <v>0</v>
      </c>
      <c r="I346" s="366">
        <f t="shared" si="73"/>
        <v>0</v>
      </c>
      <c r="J346" s="170">
        <f t="shared" si="73"/>
        <v>0</v>
      </c>
      <c r="K346" s="170" t="e">
        <f t="shared" si="73"/>
        <v>#REF!</v>
      </c>
      <c r="L346" s="170">
        <f t="shared" si="73"/>
        <v>1096</v>
      </c>
      <c r="M346" s="170">
        <f t="shared" si="73"/>
        <v>-1096</v>
      </c>
      <c r="N346" s="170">
        <f t="shared" si="73"/>
        <v>0</v>
      </c>
      <c r="O346" s="170">
        <f t="shared" si="73"/>
        <v>0</v>
      </c>
    </row>
    <row r="347" spans="1:18" ht="15">
      <c r="A347" s="380" t="s">
        <v>602</v>
      </c>
      <c r="B347" s="351" t="s">
        <v>701</v>
      </c>
      <c r="C347" s="351" t="s">
        <v>437</v>
      </c>
      <c r="D347" s="351" t="s">
        <v>384</v>
      </c>
      <c r="E347" s="351" t="s">
        <v>750</v>
      </c>
      <c r="F347" s="351" t="s">
        <v>603</v>
      </c>
      <c r="G347" s="366">
        <f>9.15607+90</f>
        <v>99.15607</v>
      </c>
      <c r="H347" s="357"/>
      <c r="I347" s="366"/>
      <c r="J347" s="170"/>
      <c r="K347" s="170" t="e">
        <f>#REF!+J347</f>
        <v>#REF!</v>
      </c>
      <c r="L347" s="170">
        <v>1096</v>
      </c>
      <c r="M347" s="170">
        <v>-1096</v>
      </c>
      <c r="N347" s="170">
        <f>L347+M347</f>
        <v>0</v>
      </c>
      <c r="O347" s="170"/>
      <c r="P347" s="215">
        <v>1008</v>
      </c>
      <c r="R347" s="184" t="e">
        <f>#REF!-P347</f>
        <v>#REF!</v>
      </c>
    </row>
    <row r="348" spans="1:15" ht="51">
      <c r="A348" s="375" t="s">
        <v>751</v>
      </c>
      <c r="B348" s="351" t="s">
        <v>701</v>
      </c>
      <c r="C348" s="351" t="s">
        <v>437</v>
      </c>
      <c r="D348" s="351" t="s">
        <v>384</v>
      </c>
      <c r="E348" s="351" t="s">
        <v>752</v>
      </c>
      <c r="F348" s="351"/>
      <c r="G348" s="357">
        <f aca="true" t="shared" si="74" ref="G348:O348">G349</f>
        <v>3526.34117</v>
      </c>
      <c r="H348" s="357">
        <f t="shared" si="74"/>
        <v>0</v>
      </c>
      <c r="I348" s="357">
        <f t="shared" si="74"/>
        <v>0</v>
      </c>
      <c r="J348" s="170">
        <f t="shared" si="74"/>
        <v>0</v>
      </c>
      <c r="K348" s="170" t="e">
        <f t="shared" si="74"/>
        <v>#REF!</v>
      </c>
      <c r="L348" s="170">
        <f t="shared" si="74"/>
        <v>8846</v>
      </c>
      <c r="M348" s="170">
        <f t="shared" si="74"/>
        <v>-8846</v>
      </c>
      <c r="N348" s="170">
        <f t="shared" si="74"/>
        <v>0</v>
      </c>
      <c r="O348" s="170">
        <f t="shared" si="74"/>
        <v>0</v>
      </c>
    </row>
    <row r="349" spans="1:18" ht="15">
      <c r="A349" s="380" t="s">
        <v>602</v>
      </c>
      <c r="B349" s="351" t="s">
        <v>701</v>
      </c>
      <c r="C349" s="351" t="s">
        <v>437</v>
      </c>
      <c r="D349" s="351" t="s">
        <v>384</v>
      </c>
      <c r="E349" s="351" t="s">
        <v>752</v>
      </c>
      <c r="F349" s="351" t="s">
        <v>603</v>
      </c>
      <c r="G349" s="357">
        <f>13.34117+3513</f>
        <v>3526.34117</v>
      </c>
      <c r="H349" s="357"/>
      <c r="I349" s="357"/>
      <c r="J349" s="170"/>
      <c r="K349" s="170" t="e">
        <f>#REF!+J349</f>
        <v>#REF!</v>
      </c>
      <c r="L349" s="170">
        <v>8846</v>
      </c>
      <c r="M349" s="170">
        <v>-8846</v>
      </c>
      <c r="N349" s="170">
        <f>L349+M349</f>
        <v>0</v>
      </c>
      <c r="O349" s="170"/>
      <c r="P349" s="215">
        <v>7903</v>
      </c>
      <c r="R349" s="184" t="e">
        <f>#REF!-P349</f>
        <v>#REF!</v>
      </c>
    </row>
    <row r="350" spans="1:15" ht="26.25">
      <c r="A350" s="148" t="s">
        <v>753</v>
      </c>
      <c r="B350" s="351" t="s">
        <v>701</v>
      </c>
      <c r="C350" s="351" t="s">
        <v>437</v>
      </c>
      <c r="D350" s="351" t="s">
        <v>384</v>
      </c>
      <c r="E350" s="351" t="s">
        <v>754</v>
      </c>
      <c r="F350" s="351"/>
      <c r="G350" s="366">
        <f aca="true" t="shared" si="75" ref="G350:O350">G351</f>
        <v>796.46933</v>
      </c>
      <c r="H350" s="366">
        <f t="shared" si="75"/>
        <v>0</v>
      </c>
      <c r="I350" s="366">
        <f t="shared" si="75"/>
        <v>0</v>
      </c>
      <c r="J350" s="170">
        <f t="shared" si="75"/>
        <v>0</v>
      </c>
      <c r="K350" s="170" t="e">
        <f t="shared" si="75"/>
        <v>#REF!</v>
      </c>
      <c r="L350" s="170">
        <f t="shared" si="75"/>
        <v>3762</v>
      </c>
      <c r="M350" s="170">
        <f t="shared" si="75"/>
        <v>-3762</v>
      </c>
      <c r="N350" s="170">
        <f t="shared" si="75"/>
        <v>0</v>
      </c>
      <c r="O350" s="170">
        <f t="shared" si="75"/>
        <v>0</v>
      </c>
    </row>
    <row r="351" spans="1:18" ht="15">
      <c r="A351" s="380" t="s">
        <v>602</v>
      </c>
      <c r="B351" s="351" t="s">
        <v>701</v>
      </c>
      <c r="C351" s="351" t="s">
        <v>437</v>
      </c>
      <c r="D351" s="351" t="s">
        <v>384</v>
      </c>
      <c r="E351" s="351" t="s">
        <v>754</v>
      </c>
      <c r="F351" s="351" t="s">
        <v>603</v>
      </c>
      <c r="G351" s="366">
        <f>0.46933+796</f>
        <v>796.46933</v>
      </c>
      <c r="H351" s="357"/>
      <c r="I351" s="366"/>
      <c r="J351" s="170"/>
      <c r="K351" s="170" t="e">
        <f>#REF!+J351</f>
        <v>#REF!</v>
      </c>
      <c r="L351" s="170">
        <v>3762</v>
      </c>
      <c r="M351" s="170">
        <v>-3762</v>
      </c>
      <c r="N351" s="170">
        <f>L351+M351</f>
        <v>0</v>
      </c>
      <c r="O351" s="170"/>
      <c r="P351" s="215">
        <v>3452</v>
      </c>
      <c r="R351" s="184" t="e">
        <f>#REF!-P351</f>
        <v>#REF!</v>
      </c>
    </row>
    <row r="352" spans="1:15" ht="26.25">
      <c r="A352" s="380" t="s">
        <v>755</v>
      </c>
      <c r="B352" s="351" t="s">
        <v>701</v>
      </c>
      <c r="C352" s="351" t="s">
        <v>437</v>
      </c>
      <c r="D352" s="351" t="s">
        <v>384</v>
      </c>
      <c r="E352" s="351" t="s">
        <v>756</v>
      </c>
      <c r="F352" s="351"/>
      <c r="G352" s="360">
        <f aca="true" t="shared" si="76" ref="G352:O352">G353</f>
        <v>-796</v>
      </c>
      <c r="H352" s="360">
        <f t="shared" si="76"/>
        <v>1054.3</v>
      </c>
      <c r="I352" s="360">
        <f t="shared" si="76"/>
        <v>0</v>
      </c>
      <c r="J352" s="170">
        <f t="shared" si="76"/>
        <v>122</v>
      </c>
      <c r="K352" s="170" t="e">
        <f t="shared" si="76"/>
        <v>#REF!</v>
      </c>
      <c r="L352" s="170">
        <f t="shared" si="76"/>
        <v>408</v>
      </c>
      <c r="M352" s="170">
        <f t="shared" si="76"/>
        <v>-408</v>
      </c>
      <c r="N352" s="170">
        <f t="shared" si="76"/>
        <v>0</v>
      </c>
      <c r="O352" s="170">
        <f t="shared" si="76"/>
        <v>0</v>
      </c>
    </row>
    <row r="353" spans="1:15" ht="15">
      <c r="A353" s="380" t="s">
        <v>602</v>
      </c>
      <c r="B353" s="351" t="s">
        <v>701</v>
      </c>
      <c r="C353" s="351" t="s">
        <v>437</v>
      </c>
      <c r="D353" s="351" t="s">
        <v>384</v>
      </c>
      <c r="E353" s="351" t="s">
        <v>756</v>
      </c>
      <c r="F353" s="351" t="s">
        <v>603</v>
      </c>
      <c r="G353" s="387">
        <v>-796</v>
      </c>
      <c r="H353" s="388">
        <v>1054.3</v>
      </c>
      <c r="I353" s="387"/>
      <c r="J353" s="170">
        <f>122</f>
        <v>122</v>
      </c>
      <c r="K353" s="170" t="e">
        <f>#REF!+J353</f>
        <v>#REF!</v>
      </c>
      <c r="L353" s="170">
        <v>408</v>
      </c>
      <c r="M353" s="170">
        <v>-408</v>
      </c>
      <c r="N353" s="170">
        <f>L353+M353</f>
        <v>0</v>
      </c>
      <c r="O353" s="170"/>
    </row>
    <row r="354" spans="1:15" ht="26.25" customHeight="1" hidden="1">
      <c r="A354" s="380" t="s">
        <v>757</v>
      </c>
      <c r="B354" s="351" t="s">
        <v>701</v>
      </c>
      <c r="C354" s="351" t="s">
        <v>437</v>
      </c>
      <c r="D354" s="351" t="s">
        <v>384</v>
      </c>
      <c r="E354" s="351" t="s">
        <v>756</v>
      </c>
      <c r="F354" s="351"/>
      <c r="G354" s="360">
        <f aca="true" t="shared" si="77" ref="G354:O355">G355</f>
        <v>-3513</v>
      </c>
      <c r="H354" s="360">
        <f t="shared" si="77"/>
        <v>3681.6</v>
      </c>
      <c r="I354" s="360">
        <f t="shared" si="77"/>
        <v>0</v>
      </c>
      <c r="J354" s="170">
        <f t="shared" si="77"/>
        <v>0</v>
      </c>
      <c r="K354" s="170" t="e">
        <f t="shared" si="77"/>
        <v>#REF!</v>
      </c>
      <c r="L354" s="170">
        <f t="shared" si="77"/>
        <v>0</v>
      </c>
      <c r="M354" s="170">
        <f t="shared" si="77"/>
        <v>0</v>
      </c>
      <c r="N354" s="170">
        <f t="shared" si="77"/>
        <v>0</v>
      </c>
      <c r="O354" s="170">
        <f t="shared" si="77"/>
        <v>0</v>
      </c>
    </row>
    <row r="355" spans="1:15" ht="26.25" customHeight="1" hidden="1">
      <c r="A355" s="380" t="s">
        <v>758</v>
      </c>
      <c r="B355" s="351" t="s">
        <v>701</v>
      </c>
      <c r="C355" s="351" t="s">
        <v>437</v>
      </c>
      <c r="D355" s="351" t="s">
        <v>384</v>
      </c>
      <c r="E355" s="351" t="s">
        <v>756</v>
      </c>
      <c r="F355" s="351"/>
      <c r="G355" s="360">
        <f t="shared" si="77"/>
        <v>-3513</v>
      </c>
      <c r="H355" s="360">
        <f t="shared" si="77"/>
        <v>3681.6</v>
      </c>
      <c r="I355" s="360">
        <f t="shared" si="77"/>
        <v>0</v>
      </c>
      <c r="J355" s="170">
        <f t="shared" si="77"/>
        <v>0</v>
      </c>
      <c r="K355" s="170" t="e">
        <f t="shared" si="77"/>
        <v>#REF!</v>
      </c>
      <c r="L355" s="170">
        <f t="shared" si="77"/>
        <v>0</v>
      </c>
      <c r="M355" s="170">
        <f t="shared" si="77"/>
        <v>0</v>
      </c>
      <c r="N355" s="170">
        <f t="shared" si="77"/>
        <v>0</v>
      </c>
      <c r="O355" s="170">
        <f t="shared" si="77"/>
        <v>0</v>
      </c>
    </row>
    <row r="356" spans="1:15" ht="15" customHeight="1" hidden="1">
      <c r="A356" s="380" t="s">
        <v>602</v>
      </c>
      <c r="B356" s="351" t="s">
        <v>701</v>
      </c>
      <c r="C356" s="351" t="s">
        <v>437</v>
      </c>
      <c r="D356" s="351" t="s">
        <v>384</v>
      </c>
      <c r="E356" s="351" t="s">
        <v>756</v>
      </c>
      <c r="F356" s="351" t="s">
        <v>603</v>
      </c>
      <c r="G356" s="360">
        <v>-3513</v>
      </c>
      <c r="H356" s="357">
        <v>3681.6</v>
      </c>
      <c r="I356" s="360"/>
      <c r="J356" s="170"/>
      <c r="K356" s="170" t="e">
        <f>#REF!+J356</f>
        <v>#REF!</v>
      </c>
      <c r="L356" s="170"/>
      <c r="M356" s="170"/>
      <c r="N356" s="170">
        <f>L356+M356</f>
        <v>0</v>
      </c>
      <c r="O356" s="170"/>
    </row>
    <row r="357" spans="1:15" s="232" customFormat="1" ht="25.5">
      <c r="A357" s="379" t="s">
        <v>444</v>
      </c>
      <c r="B357" s="350" t="s">
        <v>701</v>
      </c>
      <c r="C357" s="350" t="s">
        <v>437</v>
      </c>
      <c r="D357" s="350" t="s">
        <v>388</v>
      </c>
      <c r="E357" s="350"/>
      <c r="F357" s="350"/>
      <c r="G357" s="348">
        <f aca="true" t="shared" si="78" ref="G357:N357">G360+G364+G358</f>
        <v>75</v>
      </c>
      <c r="H357" s="348">
        <f t="shared" si="78"/>
        <v>1158.1000000000001</v>
      </c>
      <c r="I357" s="348">
        <f t="shared" si="78"/>
        <v>0</v>
      </c>
      <c r="J357" s="161">
        <f t="shared" si="78"/>
        <v>-169</v>
      </c>
      <c r="K357" s="161" t="e">
        <f t="shared" si="78"/>
        <v>#REF!</v>
      </c>
      <c r="L357" s="161">
        <f t="shared" si="78"/>
        <v>1927.1100000000001</v>
      </c>
      <c r="M357" s="161">
        <f t="shared" si="78"/>
        <v>-1927.1100000000001</v>
      </c>
      <c r="N357" s="161">
        <f t="shared" si="78"/>
        <v>0</v>
      </c>
      <c r="O357" s="161">
        <f>O360+O364+O358</f>
        <v>0</v>
      </c>
    </row>
    <row r="358" spans="1:15" s="232" customFormat="1" ht="63.75">
      <c r="A358" s="148" t="s">
        <v>708</v>
      </c>
      <c r="B358" s="351" t="s">
        <v>701</v>
      </c>
      <c r="C358" s="351" t="s">
        <v>437</v>
      </c>
      <c r="D358" s="351" t="s">
        <v>388</v>
      </c>
      <c r="E358" s="351" t="s">
        <v>709</v>
      </c>
      <c r="F358" s="351"/>
      <c r="G358" s="360">
        <f aca="true" t="shared" si="79" ref="G358:O358">G359</f>
        <v>912</v>
      </c>
      <c r="H358" s="360">
        <f t="shared" si="79"/>
        <v>0</v>
      </c>
      <c r="I358" s="360">
        <f t="shared" si="79"/>
        <v>0</v>
      </c>
      <c r="J358" s="170">
        <f t="shared" si="79"/>
        <v>-250</v>
      </c>
      <c r="K358" s="170" t="e">
        <f t="shared" si="79"/>
        <v>#REF!</v>
      </c>
      <c r="L358" s="170">
        <f t="shared" si="79"/>
        <v>1417</v>
      </c>
      <c r="M358" s="170">
        <f t="shared" si="79"/>
        <v>-1417</v>
      </c>
      <c r="N358" s="170">
        <f t="shared" si="79"/>
        <v>0</v>
      </c>
      <c r="O358" s="170">
        <f t="shared" si="79"/>
        <v>0</v>
      </c>
    </row>
    <row r="359" spans="1:19" s="232" customFormat="1" ht="25.5">
      <c r="A359" s="148" t="s">
        <v>487</v>
      </c>
      <c r="B359" s="351" t="s">
        <v>701</v>
      </c>
      <c r="C359" s="351" t="s">
        <v>437</v>
      </c>
      <c r="D359" s="351" t="s">
        <v>388</v>
      </c>
      <c r="E359" s="351" t="s">
        <v>709</v>
      </c>
      <c r="F359" s="351" t="s">
        <v>485</v>
      </c>
      <c r="G359" s="360">
        <f>950-38</f>
        <v>912</v>
      </c>
      <c r="H359" s="357"/>
      <c r="I359" s="360"/>
      <c r="J359" s="170">
        <f>-250</f>
        <v>-250</v>
      </c>
      <c r="K359" s="170" t="e">
        <f>#REF!+J359</f>
        <v>#REF!</v>
      </c>
      <c r="L359" s="170">
        <v>1417</v>
      </c>
      <c r="M359" s="170">
        <v>-1417</v>
      </c>
      <c r="N359" s="170">
        <f>L359+M359</f>
        <v>0</v>
      </c>
      <c r="O359" s="170"/>
      <c r="P359" s="249" t="e">
        <f>#REF!+#REF!</f>
        <v>#REF!</v>
      </c>
      <c r="Q359" s="249">
        <f>J359+J298</f>
        <v>0</v>
      </c>
      <c r="R359" s="249" t="e">
        <f>K359+K298</f>
        <v>#REF!</v>
      </c>
      <c r="S359" s="249">
        <f>L359+L298</f>
        <v>8194.1</v>
      </c>
    </row>
    <row r="360" spans="1:15" ht="26.25">
      <c r="A360" s="380" t="s">
        <v>759</v>
      </c>
      <c r="B360" s="351" t="s">
        <v>701</v>
      </c>
      <c r="C360" s="351" t="s">
        <v>437</v>
      </c>
      <c r="D360" s="351" t="s">
        <v>388</v>
      </c>
      <c r="E360" s="351" t="s">
        <v>543</v>
      </c>
      <c r="F360" s="351"/>
      <c r="G360" s="360">
        <f aca="true" t="shared" si="80" ref="G360:O361">G361</f>
        <v>-912</v>
      </c>
      <c r="H360" s="360">
        <f t="shared" si="80"/>
        <v>1095.22</v>
      </c>
      <c r="I360" s="360">
        <f t="shared" si="80"/>
        <v>0</v>
      </c>
      <c r="J360" s="170">
        <f t="shared" si="80"/>
        <v>41</v>
      </c>
      <c r="K360" s="170" t="e">
        <f t="shared" si="80"/>
        <v>#REF!</v>
      </c>
      <c r="L360" s="170">
        <f t="shared" si="80"/>
        <v>174.11</v>
      </c>
      <c r="M360" s="170">
        <f t="shared" si="80"/>
        <v>-174.11</v>
      </c>
      <c r="N360" s="170">
        <f t="shared" si="80"/>
        <v>0</v>
      </c>
      <c r="O360" s="170">
        <f t="shared" si="80"/>
        <v>0</v>
      </c>
    </row>
    <row r="361" spans="1:15" ht="15">
      <c r="A361" s="380" t="s">
        <v>544</v>
      </c>
      <c r="B361" s="351" t="s">
        <v>701</v>
      </c>
      <c r="C361" s="351" t="s">
        <v>437</v>
      </c>
      <c r="D361" s="351" t="s">
        <v>388</v>
      </c>
      <c r="E361" s="351" t="s">
        <v>545</v>
      </c>
      <c r="F361" s="351"/>
      <c r="G361" s="360">
        <f t="shared" si="80"/>
        <v>-912</v>
      </c>
      <c r="H361" s="360">
        <f t="shared" si="80"/>
        <v>1095.22</v>
      </c>
      <c r="I361" s="360">
        <f t="shared" si="80"/>
        <v>0</v>
      </c>
      <c r="J361" s="170">
        <f t="shared" si="80"/>
        <v>41</v>
      </c>
      <c r="K361" s="170" t="e">
        <f t="shared" si="80"/>
        <v>#REF!</v>
      </c>
      <c r="L361" s="170">
        <f>L362+L363</f>
        <v>174.11</v>
      </c>
      <c r="M361" s="170">
        <f>M362+M363</f>
        <v>-174.11</v>
      </c>
      <c r="N361" s="170">
        <f>N362+N363</f>
        <v>0</v>
      </c>
      <c r="O361" s="170">
        <f>O362+O363</f>
        <v>0</v>
      </c>
    </row>
    <row r="362" spans="1:15" ht="26.25" customHeight="1" hidden="1">
      <c r="A362" s="380" t="s">
        <v>493</v>
      </c>
      <c r="B362" s="351" t="s">
        <v>701</v>
      </c>
      <c r="C362" s="351" t="s">
        <v>437</v>
      </c>
      <c r="D362" s="351" t="s">
        <v>388</v>
      </c>
      <c r="E362" s="351" t="s">
        <v>545</v>
      </c>
      <c r="F362" s="351" t="s">
        <v>583</v>
      </c>
      <c r="G362" s="360">
        <f>-950+38</f>
        <v>-912</v>
      </c>
      <c r="H362" s="357">
        <v>1095.22</v>
      </c>
      <c r="I362" s="360"/>
      <c r="J362" s="170">
        <f>-9+50</f>
        <v>41</v>
      </c>
      <c r="K362" s="170" t="e">
        <f>#REF!+J362</f>
        <v>#REF!</v>
      </c>
      <c r="L362" s="170"/>
      <c r="M362" s="170"/>
      <c r="N362" s="170">
        <f>L362+M362</f>
        <v>0</v>
      </c>
      <c r="O362" s="170"/>
    </row>
    <row r="363" spans="1:16" ht="26.25">
      <c r="A363" s="148" t="s">
        <v>487</v>
      </c>
      <c r="B363" s="351" t="s">
        <v>701</v>
      </c>
      <c r="C363" s="351" t="s">
        <v>437</v>
      </c>
      <c r="D363" s="351" t="s">
        <v>388</v>
      </c>
      <c r="E363" s="351" t="s">
        <v>545</v>
      </c>
      <c r="F363" s="351" t="s">
        <v>485</v>
      </c>
      <c r="G363" s="360"/>
      <c r="H363" s="357"/>
      <c r="I363" s="360"/>
      <c r="J363" s="170"/>
      <c r="K363" s="170"/>
      <c r="L363" s="170">
        <v>174.11</v>
      </c>
      <c r="M363" s="170">
        <v>-174.11</v>
      </c>
      <c r="N363" s="170">
        <f>L363+M363</f>
        <v>0</v>
      </c>
      <c r="O363" s="170"/>
      <c r="P363" s="184"/>
    </row>
    <row r="364" spans="1:15" ht="26.25">
      <c r="A364" s="380" t="s">
        <v>760</v>
      </c>
      <c r="B364" s="351" t="s">
        <v>701</v>
      </c>
      <c r="C364" s="351" t="s">
        <v>437</v>
      </c>
      <c r="D364" s="351" t="s">
        <v>388</v>
      </c>
      <c r="E364" s="351" t="s">
        <v>761</v>
      </c>
      <c r="F364" s="351"/>
      <c r="G364" s="360">
        <f aca="true" t="shared" si="81" ref="G364:N364">G365+G367</f>
        <v>75</v>
      </c>
      <c r="H364" s="360">
        <f t="shared" si="81"/>
        <v>62.88</v>
      </c>
      <c r="I364" s="360">
        <f t="shared" si="81"/>
        <v>0</v>
      </c>
      <c r="J364" s="170">
        <f t="shared" si="81"/>
        <v>40</v>
      </c>
      <c r="K364" s="170" t="e">
        <f t="shared" si="81"/>
        <v>#REF!</v>
      </c>
      <c r="L364" s="170">
        <f t="shared" si="81"/>
        <v>336</v>
      </c>
      <c r="M364" s="170">
        <f t="shared" si="81"/>
        <v>-336</v>
      </c>
      <c r="N364" s="170">
        <f t="shared" si="81"/>
        <v>0</v>
      </c>
      <c r="O364" s="170">
        <f>O365+O367</f>
        <v>0</v>
      </c>
    </row>
    <row r="365" spans="1:15" ht="39">
      <c r="A365" s="148" t="s">
        <v>762</v>
      </c>
      <c r="B365" s="351" t="s">
        <v>701</v>
      </c>
      <c r="C365" s="351" t="s">
        <v>437</v>
      </c>
      <c r="D365" s="351" t="s">
        <v>388</v>
      </c>
      <c r="E365" s="351" t="s">
        <v>763</v>
      </c>
      <c r="F365" s="351"/>
      <c r="G365" s="360">
        <f aca="true" t="shared" si="82" ref="G365:O365">G366</f>
        <v>35</v>
      </c>
      <c r="H365" s="360">
        <f t="shared" si="82"/>
        <v>62.88</v>
      </c>
      <c r="I365" s="360">
        <f t="shared" si="82"/>
        <v>0</v>
      </c>
      <c r="J365" s="170">
        <f t="shared" si="82"/>
        <v>40</v>
      </c>
      <c r="K365" s="170" t="e">
        <f t="shared" si="82"/>
        <v>#REF!</v>
      </c>
      <c r="L365" s="170">
        <f t="shared" si="82"/>
        <v>271</v>
      </c>
      <c r="M365" s="170">
        <f t="shared" si="82"/>
        <v>-271</v>
      </c>
      <c r="N365" s="170">
        <f t="shared" si="82"/>
        <v>0</v>
      </c>
      <c r="O365" s="170">
        <f t="shared" si="82"/>
        <v>0</v>
      </c>
    </row>
    <row r="366" spans="1:15" ht="26.25">
      <c r="A366" s="380" t="s">
        <v>758</v>
      </c>
      <c r="B366" s="351" t="s">
        <v>701</v>
      </c>
      <c r="C366" s="351" t="s">
        <v>437</v>
      </c>
      <c r="D366" s="351" t="s">
        <v>388</v>
      </c>
      <c r="E366" s="351" t="s">
        <v>763</v>
      </c>
      <c r="F366" s="351" t="s">
        <v>764</v>
      </c>
      <c r="G366" s="360">
        <f>15.4+19.6</f>
        <v>35</v>
      </c>
      <c r="H366" s="357">
        <v>62.88</v>
      </c>
      <c r="I366" s="360"/>
      <c r="J366" s="170">
        <f>40</f>
        <v>40</v>
      </c>
      <c r="K366" s="170" t="e">
        <f>#REF!+J366</f>
        <v>#REF!</v>
      </c>
      <c r="L366" s="170">
        <v>271</v>
      </c>
      <c r="M366" s="170">
        <v>-271</v>
      </c>
      <c r="N366" s="170">
        <f>L366+M366</f>
        <v>0</v>
      </c>
      <c r="O366" s="170"/>
    </row>
    <row r="367" spans="1:15" ht="39">
      <c r="A367" s="380" t="s">
        <v>765</v>
      </c>
      <c r="B367" s="351" t="s">
        <v>701</v>
      </c>
      <c r="C367" s="351" t="s">
        <v>437</v>
      </c>
      <c r="D367" s="351" t="s">
        <v>388</v>
      </c>
      <c r="E367" s="351" t="s">
        <v>766</v>
      </c>
      <c r="F367" s="351"/>
      <c r="G367" s="360">
        <f aca="true" t="shared" si="83" ref="G367:O367">G368</f>
        <v>40</v>
      </c>
      <c r="H367" s="357">
        <f t="shared" si="83"/>
        <v>0</v>
      </c>
      <c r="I367" s="360">
        <f t="shared" si="83"/>
        <v>0</v>
      </c>
      <c r="J367" s="170">
        <f t="shared" si="83"/>
        <v>0</v>
      </c>
      <c r="K367" s="170" t="e">
        <f t="shared" si="83"/>
        <v>#REF!</v>
      </c>
      <c r="L367" s="170">
        <f t="shared" si="83"/>
        <v>65</v>
      </c>
      <c r="M367" s="170">
        <f t="shared" si="83"/>
        <v>-65</v>
      </c>
      <c r="N367" s="170">
        <f t="shared" si="83"/>
        <v>0</v>
      </c>
      <c r="O367" s="170">
        <f t="shared" si="83"/>
        <v>0</v>
      </c>
    </row>
    <row r="368" spans="1:15" ht="26.25">
      <c r="A368" s="380" t="s">
        <v>758</v>
      </c>
      <c r="B368" s="351" t="s">
        <v>701</v>
      </c>
      <c r="C368" s="351" t="s">
        <v>437</v>
      </c>
      <c r="D368" s="351" t="s">
        <v>388</v>
      </c>
      <c r="E368" s="351" t="s">
        <v>766</v>
      </c>
      <c r="F368" s="351" t="s">
        <v>764</v>
      </c>
      <c r="G368" s="360">
        <v>40</v>
      </c>
      <c r="H368" s="357"/>
      <c r="I368" s="360"/>
      <c r="J368" s="170"/>
      <c r="K368" s="170" t="e">
        <f>#REF!+J368</f>
        <v>#REF!</v>
      </c>
      <c r="L368" s="170">
        <v>65</v>
      </c>
      <c r="M368" s="170">
        <v>-65</v>
      </c>
      <c r="N368" s="170">
        <f>L368+M368</f>
        <v>0</v>
      </c>
      <c r="O368" s="170"/>
    </row>
    <row r="369" spans="1:15" ht="15" customHeight="1" hidden="1">
      <c r="A369" s="372" t="s">
        <v>767</v>
      </c>
      <c r="B369" s="350" t="s">
        <v>768</v>
      </c>
      <c r="C369" s="350"/>
      <c r="D369" s="350"/>
      <c r="E369" s="350"/>
      <c r="F369" s="350"/>
      <c r="G369" s="373">
        <f aca="true" t="shared" si="84" ref="G369:O370">G370</f>
        <v>0</v>
      </c>
      <c r="H369" s="373">
        <f t="shared" si="84"/>
        <v>526.1</v>
      </c>
      <c r="I369" s="373">
        <f t="shared" si="84"/>
        <v>0</v>
      </c>
      <c r="J369" s="353">
        <f t="shared" si="84"/>
        <v>0</v>
      </c>
      <c r="K369" s="353" t="e">
        <f t="shared" si="84"/>
        <v>#REF!</v>
      </c>
      <c r="L369" s="353">
        <f t="shared" si="84"/>
        <v>0</v>
      </c>
      <c r="M369" s="161">
        <f t="shared" si="84"/>
        <v>0</v>
      </c>
      <c r="N369" s="161">
        <f t="shared" si="84"/>
        <v>0</v>
      </c>
      <c r="O369" s="161">
        <f t="shared" si="84"/>
        <v>0</v>
      </c>
    </row>
    <row r="370" spans="1:15" ht="26.25" customHeight="1" hidden="1">
      <c r="A370" s="379" t="s">
        <v>400</v>
      </c>
      <c r="B370" s="350" t="s">
        <v>768</v>
      </c>
      <c r="C370" s="350" t="s">
        <v>384</v>
      </c>
      <c r="D370" s="351"/>
      <c r="E370" s="351"/>
      <c r="F370" s="351"/>
      <c r="G370" s="359">
        <f t="shared" si="84"/>
        <v>0</v>
      </c>
      <c r="H370" s="359">
        <f t="shared" si="84"/>
        <v>526.1</v>
      </c>
      <c r="I370" s="359">
        <f t="shared" si="84"/>
        <v>0</v>
      </c>
      <c r="J370" s="355">
        <f t="shared" si="84"/>
        <v>0</v>
      </c>
      <c r="K370" s="355" t="e">
        <f t="shared" si="84"/>
        <v>#REF!</v>
      </c>
      <c r="L370" s="355">
        <f t="shared" si="84"/>
        <v>0</v>
      </c>
      <c r="M370" s="161">
        <f t="shared" si="84"/>
        <v>0</v>
      </c>
      <c r="N370" s="161">
        <f t="shared" si="84"/>
        <v>0</v>
      </c>
      <c r="O370" s="161">
        <f t="shared" si="84"/>
        <v>0</v>
      </c>
    </row>
    <row r="371" spans="1:15" s="232" customFormat="1" ht="14.25" customHeight="1" hidden="1">
      <c r="A371" s="379" t="s">
        <v>402</v>
      </c>
      <c r="B371" s="350" t="s">
        <v>768</v>
      </c>
      <c r="C371" s="350" t="s">
        <v>384</v>
      </c>
      <c r="D371" s="350" t="s">
        <v>383</v>
      </c>
      <c r="E371" s="350"/>
      <c r="F371" s="350"/>
      <c r="G371" s="348">
        <f aca="true" t="shared" si="85" ref="G371:N371">G372+G374</f>
        <v>0</v>
      </c>
      <c r="H371" s="348">
        <f t="shared" si="85"/>
        <v>526.1</v>
      </c>
      <c r="I371" s="348">
        <f t="shared" si="85"/>
        <v>0</v>
      </c>
      <c r="J371" s="161">
        <f t="shared" si="85"/>
        <v>0</v>
      </c>
      <c r="K371" s="161" t="e">
        <f t="shared" si="85"/>
        <v>#REF!</v>
      </c>
      <c r="L371" s="161">
        <f t="shared" si="85"/>
        <v>0</v>
      </c>
      <c r="M371" s="161">
        <f t="shared" si="85"/>
        <v>0</v>
      </c>
      <c r="N371" s="161">
        <f t="shared" si="85"/>
        <v>0</v>
      </c>
      <c r="O371" s="161">
        <f>O372+O374</f>
        <v>0</v>
      </c>
    </row>
    <row r="372" spans="1:15" ht="39" customHeight="1" hidden="1">
      <c r="A372" s="380" t="s">
        <v>769</v>
      </c>
      <c r="B372" s="351" t="s">
        <v>768</v>
      </c>
      <c r="C372" s="351" t="s">
        <v>384</v>
      </c>
      <c r="D372" s="351" t="s">
        <v>383</v>
      </c>
      <c r="E372" s="351" t="s">
        <v>649</v>
      </c>
      <c r="F372" s="351"/>
      <c r="G372" s="360">
        <f aca="true" t="shared" si="86" ref="G372:O372">G373</f>
        <v>0</v>
      </c>
      <c r="H372" s="360">
        <f t="shared" si="86"/>
        <v>316.5</v>
      </c>
      <c r="I372" s="360">
        <f t="shared" si="86"/>
        <v>0</v>
      </c>
      <c r="J372" s="170">
        <f t="shared" si="86"/>
        <v>0</v>
      </c>
      <c r="K372" s="170" t="e">
        <f t="shared" si="86"/>
        <v>#REF!</v>
      </c>
      <c r="L372" s="170">
        <f t="shared" si="86"/>
        <v>0</v>
      </c>
      <c r="M372" s="170">
        <f t="shared" si="86"/>
        <v>0</v>
      </c>
      <c r="N372" s="170">
        <f t="shared" si="86"/>
        <v>0</v>
      </c>
      <c r="O372" s="170">
        <f t="shared" si="86"/>
        <v>0</v>
      </c>
    </row>
    <row r="373" spans="1:15" ht="26.25" customHeight="1" hidden="1">
      <c r="A373" s="380" t="s">
        <v>487</v>
      </c>
      <c r="B373" s="351" t="s">
        <v>768</v>
      </c>
      <c r="C373" s="351" t="s">
        <v>384</v>
      </c>
      <c r="D373" s="351" t="s">
        <v>383</v>
      </c>
      <c r="E373" s="351" t="s">
        <v>649</v>
      </c>
      <c r="F373" s="351" t="s">
        <v>485</v>
      </c>
      <c r="G373" s="360"/>
      <c r="H373" s="357">
        <v>316.5</v>
      </c>
      <c r="I373" s="360"/>
      <c r="J373" s="170"/>
      <c r="K373" s="170" t="e">
        <f>#REF!+J373</f>
        <v>#REF!</v>
      </c>
      <c r="L373" s="170"/>
      <c r="M373" s="170"/>
      <c r="N373" s="170">
        <f>L373+M373</f>
        <v>0</v>
      </c>
      <c r="O373" s="170"/>
    </row>
    <row r="374" spans="1:15" ht="39" customHeight="1" hidden="1">
      <c r="A374" s="380" t="s">
        <v>770</v>
      </c>
      <c r="B374" s="351" t="s">
        <v>768</v>
      </c>
      <c r="C374" s="351" t="s">
        <v>384</v>
      </c>
      <c r="D374" s="351" t="s">
        <v>383</v>
      </c>
      <c r="E374" s="351" t="s">
        <v>651</v>
      </c>
      <c r="F374" s="351"/>
      <c r="G374" s="360">
        <f aca="true" t="shared" si="87" ref="G374:O374">G375</f>
        <v>0</v>
      </c>
      <c r="H374" s="360">
        <f t="shared" si="87"/>
        <v>209.6</v>
      </c>
      <c r="I374" s="360">
        <f t="shared" si="87"/>
        <v>0</v>
      </c>
      <c r="J374" s="170">
        <f t="shared" si="87"/>
        <v>0</v>
      </c>
      <c r="K374" s="170" t="e">
        <f t="shared" si="87"/>
        <v>#REF!</v>
      </c>
      <c r="L374" s="170">
        <f t="shared" si="87"/>
        <v>0</v>
      </c>
      <c r="M374" s="170">
        <f t="shared" si="87"/>
        <v>0</v>
      </c>
      <c r="N374" s="170">
        <f t="shared" si="87"/>
        <v>0</v>
      </c>
      <c r="O374" s="170">
        <f t="shared" si="87"/>
        <v>0</v>
      </c>
    </row>
    <row r="375" spans="1:15" ht="26.25" customHeight="1" hidden="1">
      <c r="A375" s="380" t="s">
        <v>487</v>
      </c>
      <c r="B375" s="351" t="s">
        <v>768</v>
      </c>
      <c r="C375" s="351" t="s">
        <v>384</v>
      </c>
      <c r="D375" s="351" t="s">
        <v>383</v>
      </c>
      <c r="E375" s="351" t="s">
        <v>651</v>
      </c>
      <c r="F375" s="351" t="s">
        <v>485</v>
      </c>
      <c r="G375" s="360"/>
      <c r="H375" s="357">
        <v>209.6</v>
      </c>
      <c r="I375" s="360"/>
      <c r="J375" s="170"/>
      <c r="K375" s="170" t="e">
        <f>#REF!+J375</f>
        <v>#REF!</v>
      </c>
      <c r="L375" s="170"/>
      <c r="M375" s="170"/>
      <c r="N375" s="170">
        <f>L375+M375</f>
        <v>0</v>
      </c>
      <c r="O375" s="170"/>
    </row>
    <row r="376" spans="1:18" ht="26.25">
      <c r="A376" s="204" t="s">
        <v>771</v>
      </c>
      <c r="B376" s="168" t="s">
        <v>772</v>
      </c>
      <c r="C376" s="168"/>
      <c r="D376" s="168"/>
      <c r="E376" s="168"/>
      <c r="F376" s="168"/>
      <c r="G376" s="373" t="e">
        <f>G377+G463+G486+G536+#REF!+#REF!+#REF!+G452</f>
        <v>#REF!</v>
      </c>
      <c r="H376" s="373" t="e">
        <f>H377+H463+H486+H536+#REF!+#REF!+#REF!+H452</f>
        <v>#REF!</v>
      </c>
      <c r="I376" s="389" t="e">
        <f>I377+I463+I486+I536+#REF!+#REF!+#REF!+I452</f>
        <v>#REF!</v>
      </c>
      <c r="J376" s="390" t="e">
        <f>J377+J463+J486+J536+#REF!+#REF!+#REF!+J452+#REF!+#REF!</f>
        <v>#REF!</v>
      </c>
      <c r="K376" s="390" t="e">
        <f>K377+K463+K486+K536+#REF!+#REF!+#REF!+K452+#REF!+#REF!</f>
        <v>#REF!</v>
      </c>
      <c r="L376" s="251">
        <f>L377+L440+L451+L467+L485+L516+L526+L552</f>
        <v>34732.4</v>
      </c>
      <c r="M376" s="251">
        <f>M377+M440+M451+M467+M485+M516+M526+M552</f>
        <v>4685.010000000002</v>
      </c>
      <c r="N376" s="251">
        <f>N377+N440+N451+N467+N485+N516+N526+N552</f>
        <v>39417.409999999996</v>
      </c>
      <c r="O376" s="251">
        <f>O377+O440+O451+O467+O485+O516+O526+O552</f>
        <v>31793.329999999998</v>
      </c>
      <c r="P376" s="215"/>
      <c r="R376" s="215">
        <f>L376-P376</f>
        <v>34732.4</v>
      </c>
    </row>
    <row r="377" spans="1:15" s="252" customFormat="1" ht="14.25">
      <c r="A377" s="229" t="s">
        <v>380</v>
      </c>
      <c r="B377" s="168" t="s">
        <v>772</v>
      </c>
      <c r="C377" s="168" t="s">
        <v>382</v>
      </c>
      <c r="D377" s="168"/>
      <c r="E377" s="168"/>
      <c r="F377" s="168"/>
      <c r="G377" s="374" t="e">
        <f>G378+G383+G393+G407+G425+G443</f>
        <v>#REF!</v>
      </c>
      <c r="H377" s="374">
        <f>H378+H383+H393+H425+H443+H423</f>
        <v>12549.96</v>
      </c>
      <c r="I377" s="374">
        <f>I378+I383+I393+I425+I443+I423</f>
        <v>0</v>
      </c>
      <c r="J377" s="355">
        <f>J378+J383+J393+J425+J443+J423</f>
        <v>-176.62</v>
      </c>
      <c r="K377" s="355" t="e">
        <f>K378+K383+K393+K425+K443+K423</f>
        <v>#REF!</v>
      </c>
      <c r="L377" s="161">
        <f>L378+L383+L393+L411+L421+L426+L415</f>
        <v>17557.53</v>
      </c>
      <c r="M377" s="161">
        <f>M378+M383+M393+M411+M421+M426+M415</f>
        <v>2068.000000000001</v>
      </c>
      <c r="N377" s="161">
        <f>N378+N383+N393+N411+N421+N426+N415</f>
        <v>19625.530000000002</v>
      </c>
      <c r="O377" s="161">
        <f>O378+O383+O393+O411+O421+O426+O415</f>
        <v>21229.7</v>
      </c>
    </row>
    <row r="378" spans="1:15" s="232" customFormat="1" ht="51">
      <c r="A378" s="229" t="s">
        <v>773</v>
      </c>
      <c r="B378" s="168" t="s">
        <v>772</v>
      </c>
      <c r="C378" s="168" t="s">
        <v>382</v>
      </c>
      <c r="D378" s="168" t="s">
        <v>383</v>
      </c>
      <c r="E378" s="168"/>
      <c r="F378" s="168"/>
      <c r="G378" s="348">
        <f aca="true" t="shared" si="88" ref="G378:N380">G379</f>
        <v>0</v>
      </c>
      <c r="H378" s="348">
        <f t="shared" si="88"/>
        <v>861</v>
      </c>
      <c r="I378" s="348">
        <f t="shared" si="88"/>
        <v>0</v>
      </c>
      <c r="J378" s="161">
        <f t="shared" si="88"/>
        <v>0</v>
      </c>
      <c r="K378" s="161" t="e">
        <f t="shared" si="88"/>
        <v>#REF!</v>
      </c>
      <c r="L378" s="251">
        <f t="shared" si="88"/>
        <v>1012.93</v>
      </c>
      <c r="M378" s="161">
        <f>M379</f>
        <v>34.97000000000014</v>
      </c>
      <c r="N378" s="161">
        <f t="shared" si="88"/>
        <v>1047.9</v>
      </c>
      <c r="O378" s="161">
        <f>O379</f>
        <v>1047.9</v>
      </c>
    </row>
    <row r="379" spans="1:15" ht="26.25">
      <c r="A379" s="230" t="s">
        <v>759</v>
      </c>
      <c r="B379" s="159" t="s">
        <v>772</v>
      </c>
      <c r="C379" s="159" t="s">
        <v>382</v>
      </c>
      <c r="D379" s="159" t="s">
        <v>383</v>
      </c>
      <c r="E379" s="159" t="s">
        <v>543</v>
      </c>
      <c r="F379" s="159"/>
      <c r="G379" s="360">
        <f t="shared" si="88"/>
        <v>0</v>
      </c>
      <c r="H379" s="360">
        <f t="shared" si="88"/>
        <v>861</v>
      </c>
      <c r="I379" s="360">
        <f t="shared" si="88"/>
        <v>0</v>
      </c>
      <c r="J379" s="170">
        <f t="shared" si="88"/>
        <v>0</v>
      </c>
      <c r="K379" s="170" t="e">
        <f t="shared" si="88"/>
        <v>#REF!</v>
      </c>
      <c r="L379" s="253">
        <f t="shared" si="88"/>
        <v>1012.93</v>
      </c>
      <c r="M379" s="170">
        <f>M380</f>
        <v>34.97000000000014</v>
      </c>
      <c r="N379" s="170">
        <f t="shared" si="88"/>
        <v>1047.9</v>
      </c>
      <c r="O379" s="170">
        <f>O380</f>
        <v>1047.9</v>
      </c>
    </row>
    <row r="380" spans="1:15" ht="15">
      <c r="A380" s="230" t="s">
        <v>774</v>
      </c>
      <c r="B380" s="159" t="s">
        <v>772</v>
      </c>
      <c r="C380" s="159" t="s">
        <v>382</v>
      </c>
      <c r="D380" s="159" t="s">
        <v>383</v>
      </c>
      <c r="E380" s="159" t="s">
        <v>775</v>
      </c>
      <c r="F380" s="159"/>
      <c r="G380" s="360">
        <f t="shared" si="88"/>
        <v>0</v>
      </c>
      <c r="H380" s="360">
        <f t="shared" si="88"/>
        <v>861</v>
      </c>
      <c r="I380" s="360">
        <f t="shared" si="88"/>
        <v>0</v>
      </c>
      <c r="J380" s="170">
        <f t="shared" si="88"/>
        <v>0</v>
      </c>
      <c r="K380" s="170" t="e">
        <f t="shared" si="88"/>
        <v>#REF!</v>
      </c>
      <c r="L380" s="170">
        <f>L381+L382</f>
        <v>1012.93</v>
      </c>
      <c r="M380" s="170">
        <f>M381+M382</f>
        <v>34.97000000000014</v>
      </c>
      <c r="N380" s="170">
        <f>N381+N382</f>
        <v>1047.9</v>
      </c>
      <c r="O380" s="170">
        <f>O381+O382</f>
        <v>1047.9</v>
      </c>
    </row>
    <row r="381" spans="1:18" ht="25.5">
      <c r="A381" s="213" t="s">
        <v>584</v>
      </c>
      <c r="B381" s="159" t="s">
        <v>772</v>
      </c>
      <c r="C381" s="159" t="s">
        <v>382</v>
      </c>
      <c r="D381" s="159" t="s">
        <v>383</v>
      </c>
      <c r="E381" s="159" t="s">
        <v>775</v>
      </c>
      <c r="F381" s="159" t="s">
        <v>585</v>
      </c>
      <c r="G381" s="360"/>
      <c r="H381" s="357">
        <v>861</v>
      </c>
      <c r="I381" s="360"/>
      <c r="J381" s="170"/>
      <c r="K381" s="170" t="e">
        <f>#REF!+J381</f>
        <v>#REF!</v>
      </c>
      <c r="L381" s="253"/>
      <c r="M381" s="170">
        <v>1047.9</v>
      </c>
      <c r="N381" s="170">
        <f>L381+M381</f>
        <v>1047.9</v>
      </c>
      <c r="O381" s="170">
        <v>1047.9</v>
      </c>
      <c r="P381" s="184" t="e">
        <f>L381-#REF!</f>
        <v>#REF!</v>
      </c>
      <c r="R381" s="150">
        <f>L381+L386+L391-25</f>
        <v>-25</v>
      </c>
    </row>
    <row r="382" spans="1:16" ht="26.25">
      <c r="A382" s="230" t="s">
        <v>487</v>
      </c>
      <c r="B382" s="159" t="s">
        <v>772</v>
      </c>
      <c r="C382" s="159" t="s">
        <v>382</v>
      </c>
      <c r="D382" s="159" t="s">
        <v>383</v>
      </c>
      <c r="E382" s="159" t="s">
        <v>775</v>
      </c>
      <c r="F382" s="159" t="s">
        <v>485</v>
      </c>
      <c r="G382" s="360"/>
      <c r="H382" s="357"/>
      <c r="I382" s="360"/>
      <c r="J382" s="170"/>
      <c r="K382" s="170"/>
      <c r="L382" s="253">
        <v>1012.93</v>
      </c>
      <c r="M382" s="170">
        <v>-1012.93</v>
      </c>
      <c r="N382" s="170">
        <f>L382+M382</f>
        <v>0</v>
      </c>
      <c r="O382" s="170"/>
      <c r="P382" s="184"/>
    </row>
    <row r="383" spans="1:15" s="232" customFormat="1" ht="63.75">
      <c r="A383" s="229" t="s">
        <v>776</v>
      </c>
      <c r="B383" s="168" t="s">
        <v>772</v>
      </c>
      <c r="C383" s="168" t="s">
        <v>382</v>
      </c>
      <c r="D383" s="168" t="s">
        <v>384</v>
      </c>
      <c r="E383" s="168"/>
      <c r="F383" s="168"/>
      <c r="G383" s="348">
        <f aca="true" t="shared" si="89" ref="G383:O383">G384</f>
        <v>30</v>
      </c>
      <c r="H383" s="348">
        <f t="shared" si="89"/>
        <v>1353</v>
      </c>
      <c r="I383" s="348">
        <f t="shared" si="89"/>
        <v>0</v>
      </c>
      <c r="J383" s="161">
        <f t="shared" si="89"/>
        <v>0</v>
      </c>
      <c r="K383" s="161" t="e">
        <f t="shared" si="89"/>
        <v>#REF!</v>
      </c>
      <c r="L383" s="251">
        <f t="shared" si="89"/>
        <v>1589.6999999999998</v>
      </c>
      <c r="M383" s="161">
        <f t="shared" si="89"/>
        <v>189.73000000000002</v>
      </c>
      <c r="N383" s="161">
        <f t="shared" si="89"/>
        <v>1779.4299999999998</v>
      </c>
      <c r="O383" s="161">
        <f t="shared" si="89"/>
        <v>1768.6</v>
      </c>
    </row>
    <row r="384" spans="1:15" ht="26.25">
      <c r="A384" s="230" t="s">
        <v>759</v>
      </c>
      <c r="B384" s="159" t="s">
        <v>772</v>
      </c>
      <c r="C384" s="159" t="s">
        <v>382</v>
      </c>
      <c r="D384" s="159" t="s">
        <v>384</v>
      </c>
      <c r="E384" s="159" t="s">
        <v>543</v>
      </c>
      <c r="F384" s="159"/>
      <c r="G384" s="360">
        <f aca="true" t="shared" si="90" ref="G384:N384">G385+G390</f>
        <v>30</v>
      </c>
      <c r="H384" s="357">
        <f t="shared" si="90"/>
        <v>1353</v>
      </c>
      <c r="I384" s="360">
        <f t="shared" si="90"/>
        <v>0</v>
      </c>
      <c r="J384" s="170">
        <f t="shared" si="90"/>
        <v>0</v>
      </c>
      <c r="K384" s="170" t="e">
        <f t="shared" si="90"/>
        <v>#REF!</v>
      </c>
      <c r="L384" s="253">
        <f t="shared" si="90"/>
        <v>1589.6999999999998</v>
      </c>
      <c r="M384" s="170">
        <f t="shared" si="90"/>
        <v>189.73000000000002</v>
      </c>
      <c r="N384" s="170">
        <f t="shared" si="90"/>
        <v>1779.4299999999998</v>
      </c>
      <c r="O384" s="170">
        <f>O385+O390</f>
        <v>1768.6</v>
      </c>
    </row>
    <row r="385" spans="1:15" ht="15">
      <c r="A385" s="230" t="s">
        <v>544</v>
      </c>
      <c r="B385" s="159" t="s">
        <v>772</v>
      </c>
      <c r="C385" s="159" t="s">
        <v>382</v>
      </c>
      <c r="D385" s="159" t="s">
        <v>384</v>
      </c>
      <c r="E385" s="159" t="s">
        <v>545</v>
      </c>
      <c r="F385" s="159"/>
      <c r="G385" s="360">
        <f>G386</f>
        <v>30</v>
      </c>
      <c r="H385" s="360">
        <f>H386</f>
        <v>615</v>
      </c>
      <c r="I385" s="360">
        <f>I386</f>
        <v>0</v>
      </c>
      <c r="J385" s="170">
        <f>J386</f>
        <v>0</v>
      </c>
      <c r="K385" s="170" t="e">
        <f>K386</f>
        <v>#REF!</v>
      </c>
      <c r="L385" s="170">
        <f>L386+L387+L388+L389</f>
        <v>885.05</v>
      </c>
      <c r="M385" s="170">
        <f>M386+M387+M388+M389</f>
        <v>160.52999999999997</v>
      </c>
      <c r="N385" s="170">
        <f>N386+N387+N388+N389</f>
        <v>1045.58</v>
      </c>
      <c r="O385" s="170">
        <f>O386+O387+O388+O389</f>
        <v>1034.75</v>
      </c>
    </row>
    <row r="386" spans="1:16" ht="25.5">
      <c r="A386" s="213" t="s">
        <v>584</v>
      </c>
      <c r="B386" s="159" t="s">
        <v>772</v>
      </c>
      <c r="C386" s="159" t="s">
        <v>382</v>
      </c>
      <c r="D386" s="159" t="s">
        <v>384</v>
      </c>
      <c r="E386" s="159" t="s">
        <v>545</v>
      </c>
      <c r="F386" s="159" t="s">
        <v>585</v>
      </c>
      <c r="G386" s="360">
        <v>30</v>
      </c>
      <c r="H386" s="357">
        <v>615</v>
      </c>
      <c r="I386" s="360"/>
      <c r="J386" s="170"/>
      <c r="K386" s="170" t="e">
        <f>#REF!+J386</f>
        <v>#REF!</v>
      </c>
      <c r="L386" s="253"/>
      <c r="M386" s="170">
        <v>800.75</v>
      </c>
      <c r="N386" s="170">
        <f>L386+M386</f>
        <v>800.75</v>
      </c>
      <c r="O386" s="170">
        <v>800.75</v>
      </c>
      <c r="P386" s="184" t="e">
        <f>#REF!-L386</f>
        <v>#REF!</v>
      </c>
    </row>
    <row r="387" spans="1:16" ht="38.25">
      <c r="A387" s="213" t="s">
        <v>587</v>
      </c>
      <c r="B387" s="159" t="s">
        <v>772</v>
      </c>
      <c r="C387" s="159" t="s">
        <v>382</v>
      </c>
      <c r="D387" s="159" t="s">
        <v>384</v>
      </c>
      <c r="E387" s="159" t="s">
        <v>545</v>
      </c>
      <c r="F387" s="159" t="s">
        <v>588</v>
      </c>
      <c r="G387" s="360"/>
      <c r="H387" s="357"/>
      <c r="I387" s="360"/>
      <c r="J387" s="170"/>
      <c r="K387" s="170"/>
      <c r="L387" s="253"/>
      <c r="M387" s="170">
        <v>34.2</v>
      </c>
      <c r="N387" s="170">
        <f>L387+M387</f>
        <v>34.2</v>
      </c>
      <c r="O387" s="170">
        <v>34</v>
      </c>
      <c r="P387" s="184"/>
    </row>
    <row r="388" spans="1:16" ht="38.25">
      <c r="A388" s="213" t="s">
        <v>577</v>
      </c>
      <c r="B388" s="159" t="s">
        <v>772</v>
      </c>
      <c r="C388" s="159" t="s">
        <v>382</v>
      </c>
      <c r="D388" s="159" t="s">
        <v>384</v>
      </c>
      <c r="E388" s="159" t="s">
        <v>545</v>
      </c>
      <c r="F388" s="159" t="s">
        <v>579</v>
      </c>
      <c r="G388" s="360"/>
      <c r="H388" s="357"/>
      <c r="I388" s="360"/>
      <c r="J388" s="170"/>
      <c r="K388" s="170"/>
      <c r="L388" s="253"/>
      <c r="M388" s="170">
        <v>210.63</v>
      </c>
      <c r="N388" s="170">
        <f>L388+M388</f>
        <v>210.63</v>
      </c>
      <c r="O388" s="170">
        <v>200</v>
      </c>
      <c r="P388" s="184"/>
    </row>
    <row r="389" spans="1:16" ht="26.25">
      <c r="A389" s="230" t="s">
        <v>487</v>
      </c>
      <c r="B389" s="159" t="s">
        <v>772</v>
      </c>
      <c r="C389" s="159" t="s">
        <v>382</v>
      </c>
      <c r="D389" s="159" t="s">
        <v>384</v>
      </c>
      <c r="E389" s="159" t="s">
        <v>545</v>
      </c>
      <c r="F389" s="159" t="s">
        <v>485</v>
      </c>
      <c r="G389" s="360"/>
      <c r="H389" s="357"/>
      <c r="I389" s="360"/>
      <c r="J389" s="170"/>
      <c r="K389" s="170"/>
      <c r="L389" s="253">
        <v>885.05</v>
      </c>
      <c r="M389" s="170">
        <v>-885.05</v>
      </c>
      <c r="N389" s="170">
        <f>L389+M389</f>
        <v>0</v>
      </c>
      <c r="O389" s="170"/>
      <c r="P389" s="184"/>
    </row>
    <row r="390" spans="1:15" ht="26.25">
      <c r="A390" s="230" t="s">
        <v>777</v>
      </c>
      <c r="B390" s="159" t="s">
        <v>772</v>
      </c>
      <c r="C390" s="159" t="s">
        <v>382</v>
      </c>
      <c r="D390" s="159" t="s">
        <v>384</v>
      </c>
      <c r="E390" s="159" t="s">
        <v>778</v>
      </c>
      <c r="F390" s="159"/>
      <c r="G390" s="360">
        <f>G391</f>
        <v>0</v>
      </c>
      <c r="H390" s="357">
        <f>H391</f>
        <v>738</v>
      </c>
      <c r="I390" s="360">
        <f>I391</f>
        <v>0</v>
      </c>
      <c r="J390" s="170">
        <f>J391</f>
        <v>0</v>
      </c>
      <c r="K390" s="170" t="e">
        <f>K391</f>
        <v>#REF!</v>
      </c>
      <c r="L390" s="170">
        <f>L391+L392</f>
        <v>704.65</v>
      </c>
      <c r="M390" s="170">
        <f>M391+M392</f>
        <v>29.200000000000045</v>
      </c>
      <c r="N390" s="170">
        <f>N391+N392</f>
        <v>733.85</v>
      </c>
      <c r="O390" s="170">
        <f>O391+O392</f>
        <v>733.85</v>
      </c>
    </row>
    <row r="391" spans="1:16" ht="25.5">
      <c r="A391" s="213" t="s">
        <v>584</v>
      </c>
      <c r="B391" s="159" t="s">
        <v>772</v>
      </c>
      <c r="C391" s="159" t="s">
        <v>382</v>
      </c>
      <c r="D391" s="159" t="s">
        <v>384</v>
      </c>
      <c r="E391" s="159" t="s">
        <v>778</v>
      </c>
      <c r="F391" s="159" t="s">
        <v>585</v>
      </c>
      <c r="G391" s="360"/>
      <c r="H391" s="357">
        <v>738</v>
      </c>
      <c r="I391" s="360"/>
      <c r="J391" s="170"/>
      <c r="K391" s="170" t="e">
        <f>#REF!+J391</f>
        <v>#REF!</v>
      </c>
      <c r="L391" s="253"/>
      <c r="M391" s="170">
        <v>733.85</v>
      </c>
      <c r="N391" s="170">
        <f>L391+M391</f>
        <v>733.85</v>
      </c>
      <c r="O391" s="170">
        <v>733.85</v>
      </c>
      <c r="P391" s="184" t="e">
        <f>#REF!-L391</f>
        <v>#REF!</v>
      </c>
    </row>
    <row r="392" spans="1:16" ht="26.25">
      <c r="A392" s="230" t="s">
        <v>487</v>
      </c>
      <c r="B392" s="159" t="s">
        <v>772</v>
      </c>
      <c r="C392" s="159" t="s">
        <v>382</v>
      </c>
      <c r="D392" s="159" t="s">
        <v>384</v>
      </c>
      <c r="E392" s="159" t="s">
        <v>778</v>
      </c>
      <c r="F392" s="159" t="s">
        <v>485</v>
      </c>
      <c r="G392" s="360"/>
      <c r="H392" s="357"/>
      <c r="I392" s="360"/>
      <c r="J392" s="170"/>
      <c r="K392" s="170"/>
      <c r="L392" s="253">
        <v>704.65</v>
      </c>
      <c r="M392" s="170">
        <v>-704.65</v>
      </c>
      <c r="N392" s="170">
        <f>L392+M392</f>
        <v>0</v>
      </c>
      <c r="O392" s="170"/>
      <c r="P392" s="184"/>
    </row>
    <row r="393" spans="1:15" s="232" customFormat="1" ht="63.75">
      <c r="A393" s="229" t="s">
        <v>623</v>
      </c>
      <c r="B393" s="168" t="s">
        <v>772</v>
      </c>
      <c r="C393" s="168" t="s">
        <v>382</v>
      </c>
      <c r="D393" s="168" t="s">
        <v>385</v>
      </c>
      <c r="E393" s="168"/>
      <c r="F393" s="168"/>
      <c r="G393" s="348" t="e">
        <f>G401+G394+G396</f>
        <v>#REF!</v>
      </c>
      <c r="H393" s="364">
        <f>H401+H394+H396+H405+H407</f>
        <v>10050.56</v>
      </c>
      <c r="I393" s="364">
        <f>I401+I394+I396+I405+I407</f>
        <v>0</v>
      </c>
      <c r="J393" s="161">
        <f>J401+J394+J396+J405+J407</f>
        <v>-88.62</v>
      </c>
      <c r="K393" s="161" t="e">
        <f>K401+K394+K396+K405+K407</f>
        <v>#REF!</v>
      </c>
      <c r="L393" s="251">
        <f>L394+L402</f>
        <v>14367.17</v>
      </c>
      <c r="M393" s="251">
        <f>M394+M402</f>
        <v>985.2400000000007</v>
      </c>
      <c r="N393" s="251">
        <f>N394+N402</f>
        <v>15352.410000000002</v>
      </c>
      <c r="O393" s="251">
        <f>O394+O402</f>
        <v>17152.41</v>
      </c>
    </row>
    <row r="394" spans="1:15" s="232" customFormat="1" ht="25.5">
      <c r="A394" s="440" t="s">
        <v>759</v>
      </c>
      <c r="B394" s="159" t="s">
        <v>772</v>
      </c>
      <c r="C394" s="159" t="s">
        <v>382</v>
      </c>
      <c r="D394" s="159" t="s">
        <v>385</v>
      </c>
      <c r="E394" s="159" t="s">
        <v>979</v>
      </c>
      <c r="F394" s="159"/>
      <c r="G394" s="360">
        <f>G395</f>
        <v>47.3</v>
      </c>
      <c r="H394" s="360">
        <f>H395</f>
        <v>0</v>
      </c>
      <c r="I394" s="360">
        <f>I395</f>
        <v>0</v>
      </c>
      <c r="J394" s="170">
        <f>J395</f>
        <v>0</v>
      </c>
      <c r="K394" s="170" t="e">
        <f>K395</f>
        <v>#REF!</v>
      </c>
      <c r="L394" s="253">
        <f>L395+L397</f>
        <v>659.3</v>
      </c>
      <c r="M394" s="253">
        <f>M395+M397</f>
        <v>-54.3</v>
      </c>
      <c r="N394" s="253">
        <f>N395+N397</f>
        <v>605</v>
      </c>
      <c r="O394" s="253">
        <f>O395+O397</f>
        <v>605</v>
      </c>
    </row>
    <row r="395" spans="1:15" s="232" customFormat="1" ht="38.25">
      <c r="A395" s="208" t="s">
        <v>779</v>
      </c>
      <c r="B395" s="159" t="s">
        <v>772</v>
      </c>
      <c r="C395" s="159" t="s">
        <v>382</v>
      </c>
      <c r="D395" s="159" t="s">
        <v>385</v>
      </c>
      <c r="E395" s="159" t="s">
        <v>780</v>
      </c>
      <c r="F395" s="159"/>
      <c r="G395" s="360">
        <v>47.3</v>
      </c>
      <c r="H395" s="357"/>
      <c r="I395" s="360"/>
      <c r="J395" s="170">
        <f>49.6-49.6</f>
        <v>0</v>
      </c>
      <c r="K395" s="170" t="e">
        <f>#REF!+J395</f>
        <v>#REF!</v>
      </c>
      <c r="L395" s="253">
        <f>L396</f>
        <v>54.3</v>
      </c>
      <c r="M395" s="170">
        <f>M396</f>
        <v>-54.3</v>
      </c>
      <c r="N395" s="170">
        <f>N396</f>
        <v>0</v>
      </c>
      <c r="O395" s="170">
        <f>O396</f>
        <v>0</v>
      </c>
    </row>
    <row r="396" spans="1:15" s="232" customFormat="1" ht="25.5">
      <c r="A396" s="230" t="s">
        <v>628</v>
      </c>
      <c r="B396" s="159" t="s">
        <v>772</v>
      </c>
      <c r="C396" s="159" t="s">
        <v>382</v>
      </c>
      <c r="D396" s="159" t="s">
        <v>385</v>
      </c>
      <c r="E396" s="159" t="s">
        <v>780</v>
      </c>
      <c r="F396" s="159" t="s">
        <v>583</v>
      </c>
      <c r="G396" s="364" t="e">
        <f>G397</f>
        <v>#REF!</v>
      </c>
      <c r="H396" s="366">
        <f>H397</f>
        <v>0</v>
      </c>
      <c r="I396" s="364">
        <f>I397</f>
        <v>0</v>
      </c>
      <c r="J396" s="161">
        <f>J397</f>
        <v>0</v>
      </c>
      <c r="K396" s="170" t="e">
        <f>K397</f>
        <v>#REF!</v>
      </c>
      <c r="L396" s="253">
        <v>54.3</v>
      </c>
      <c r="M396" s="170">
        <v>-54.3</v>
      </c>
      <c r="N396" s="170">
        <f>L396+M396</f>
        <v>0</v>
      </c>
      <c r="O396" s="170"/>
    </row>
    <row r="397" spans="1:18" s="232" customFormat="1" ht="51">
      <c r="A397" s="208" t="s">
        <v>540</v>
      </c>
      <c r="B397" s="159" t="s">
        <v>772</v>
      </c>
      <c r="C397" s="159" t="s">
        <v>382</v>
      </c>
      <c r="D397" s="159" t="s">
        <v>385</v>
      </c>
      <c r="E397" s="159" t="s">
        <v>541</v>
      </c>
      <c r="F397" s="159"/>
      <c r="G397" s="364" t="e">
        <f>H397-#REF!</f>
        <v>#REF!</v>
      </c>
      <c r="H397" s="366"/>
      <c r="I397" s="364"/>
      <c r="J397" s="161"/>
      <c r="K397" s="170" t="e">
        <f>#REF!+J397</f>
        <v>#REF!</v>
      </c>
      <c r="L397" s="170">
        <f>L398+L399+L400+L401</f>
        <v>605</v>
      </c>
      <c r="M397" s="170">
        <f>M398+M399+M400+M401</f>
        <v>0</v>
      </c>
      <c r="N397" s="170">
        <f>N398+N399+N400+N401</f>
        <v>605</v>
      </c>
      <c r="O397" s="170">
        <f>O398+O399+O400+O401</f>
        <v>605</v>
      </c>
      <c r="P397" s="243">
        <v>592</v>
      </c>
      <c r="R397" s="249" t="e">
        <f>#REF!-P397</f>
        <v>#REF!</v>
      </c>
    </row>
    <row r="398" spans="1:18" s="232" customFormat="1" ht="25.5">
      <c r="A398" s="213" t="s">
        <v>584</v>
      </c>
      <c r="B398" s="159" t="s">
        <v>772</v>
      </c>
      <c r="C398" s="159" t="s">
        <v>382</v>
      </c>
      <c r="D398" s="159" t="s">
        <v>385</v>
      </c>
      <c r="E398" s="159" t="s">
        <v>541</v>
      </c>
      <c r="F398" s="159" t="s">
        <v>585</v>
      </c>
      <c r="G398" s="364"/>
      <c r="H398" s="366"/>
      <c r="I398" s="364"/>
      <c r="J398" s="161"/>
      <c r="K398" s="170"/>
      <c r="L398" s="253"/>
      <c r="M398" s="170">
        <f>319.41+6</f>
        <v>325.41</v>
      </c>
      <c r="N398" s="170">
        <f>L398+M398</f>
        <v>325.41</v>
      </c>
      <c r="O398" s="170">
        <v>325.41</v>
      </c>
      <c r="P398" s="243"/>
      <c r="R398" s="249"/>
    </row>
    <row r="399" spans="1:18" s="232" customFormat="1" ht="38.25">
      <c r="A399" s="213" t="s">
        <v>587</v>
      </c>
      <c r="B399" s="159" t="s">
        <v>772</v>
      </c>
      <c r="C399" s="159" t="s">
        <v>382</v>
      </c>
      <c r="D399" s="159" t="s">
        <v>385</v>
      </c>
      <c r="E399" s="159" t="s">
        <v>541</v>
      </c>
      <c r="F399" s="159" t="s">
        <v>588</v>
      </c>
      <c r="G399" s="364"/>
      <c r="H399" s="366"/>
      <c r="I399" s="364"/>
      <c r="J399" s="161"/>
      <c r="K399" s="170"/>
      <c r="L399" s="253"/>
      <c r="M399" s="170">
        <v>1</v>
      </c>
      <c r="N399" s="170">
        <f>L399+M399</f>
        <v>1</v>
      </c>
      <c r="O399" s="170">
        <v>1</v>
      </c>
      <c r="P399" s="243"/>
      <c r="R399" s="249"/>
    </row>
    <row r="400" spans="1:18" s="232" customFormat="1" ht="38.25">
      <c r="A400" s="213" t="s">
        <v>577</v>
      </c>
      <c r="B400" s="159" t="s">
        <v>772</v>
      </c>
      <c r="C400" s="159" t="s">
        <v>382</v>
      </c>
      <c r="D400" s="159" t="s">
        <v>385</v>
      </c>
      <c r="E400" s="159" t="s">
        <v>541</v>
      </c>
      <c r="F400" s="159" t="s">
        <v>579</v>
      </c>
      <c r="G400" s="364"/>
      <c r="H400" s="366"/>
      <c r="I400" s="364"/>
      <c r="J400" s="161"/>
      <c r="K400" s="170"/>
      <c r="L400" s="253"/>
      <c r="M400" s="170">
        <v>278.59</v>
      </c>
      <c r="N400" s="170">
        <f>L400+M400</f>
        <v>278.59</v>
      </c>
      <c r="O400" s="170">
        <v>278.59</v>
      </c>
      <c r="P400" s="243"/>
      <c r="R400" s="249"/>
    </row>
    <row r="401" spans="1:15" ht="26.25">
      <c r="A401" s="173" t="s">
        <v>487</v>
      </c>
      <c r="B401" s="159" t="s">
        <v>772</v>
      </c>
      <c r="C401" s="159" t="s">
        <v>382</v>
      </c>
      <c r="D401" s="159" t="s">
        <v>385</v>
      </c>
      <c r="E401" s="159" t="s">
        <v>541</v>
      </c>
      <c r="F401" s="159" t="s">
        <v>485</v>
      </c>
      <c r="G401" s="360">
        <f>G402</f>
        <v>1312.7</v>
      </c>
      <c r="H401" s="360">
        <f>H402</f>
        <v>10050.56</v>
      </c>
      <c r="I401" s="360">
        <f>I402</f>
        <v>0</v>
      </c>
      <c r="J401" s="170">
        <f>J402</f>
        <v>-88.62</v>
      </c>
      <c r="K401" s="170" t="e">
        <f>K402</f>
        <v>#REF!</v>
      </c>
      <c r="L401" s="253">
        <v>605</v>
      </c>
      <c r="M401" s="170">
        <v>-605</v>
      </c>
      <c r="N401" s="170">
        <f>L401+M401</f>
        <v>0</v>
      </c>
      <c r="O401" s="170"/>
    </row>
    <row r="402" spans="1:15" ht="26.25">
      <c r="A402" s="230" t="s">
        <v>759</v>
      </c>
      <c r="B402" s="159" t="s">
        <v>772</v>
      </c>
      <c r="C402" s="159" t="s">
        <v>382</v>
      </c>
      <c r="D402" s="159" t="s">
        <v>385</v>
      </c>
      <c r="E402" s="159" t="s">
        <v>543</v>
      </c>
      <c r="F402" s="159"/>
      <c r="G402" s="360">
        <f>G403+G404</f>
        <v>1312.7</v>
      </c>
      <c r="H402" s="360">
        <f>H403+H404</f>
        <v>10050.56</v>
      </c>
      <c r="I402" s="360">
        <f>I403+I404</f>
        <v>0</v>
      </c>
      <c r="J402" s="376">
        <f>J403+J404+J409+J410+J412+J413+J414+J411</f>
        <v>-88.62</v>
      </c>
      <c r="K402" s="376" t="e">
        <f>K403+K404+K409+K410+K412+K413+K414+K411</f>
        <v>#REF!</v>
      </c>
      <c r="L402" s="253">
        <f>L403</f>
        <v>13707.87</v>
      </c>
      <c r="M402" s="170">
        <f>M403</f>
        <v>1039.5400000000006</v>
      </c>
      <c r="N402" s="170">
        <f>N403</f>
        <v>14747.410000000002</v>
      </c>
      <c r="O402" s="170">
        <f>O403</f>
        <v>16547.41</v>
      </c>
    </row>
    <row r="403" spans="1:15" ht="26.25" customHeight="1">
      <c r="A403" s="230" t="s">
        <v>544</v>
      </c>
      <c r="B403" s="159" t="s">
        <v>772</v>
      </c>
      <c r="C403" s="159" t="s">
        <v>382</v>
      </c>
      <c r="D403" s="159" t="s">
        <v>385</v>
      </c>
      <c r="E403" s="159" t="s">
        <v>545</v>
      </c>
      <c r="F403" s="159"/>
      <c r="G403" s="360">
        <v>-47.3</v>
      </c>
      <c r="H403" s="360">
        <v>49.6</v>
      </c>
      <c r="I403" s="360"/>
      <c r="J403" s="170"/>
      <c r="K403" s="170" t="e">
        <f>#REF!+J403</f>
        <v>#REF!</v>
      </c>
      <c r="L403" s="170">
        <f>L404+L405+L406+L407+L408+L409+L410</f>
        <v>13707.87</v>
      </c>
      <c r="M403" s="170">
        <f>M404+M405+M406+M407+M408+M409+M410</f>
        <v>1039.5400000000006</v>
      </c>
      <c r="N403" s="170">
        <f>N404+N405+N406+N407+N408+N409+N410</f>
        <v>14747.410000000002</v>
      </c>
      <c r="O403" s="170">
        <f>O404+O405+O406+O407+O408+O409+O410</f>
        <v>16547.41</v>
      </c>
    </row>
    <row r="404" spans="1:16" ht="25.5">
      <c r="A404" s="213" t="s">
        <v>584</v>
      </c>
      <c r="B404" s="159" t="s">
        <v>772</v>
      </c>
      <c r="C404" s="159" t="s">
        <v>382</v>
      </c>
      <c r="D404" s="159" t="s">
        <v>385</v>
      </c>
      <c r="E404" s="159" t="s">
        <v>545</v>
      </c>
      <c r="F404" s="159" t="s">
        <v>585</v>
      </c>
      <c r="G404" s="360">
        <f>10-200+200+80.47+1300-0.47-80+50</f>
        <v>1360</v>
      </c>
      <c r="H404" s="360">
        <f>49.6+117.4+10087.47-203.91-49.6</f>
        <v>10000.96</v>
      </c>
      <c r="I404" s="360"/>
      <c r="J404" s="170">
        <f>-176.62+88</f>
        <v>-88.62</v>
      </c>
      <c r="K404" s="170" t="e">
        <f>#REF!+J404</f>
        <v>#REF!</v>
      </c>
      <c r="L404" s="253"/>
      <c r="M404" s="170">
        <v>8465.28</v>
      </c>
      <c r="N404" s="170">
        <f aca="true" t="shared" si="91" ref="N404:N410">L404+M404</f>
        <v>8465.28</v>
      </c>
      <c r="O404" s="170">
        <v>8465.28</v>
      </c>
      <c r="P404" s="207" t="e">
        <f>#REF!-L404</f>
        <v>#REF!</v>
      </c>
    </row>
    <row r="405" spans="1:15" ht="38.25">
      <c r="A405" s="213" t="s">
        <v>587</v>
      </c>
      <c r="B405" s="159" t="s">
        <v>772</v>
      </c>
      <c r="C405" s="159" t="s">
        <v>382</v>
      </c>
      <c r="D405" s="159" t="s">
        <v>385</v>
      </c>
      <c r="E405" s="159" t="s">
        <v>545</v>
      </c>
      <c r="F405" s="159" t="s">
        <v>588</v>
      </c>
      <c r="G405" s="359"/>
      <c r="H405" s="357">
        <f>H406</f>
        <v>0</v>
      </c>
      <c r="I405" s="357">
        <f>I406</f>
        <v>0</v>
      </c>
      <c r="J405" s="170">
        <f>J406</f>
        <v>0</v>
      </c>
      <c r="K405" s="170" t="e">
        <f>K406</f>
        <v>#REF!</v>
      </c>
      <c r="L405" s="253"/>
      <c r="M405" s="170">
        <v>91.4</v>
      </c>
      <c r="N405" s="170">
        <f t="shared" si="91"/>
        <v>91.4</v>
      </c>
      <c r="O405" s="170">
        <v>91.4</v>
      </c>
    </row>
    <row r="406" spans="1:15" ht="26.25" customHeight="1">
      <c r="A406" s="213" t="s">
        <v>591</v>
      </c>
      <c r="B406" s="159" t="s">
        <v>772</v>
      </c>
      <c r="C406" s="159" t="s">
        <v>382</v>
      </c>
      <c r="D406" s="159" t="s">
        <v>385</v>
      </c>
      <c r="E406" s="159" t="s">
        <v>545</v>
      </c>
      <c r="F406" s="159" t="s">
        <v>592</v>
      </c>
      <c r="G406" s="359"/>
      <c r="H406" s="357"/>
      <c r="I406" s="359"/>
      <c r="J406" s="355"/>
      <c r="K406" s="170" t="e">
        <f>#REF!+J406</f>
        <v>#REF!</v>
      </c>
      <c r="L406" s="253"/>
      <c r="M406" s="170">
        <v>195.16</v>
      </c>
      <c r="N406" s="170">
        <f t="shared" si="91"/>
        <v>195.16</v>
      </c>
      <c r="O406" s="170">
        <v>195.16</v>
      </c>
    </row>
    <row r="407" spans="1:15" ht="39" customHeight="1">
      <c r="A407" s="213" t="s">
        <v>577</v>
      </c>
      <c r="B407" s="159" t="s">
        <v>772</v>
      </c>
      <c r="C407" s="159" t="s">
        <v>382</v>
      </c>
      <c r="D407" s="159" t="s">
        <v>385</v>
      </c>
      <c r="E407" s="159" t="s">
        <v>545</v>
      </c>
      <c r="F407" s="159" t="s">
        <v>579</v>
      </c>
      <c r="G407" s="359"/>
      <c r="H407" s="357">
        <f>H408</f>
        <v>0</v>
      </c>
      <c r="I407" s="357">
        <f>I408</f>
        <v>0</v>
      </c>
      <c r="J407" s="170">
        <f>J408</f>
        <v>0</v>
      </c>
      <c r="K407" s="170" t="e">
        <f>K408</f>
        <v>#REF!</v>
      </c>
      <c r="L407" s="253"/>
      <c r="M407" s="170">
        <v>5405.56</v>
      </c>
      <c r="N407" s="170">
        <f t="shared" si="91"/>
        <v>5405.56</v>
      </c>
      <c r="O407" s="170">
        <v>7405.56</v>
      </c>
    </row>
    <row r="408" spans="1:15" ht="26.25" customHeight="1">
      <c r="A408" s="230" t="s">
        <v>487</v>
      </c>
      <c r="B408" s="159" t="s">
        <v>772</v>
      </c>
      <c r="C408" s="159" t="s">
        <v>382</v>
      </c>
      <c r="D408" s="159" t="s">
        <v>385</v>
      </c>
      <c r="E408" s="159" t="s">
        <v>545</v>
      </c>
      <c r="F408" s="159" t="s">
        <v>485</v>
      </c>
      <c r="G408" s="359"/>
      <c r="H408" s="357"/>
      <c r="I408" s="359"/>
      <c r="J408" s="355"/>
      <c r="K408" s="170" t="e">
        <f>#REF!+J408</f>
        <v>#REF!</v>
      </c>
      <c r="L408" s="253">
        <v>13707.87</v>
      </c>
      <c r="M408" s="170">
        <v>-13707.87</v>
      </c>
      <c r="N408" s="170">
        <f>L408+M408</f>
        <v>0</v>
      </c>
      <c r="O408" s="170"/>
    </row>
    <row r="409" spans="1:15" ht="38.25">
      <c r="A409" s="213" t="s">
        <v>781</v>
      </c>
      <c r="B409" s="159" t="s">
        <v>772</v>
      </c>
      <c r="C409" s="159" t="s">
        <v>382</v>
      </c>
      <c r="D409" s="159" t="s">
        <v>385</v>
      </c>
      <c r="E409" s="159" t="s">
        <v>545</v>
      </c>
      <c r="F409" s="159" t="s">
        <v>594</v>
      </c>
      <c r="G409" s="359"/>
      <c r="H409" s="357"/>
      <c r="I409" s="359"/>
      <c r="J409" s="355"/>
      <c r="K409" s="170"/>
      <c r="L409" s="253"/>
      <c r="M409" s="170">
        <v>360.41</v>
      </c>
      <c r="N409" s="170">
        <f t="shared" si="91"/>
        <v>360.41</v>
      </c>
      <c r="O409" s="170">
        <v>360.41</v>
      </c>
    </row>
    <row r="410" spans="1:15" ht="38.25">
      <c r="A410" s="213" t="s">
        <v>782</v>
      </c>
      <c r="B410" s="159" t="s">
        <v>772</v>
      </c>
      <c r="C410" s="159" t="s">
        <v>382</v>
      </c>
      <c r="D410" s="159" t="s">
        <v>385</v>
      </c>
      <c r="E410" s="159" t="s">
        <v>545</v>
      </c>
      <c r="F410" s="159" t="s">
        <v>596</v>
      </c>
      <c r="G410" s="359"/>
      <c r="H410" s="357"/>
      <c r="I410" s="359"/>
      <c r="J410" s="355"/>
      <c r="K410" s="170"/>
      <c r="L410" s="253"/>
      <c r="M410" s="170">
        <v>229.6</v>
      </c>
      <c r="N410" s="170">
        <f t="shared" si="91"/>
        <v>229.6</v>
      </c>
      <c r="O410" s="170">
        <v>29.6</v>
      </c>
    </row>
    <row r="411" spans="1:15" ht="15" hidden="1">
      <c r="A411" s="167" t="s">
        <v>386</v>
      </c>
      <c r="B411" s="168" t="s">
        <v>772</v>
      </c>
      <c r="C411" s="168" t="s">
        <v>382</v>
      </c>
      <c r="D411" s="168" t="s">
        <v>387</v>
      </c>
      <c r="E411" s="168"/>
      <c r="F411" s="168"/>
      <c r="G411" s="359"/>
      <c r="H411" s="357"/>
      <c r="I411" s="359"/>
      <c r="J411" s="355"/>
      <c r="K411" s="170"/>
      <c r="L411" s="251">
        <f>L412</f>
        <v>0</v>
      </c>
      <c r="M411" s="161">
        <f>M412</f>
        <v>0</v>
      </c>
      <c r="N411" s="161">
        <f>N412</f>
        <v>0</v>
      </c>
      <c r="O411" s="161">
        <f>O412</f>
        <v>0</v>
      </c>
    </row>
    <row r="412" spans="1:15" ht="51.75" hidden="1">
      <c r="A412" s="173" t="s">
        <v>783</v>
      </c>
      <c r="B412" s="159" t="s">
        <v>772</v>
      </c>
      <c r="C412" s="159" t="s">
        <v>382</v>
      </c>
      <c r="D412" s="159" t="s">
        <v>387</v>
      </c>
      <c r="E412" s="159" t="s">
        <v>784</v>
      </c>
      <c r="F412" s="159"/>
      <c r="G412" s="359"/>
      <c r="H412" s="357"/>
      <c r="I412" s="359"/>
      <c r="J412" s="355"/>
      <c r="K412" s="170"/>
      <c r="L412" s="170">
        <f>L413+L414</f>
        <v>0</v>
      </c>
      <c r="M412" s="170">
        <f>M413+M414</f>
        <v>0</v>
      </c>
      <c r="N412" s="170">
        <f>N413+N414</f>
        <v>0</v>
      </c>
      <c r="O412" s="170">
        <f>O413+O414</f>
        <v>0</v>
      </c>
    </row>
    <row r="413" spans="1:15" ht="26.25" hidden="1">
      <c r="A413" s="230" t="s">
        <v>484</v>
      </c>
      <c r="B413" s="159" t="s">
        <v>772</v>
      </c>
      <c r="C413" s="159" t="s">
        <v>382</v>
      </c>
      <c r="D413" s="159" t="s">
        <v>387</v>
      </c>
      <c r="E413" s="159" t="s">
        <v>784</v>
      </c>
      <c r="F413" s="159" t="s">
        <v>583</v>
      </c>
      <c r="G413" s="359"/>
      <c r="H413" s="357"/>
      <c r="I413" s="359"/>
      <c r="J413" s="355"/>
      <c r="K413" s="170"/>
      <c r="L413" s="253"/>
      <c r="M413" s="170"/>
      <c r="N413" s="170">
        <f>L413+M413</f>
        <v>0</v>
      </c>
      <c r="O413" s="170"/>
    </row>
    <row r="414" spans="1:15" ht="38.25" hidden="1">
      <c r="A414" s="213" t="s">
        <v>577</v>
      </c>
      <c r="B414" s="159" t="s">
        <v>785</v>
      </c>
      <c r="C414" s="159" t="s">
        <v>382</v>
      </c>
      <c r="D414" s="159" t="s">
        <v>387</v>
      </c>
      <c r="E414" s="159" t="s">
        <v>784</v>
      </c>
      <c r="F414" s="159" t="s">
        <v>579</v>
      </c>
      <c r="G414" s="359"/>
      <c r="H414" s="357"/>
      <c r="I414" s="359"/>
      <c r="J414" s="355"/>
      <c r="K414" s="170"/>
      <c r="L414" s="253"/>
      <c r="M414" s="170"/>
      <c r="N414" s="170">
        <f>L414+M414</f>
        <v>0</v>
      </c>
      <c r="O414" s="170"/>
    </row>
    <row r="415" spans="1:15" ht="39">
      <c r="A415" s="231" t="s">
        <v>626</v>
      </c>
      <c r="B415" s="168" t="s">
        <v>772</v>
      </c>
      <c r="C415" s="168" t="s">
        <v>382</v>
      </c>
      <c r="D415" s="168" t="s">
        <v>388</v>
      </c>
      <c r="E415" s="168"/>
      <c r="F415" s="168"/>
      <c r="G415" s="359"/>
      <c r="H415" s="357"/>
      <c r="I415" s="359"/>
      <c r="J415" s="355"/>
      <c r="K415" s="170"/>
      <c r="L415" s="161">
        <f>L416</f>
        <v>0</v>
      </c>
      <c r="M415" s="161">
        <f>M416</f>
        <v>557</v>
      </c>
      <c r="N415" s="161">
        <f>N416</f>
        <v>557</v>
      </c>
      <c r="O415" s="161">
        <f>O416</f>
        <v>557</v>
      </c>
    </row>
    <row r="416" spans="1:15" ht="51.75">
      <c r="A416" s="179" t="s">
        <v>627</v>
      </c>
      <c r="B416" s="159" t="s">
        <v>772</v>
      </c>
      <c r="C416" s="159" t="s">
        <v>382</v>
      </c>
      <c r="D416" s="159" t="s">
        <v>388</v>
      </c>
      <c r="E416" s="159" t="s">
        <v>543</v>
      </c>
      <c r="F416" s="159"/>
      <c r="G416" s="359"/>
      <c r="H416" s="357"/>
      <c r="I416" s="359"/>
      <c r="J416" s="355"/>
      <c r="K416" s="170"/>
      <c r="L416" s="170">
        <f>L417+L418+L419+L420</f>
        <v>0</v>
      </c>
      <c r="M416" s="170">
        <f>M417+M418+M419+M420</f>
        <v>557</v>
      </c>
      <c r="N416" s="170">
        <f>N417+N418+N419+N420</f>
        <v>557</v>
      </c>
      <c r="O416" s="170">
        <f>O417+O418+O419+O420</f>
        <v>557</v>
      </c>
    </row>
    <row r="417" spans="1:15" ht="25.5">
      <c r="A417" s="213" t="s">
        <v>584</v>
      </c>
      <c r="B417" s="159" t="s">
        <v>772</v>
      </c>
      <c r="C417" s="159" t="s">
        <v>382</v>
      </c>
      <c r="D417" s="159" t="s">
        <v>388</v>
      </c>
      <c r="E417" s="159" t="s">
        <v>545</v>
      </c>
      <c r="F417" s="159" t="s">
        <v>585</v>
      </c>
      <c r="G417" s="359"/>
      <c r="H417" s="357"/>
      <c r="I417" s="359"/>
      <c r="J417" s="355"/>
      <c r="K417" s="170"/>
      <c r="L417" s="170"/>
      <c r="M417" s="170">
        <f>426.267+128.733</f>
        <v>555</v>
      </c>
      <c r="N417" s="170">
        <f>SUM(L417:M417)</f>
        <v>555</v>
      </c>
      <c r="O417" s="170">
        <f>426.267+128.733</f>
        <v>555</v>
      </c>
    </row>
    <row r="418" spans="1:15" ht="38.25" hidden="1">
      <c r="A418" s="213" t="s">
        <v>587</v>
      </c>
      <c r="B418" s="159" t="s">
        <v>772</v>
      </c>
      <c r="C418" s="159" t="s">
        <v>382</v>
      </c>
      <c r="D418" s="159" t="s">
        <v>388</v>
      </c>
      <c r="E418" s="159" t="s">
        <v>545</v>
      </c>
      <c r="F418" s="159" t="s">
        <v>588</v>
      </c>
      <c r="G418" s="359"/>
      <c r="H418" s="357"/>
      <c r="I418" s="359"/>
      <c r="J418" s="355"/>
      <c r="K418" s="170"/>
      <c r="L418" s="170"/>
      <c r="M418" s="170"/>
      <c r="N418" s="170">
        <f>SUM(L418:M418)</f>
        <v>0</v>
      </c>
      <c r="O418" s="170"/>
    </row>
    <row r="419" spans="1:15" ht="51" hidden="1">
      <c r="A419" s="213" t="s">
        <v>591</v>
      </c>
      <c r="B419" s="159" t="s">
        <v>772</v>
      </c>
      <c r="C419" s="159" t="s">
        <v>382</v>
      </c>
      <c r="D419" s="159" t="s">
        <v>388</v>
      </c>
      <c r="E419" s="159" t="s">
        <v>545</v>
      </c>
      <c r="F419" s="159" t="s">
        <v>592</v>
      </c>
      <c r="G419" s="359"/>
      <c r="H419" s="357"/>
      <c r="I419" s="359"/>
      <c r="J419" s="355"/>
      <c r="K419" s="170"/>
      <c r="L419" s="170"/>
      <c r="M419" s="170"/>
      <c r="N419" s="170">
        <f>SUM(L419:M419)</f>
        <v>0</v>
      </c>
      <c r="O419" s="170"/>
    </row>
    <row r="420" spans="1:15" ht="38.25">
      <c r="A420" s="213" t="s">
        <v>577</v>
      </c>
      <c r="B420" s="159" t="s">
        <v>772</v>
      </c>
      <c r="C420" s="159" t="s">
        <v>382</v>
      </c>
      <c r="D420" s="159" t="s">
        <v>388</v>
      </c>
      <c r="E420" s="159" t="s">
        <v>545</v>
      </c>
      <c r="F420" s="159" t="s">
        <v>579</v>
      </c>
      <c r="G420" s="359"/>
      <c r="H420" s="357"/>
      <c r="I420" s="359"/>
      <c r="J420" s="355"/>
      <c r="K420" s="170"/>
      <c r="L420" s="170"/>
      <c r="M420" s="170">
        <v>2</v>
      </c>
      <c r="N420" s="170">
        <f>SUM(L420:M420)</f>
        <v>2</v>
      </c>
      <c r="O420" s="170">
        <v>2</v>
      </c>
    </row>
    <row r="421" spans="1:15" s="232" customFormat="1" ht="14.25" customHeight="1">
      <c r="A421" s="229" t="s">
        <v>786</v>
      </c>
      <c r="B421" s="168" t="s">
        <v>772</v>
      </c>
      <c r="C421" s="168" t="s">
        <v>382</v>
      </c>
      <c r="D421" s="168" t="s">
        <v>390</v>
      </c>
      <c r="E421" s="168"/>
      <c r="F421" s="168"/>
      <c r="G421" s="359"/>
      <c r="H421" s="365">
        <f>H422</f>
        <v>0</v>
      </c>
      <c r="I421" s="365">
        <f aca="true" t="shared" si="92" ref="I421:O422">I422</f>
        <v>0</v>
      </c>
      <c r="J421" s="161">
        <f t="shared" si="92"/>
        <v>0</v>
      </c>
      <c r="K421" s="161" t="e">
        <f t="shared" si="92"/>
        <v>#REF!</v>
      </c>
      <c r="L421" s="251">
        <f t="shared" si="92"/>
        <v>0</v>
      </c>
      <c r="M421" s="161">
        <f t="shared" si="92"/>
        <v>100</v>
      </c>
      <c r="N421" s="161">
        <f t="shared" si="92"/>
        <v>100</v>
      </c>
      <c r="O421" s="161">
        <f t="shared" si="92"/>
        <v>0</v>
      </c>
    </row>
    <row r="422" spans="1:15" ht="15">
      <c r="A422" s="230" t="s">
        <v>787</v>
      </c>
      <c r="B422" s="159" t="s">
        <v>772</v>
      </c>
      <c r="C422" s="159" t="s">
        <v>382</v>
      </c>
      <c r="D422" s="159" t="s">
        <v>390</v>
      </c>
      <c r="E422" s="159" t="s">
        <v>788</v>
      </c>
      <c r="F422" s="159"/>
      <c r="G422" s="359"/>
      <c r="H422" s="357">
        <f>H423</f>
        <v>0</v>
      </c>
      <c r="I422" s="357">
        <f t="shared" si="92"/>
        <v>0</v>
      </c>
      <c r="J422" s="170">
        <f t="shared" si="92"/>
        <v>0</v>
      </c>
      <c r="K422" s="170" t="e">
        <f t="shared" si="92"/>
        <v>#REF!</v>
      </c>
      <c r="L422" s="253">
        <f t="shared" si="92"/>
        <v>0</v>
      </c>
      <c r="M422" s="170">
        <f t="shared" si="92"/>
        <v>100</v>
      </c>
      <c r="N422" s="170">
        <f t="shared" si="92"/>
        <v>100</v>
      </c>
      <c r="O422" s="170">
        <f t="shared" si="92"/>
        <v>0</v>
      </c>
    </row>
    <row r="423" spans="1:16" ht="26.25" customHeight="1">
      <c r="A423" s="230" t="s">
        <v>789</v>
      </c>
      <c r="B423" s="159" t="s">
        <v>772</v>
      </c>
      <c r="C423" s="159" t="s">
        <v>382</v>
      </c>
      <c r="D423" s="159" t="s">
        <v>390</v>
      </c>
      <c r="E423" s="159" t="s">
        <v>790</v>
      </c>
      <c r="F423" s="159"/>
      <c r="G423" s="360"/>
      <c r="H423" s="357"/>
      <c r="I423" s="360"/>
      <c r="J423" s="170"/>
      <c r="K423" s="170" t="e">
        <f>#REF!+J423</f>
        <v>#REF!</v>
      </c>
      <c r="L423" s="170">
        <f>L424+L425</f>
        <v>0</v>
      </c>
      <c r="M423" s="170">
        <f>M424+M425</f>
        <v>100</v>
      </c>
      <c r="N423" s="170">
        <f>N424+N425</f>
        <v>100</v>
      </c>
      <c r="O423" s="170">
        <f>O424+O425</f>
        <v>0</v>
      </c>
      <c r="P423" s="150">
        <v>6.8</v>
      </c>
    </row>
    <row r="424" spans="1:15" ht="15" customHeight="1" hidden="1">
      <c r="A424" s="230" t="s">
        <v>487</v>
      </c>
      <c r="B424" s="159" t="s">
        <v>772</v>
      </c>
      <c r="C424" s="159" t="s">
        <v>382</v>
      </c>
      <c r="D424" s="159" t="s">
        <v>390</v>
      </c>
      <c r="E424" s="159" t="s">
        <v>790</v>
      </c>
      <c r="F424" s="159" t="s">
        <v>485</v>
      </c>
      <c r="G424" s="360"/>
      <c r="H424" s="357"/>
      <c r="I424" s="360"/>
      <c r="J424" s="170"/>
      <c r="K424" s="170"/>
      <c r="L424" s="253"/>
      <c r="M424" s="170"/>
      <c r="N424" s="170">
        <f>L424+M424</f>
        <v>0</v>
      </c>
      <c r="O424" s="170"/>
    </row>
    <row r="425" spans="1:15" s="232" customFormat="1" ht="26.25" customHeight="1">
      <c r="A425" s="213" t="s">
        <v>577</v>
      </c>
      <c r="B425" s="159" t="s">
        <v>772</v>
      </c>
      <c r="C425" s="159" t="s">
        <v>382</v>
      </c>
      <c r="D425" s="159" t="s">
        <v>390</v>
      </c>
      <c r="E425" s="159" t="s">
        <v>790</v>
      </c>
      <c r="F425" s="159" t="s">
        <v>579</v>
      </c>
      <c r="G425" s="348">
        <f aca="true" t="shared" si="93" ref="G425:K427">G426</f>
        <v>0</v>
      </c>
      <c r="H425" s="348">
        <f t="shared" si="93"/>
        <v>20</v>
      </c>
      <c r="I425" s="348">
        <f t="shared" si="93"/>
        <v>0</v>
      </c>
      <c r="J425" s="161">
        <f t="shared" si="93"/>
        <v>0</v>
      </c>
      <c r="K425" s="161" t="e">
        <f t="shared" si="93"/>
        <v>#REF!</v>
      </c>
      <c r="L425" s="253"/>
      <c r="M425" s="170">
        <v>100</v>
      </c>
      <c r="N425" s="170">
        <f>L425+M425</f>
        <v>100</v>
      </c>
      <c r="O425" s="170"/>
    </row>
    <row r="426" spans="1:15" ht="15">
      <c r="A426" s="229" t="s">
        <v>395</v>
      </c>
      <c r="B426" s="168" t="s">
        <v>772</v>
      </c>
      <c r="C426" s="168" t="s">
        <v>382</v>
      </c>
      <c r="D426" s="168" t="s">
        <v>394</v>
      </c>
      <c r="E426" s="168"/>
      <c r="F426" s="168"/>
      <c r="G426" s="360">
        <f t="shared" si="93"/>
        <v>0</v>
      </c>
      <c r="H426" s="360">
        <f t="shared" si="93"/>
        <v>20</v>
      </c>
      <c r="I426" s="360">
        <f t="shared" si="93"/>
        <v>0</v>
      </c>
      <c r="J426" s="170">
        <f t="shared" si="93"/>
        <v>0</v>
      </c>
      <c r="K426" s="170" t="e">
        <f t="shared" si="93"/>
        <v>#REF!</v>
      </c>
      <c r="L426" s="161">
        <f>L427+L429+L434+L438</f>
        <v>587.73</v>
      </c>
      <c r="M426" s="161">
        <f>M427+M429+M434+M438</f>
        <v>201.06</v>
      </c>
      <c r="N426" s="161">
        <f>N427+N429+N434+N438</f>
        <v>788.79</v>
      </c>
      <c r="O426" s="161">
        <f>O427+O429+O434+O438</f>
        <v>703.79</v>
      </c>
    </row>
    <row r="427" spans="1:15" ht="25.5">
      <c r="A427" s="208" t="s">
        <v>791</v>
      </c>
      <c r="B427" s="159" t="s">
        <v>772</v>
      </c>
      <c r="C427" s="159" t="s">
        <v>382</v>
      </c>
      <c r="D427" s="159" t="s">
        <v>394</v>
      </c>
      <c r="E427" s="159" t="s">
        <v>780</v>
      </c>
      <c r="F427" s="159"/>
      <c r="G427" s="360">
        <f t="shared" si="93"/>
        <v>0</v>
      </c>
      <c r="H427" s="360">
        <f t="shared" si="93"/>
        <v>20</v>
      </c>
      <c r="I427" s="360">
        <f t="shared" si="93"/>
        <v>0</v>
      </c>
      <c r="J427" s="170">
        <f t="shared" si="93"/>
        <v>0</v>
      </c>
      <c r="K427" s="170" t="e">
        <f t="shared" si="93"/>
        <v>#REF!</v>
      </c>
      <c r="L427" s="170">
        <f>L428</f>
        <v>0</v>
      </c>
      <c r="M427" s="170">
        <f>M428</f>
        <v>54.3</v>
      </c>
      <c r="N427" s="170">
        <f>N428</f>
        <v>54.3</v>
      </c>
      <c r="O427" s="170">
        <f>O428</f>
        <v>54.3</v>
      </c>
    </row>
    <row r="428" spans="1:15" ht="38.25">
      <c r="A428" s="208" t="s">
        <v>779</v>
      </c>
      <c r="B428" s="159" t="s">
        <v>772</v>
      </c>
      <c r="C428" s="159" t="s">
        <v>382</v>
      </c>
      <c r="D428" s="159" t="s">
        <v>394</v>
      </c>
      <c r="E428" s="159" t="s">
        <v>780</v>
      </c>
      <c r="F428" s="159" t="s">
        <v>579</v>
      </c>
      <c r="G428" s="360"/>
      <c r="H428" s="360">
        <v>20</v>
      </c>
      <c r="I428" s="360"/>
      <c r="J428" s="170"/>
      <c r="K428" s="170" t="e">
        <f>#REF!+J428</f>
        <v>#REF!</v>
      </c>
      <c r="L428" s="253"/>
      <c r="M428" s="170">
        <v>54.3</v>
      </c>
      <c r="N428" s="170">
        <f>L428+M428</f>
        <v>54.3</v>
      </c>
      <c r="O428" s="170">
        <v>54.3</v>
      </c>
    </row>
    <row r="429" spans="1:15" ht="25.5">
      <c r="A429" s="208" t="s">
        <v>791</v>
      </c>
      <c r="B429" s="159" t="s">
        <v>772</v>
      </c>
      <c r="C429" s="159" t="s">
        <v>382</v>
      </c>
      <c r="D429" s="159" t="s">
        <v>394</v>
      </c>
      <c r="E429" s="159" t="s">
        <v>792</v>
      </c>
      <c r="F429" s="159"/>
      <c r="G429" s="360"/>
      <c r="H429" s="360"/>
      <c r="I429" s="360"/>
      <c r="J429" s="170"/>
      <c r="K429" s="170"/>
      <c r="L429" s="170">
        <f>L430+L431+L432+L433</f>
        <v>475</v>
      </c>
      <c r="M429" s="170">
        <f>M430+M431+M432+M433</f>
        <v>4</v>
      </c>
      <c r="N429" s="170">
        <f>N430+N431+N432+N433</f>
        <v>479</v>
      </c>
      <c r="O429" s="170">
        <f>O430+O431+O432+O433</f>
        <v>479</v>
      </c>
    </row>
    <row r="430" spans="1:15" ht="26.25">
      <c r="A430" s="230" t="s">
        <v>493</v>
      </c>
      <c r="B430" s="159" t="s">
        <v>772</v>
      </c>
      <c r="C430" s="159" t="s">
        <v>382</v>
      </c>
      <c r="D430" s="159" t="s">
        <v>394</v>
      </c>
      <c r="E430" s="159" t="s">
        <v>792</v>
      </c>
      <c r="F430" s="159" t="s">
        <v>494</v>
      </c>
      <c r="G430" s="155">
        <f>G438+G431</f>
        <v>0</v>
      </c>
      <c r="H430" s="155">
        <f>H438+H431</f>
        <v>265.4</v>
      </c>
      <c r="I430" s="155">
        <f>I438+I431</f>
        <v>0</v>
      </c>
      <c r="J430" s="161">
        <f>J431+J433+J438+J450</f>
        <v>0</v>
      </c>
      <c r="K430" s="161">
        <f>K431+K433+K438+K450</f>
        <v>0</v>
      </c>
      <c r="L430" s="253">
        <v>475</v>
      </c>
      <c r="M430" s="170">
        <v>-475</v>
      </c>
      <c r="N430" s="170">
        <f>L430+M430</f>
        <v>0</v>
      </c>
      <c r="O430" s="170"/>
    </row>
    <row r="431" spans="1:15" ht="18" customHeight="1">
      <c r="A431" s="213" t="s">
        <v>584</v>
      </c>
      <c r="B431" s="159" t="s">
        <v>772</v>
      </c>
      <c r="C431" s="159" t="s">
        <v>382</v>
      </c>
      <c r="D431" s="159" t="s">
        <v>394</v>
      </c>
      <c r="E431" s="159" t="s">
        <v>792</v>
      </c>
      <c r="F431" s="159" t="s">
        <v>585</v>
      </c>
      <c r="G431" s="177">
        <f>G434</f>
        <v>195</v>
      </c>
      <c r="H431" s="177">
        <f>H434</f>
        <v>0</v>
      </c>
      <c r="I431" s="177">
        <f>I434</f>
        <v>0</v>
      </c>
      <c r="J431" s="170"/>
      <c r="K431" s="170"/>
      <c r="L431" s="253"/>
      <c r="M431" s="170">
        <v>328.56</v>
      </c>
      <c r="N431" s="170">
        <f>L431+M431</f>
        <v>328.56</v>
      </c>
      <c r="O431" s="170">
        <v>328.56</v>
      </c>
    </row>
    <row r="432" spans="1:15" ht="18" customHeight="1">
      <c r="A432" s="213" t="s">
        <v>587</v>
      </c>
      <c r="B432" s="159" t="s">
        <v>772</v>
      </c>
      <c r="C432" s="159" t="s">
        <v>382</v>
      </c>
      <c r="D432" s="159" t="s">
        <v>394</v>
      </c>
      <c r="E432" s="159" t="s">
        <v>792</v>
      </c>
      <c r="F432" s="159" t="s">
        <v>588</v>
      </c>
      <c r="G432" s="177"/>
      <c r="H432" s="177"/>
      <c r="I432" s="177"/>
      <c r="J432" s="170"/>
      <c r="K432" s="170"/>
      <c r="L432" s="253"/>
      <c r="M432" s="170">
        <v>1</v>
      </c>
      <c r="N432" s="170">
        <f>L432+M432</f>
        <v>1</v>
      </c>
      <c r="O432" s="170">
        <v>1</v>
      </c>
    </row>
    <row r="433" spans="1:15" ht="18" customHeight="1">
      <c r="A433" s="213" t="s">
        <v>577</v>
      </c>
      <c r="B433" s="159" t="s">
        <v>772</v>
      </c>
      <c r="C433" s="159" t="s">
        <v>382</v>
      </c>
      <c r="D433" s="159" t="s">
        <v>394</v>
      </c>
      <c r="E433" s="159" t="s">
        <v>792</v>
      </c>
      <c r="F433" s="159" t="s">
        <v>579</v>
      </c>
      <c r="G433" s="177"/>
      <c r="H433" s="177"/>
      <c r="I433" s="177"/>
      <c r="J433" s="170"/>
      <c r="K433" s="170"/>
      <c r="L433" s="253"/>
      <c r="M433" s="170">
        <v>149.44</v>
      </c>
      <c r="N433" s="170">
        <f>L433+M433</f>
        <v>149.44</v>
      </c>
      <c r="O433" s="170">
        <v>149.44</v>
      </c>
    </row>
    <row r="434" spans="1:18" ht="39">
      <c r="A434" s="230" t="s">
        <v>793</v>
      </c>
      <c r="B434" s="159" t="s">
        <v>772</v>
      </c>
      <c r="C434" s="159" t="s">
        <v>382</v>
      </c>
      <c r="D434" s="159" t="s">
        <v>394</v>
      </c>
      <c r="E434" s="159" t="s">
        <v>794</v>
      </c>
      <c r="F434" s="159"/>
      <c r="G434" s="177">
        <v>195</v>
      </c>
      <c r="H434" s="169"/>
      <c r="I434" s="177"/>
      <c r="J434" s="170"/>
      <c r="K434" s="170"/>
      <c r="L434" s="253">
        <f>L435</f>
        <v>112.73</v>
      </c>
      <c r="M434" s="170">
        <f>M435</f>
        <v>22.269999999999996</v>
      </c>
      <c r="N434" s="170">
        <f>N435</f>
        <v>135</v>
      </c>
      <c r="O434" s="170">
        <f>O435</f>
        <v>0</v>
      </c>
      <c r="P434" s="215">
        <v>456</v>
      </c>
      <c r="R434" s="184" t="e">
        <f>#REF!-P434</f>
        <v>#REF!</v>
      </c>
    </row>
    <row r="435" spans="1:18" ht="26.25">
      <c r="A435" s="230" t="s">
        <v>497</v>
      </c>
      <c r="B435" s="159" t="s">
        <v>772</v>
      </c>
      <c r="C435" s="159" t="s">
        <v>382</v>
      </c>
      <c r="D435" s="159" t="s">
        <v>394</v>
      </c>
      <c r="E435" s="159" t="s">
        <v>795</v>
      </c>
      <c r="F435" s="159"/>
      <c r="G435" s="177"/>
      <c r="H435" s="169"/>
      <c r="I435" s="177"/>
      <c r="J435" s="170"/>
      <c r="K435" s="170"/>
      <c r="L435" s="170">
        <f>L436+L437</f>
        <v>112.73</v>
      </c>
      <c r="M435" s="170">
        <f>M436+M437</f>
        <v>22.269999999999996</v>
      </c>
      <c r="N435" s="170">
        <f>N436+N437</f>
        <v>135</v>
      </c>
      <c r="O435" s="170">
        <f>O436+O437</f>
        <v>0</v>
      </c>
      <c r="P435" s="215"/>
      <c r="R435" s="184"/>
    </row>
    <row r="436" spans="1:18" ht="26.25">
      <c r="A436" s="230" t="s">
        <v>493</v>
      </c>
      <c r="B436" s="159" t="s">
        <v>772</v>
      </c>
      <c r="C436" s="159" t="s">
        <v>382</v>
      </c>
      <c r="D436" s="159" t="s">
        <v>394</v>
      </c>
      <c r="E436" s="159" t="s">
        <v>795</v>
      </c>
      <c r="F436" s="159" t="s">
        <v>494</v>
      </c>
      <c r="G436" s="177"/>
      <c r="H436" s="169"/>
      <c r="I436" s="177"/>
      <c r="J436" s="170"/>
      <c r="K436" s="170"/>
      <c r="L436" s="253">
        <v>112.73</v>
      </c>
      <c r="M436" s="170">
        <v>-112.73</v>
      </c>
      <c r="N436" s="170">
        <f>L436+M436</f>
        <v>0</v>
      </c>
      <c r="O436" s="170"/>
      <c r="P436" s="215"/>
      <c r="R436" s="184"/>
    </row>
    <row r="437" spans="1:18" ht="29.25" customHeight="1">
      <c r="A437" s="213" t="s">
        <v>577</v>
      </c>
      <c r="B437" s="159" t="s">
        <v>772</v>
      </c>
      <c r="C437" s="159" t="s">
        <v>382</v>
      </c>
      <c r="D437" s="159" t="s">
        <v>394</v>
      </c>
      <c r="E437" s="159" t="s">
        <v>795</v>
      </c>
      <c r="F437" s="159" t="s">
        <v>579</v>
      </c>
      <c r="G437" s="177"/>
      <c r="H437" s="169"/>
      <c r="I437" s="177"/>
      <c r="J437" s="170"/>
      <c r="K437" s="170"/>
      <c r="L437" s="253"/>
      <c r="M437" s="170">
        <v>135</v>
      </c>
      <c r="N437" s="170">
        <f>L437+M437</f>
        <v>135</v>
      </c>
      <c r="O437" s="170"/>
      <c r="P437" s="215"/>
      <c r="R437" s="184"/>
    </row>
    <row r="438" spans="1:15" ht="25.5">
      <c r="A438" s="255" t="s">
        <v>796</v>
      </c>
      <c r="B438" s="159" t="s">
        <v>772</v>
      </c>
      <c r="C438" s="159" t="s">
        <v>382</v>
      </c>
      <c r="D438" s="159" t="s">
        <v>394</v>
      </c>
      <c r="E438" s="159" t="s">
        <v>797</v>
      </c>
      <c r="F438" s="159"/>
      <c r="G438" s="177">
        <f aca="true" t="shared" si="94" ref="G438:I439">G439</f>
        <v>-195</v>
      </c>
      <c r="H438" s="177">
        <f t="shared" si="94"/>
        <v>265.4</v>
      </c>
      <c r="I438" s="177">
        <f t="shared" si="94"/>
        <v>0</v>
      </c>
      <c r="J438" s="170"/>
      <c r="K438" s="170"/>
      <c r="L438" s="253">
        <f>L439</f>
        <v>0</v>
      </c>
      <c r="M438" s="253">
        <f>M439</f>
        <v>120.49</v>
      </c>
      <c r="N438" s="253">
        <f>N439</f>
        <v>120.49</v>
      </c>
      <c r="O438" s="253">
        <f>O439</f>
        <v>170.49</v>
      </c>
    </row>
    <row r="439" spans="1:15" ht="28.5" customHeight="1">
      <c r="A439" s="213" t="s">
        <v>577</v>
      </c>
      <c r="B439" s="159" t="s">
        <v>772</v>
      </c>
      <c r="C439" s="159" t="s">
        <v>382</v>
      </c>
      <c r="D439" s="159" t="s">
        <v>394</v>
      </c>
      <c r="E439" s="159" t="s">
        <v>797</v>
      </c>
      <c r="F439" s="159" t="s">
        <v>579</v>
      </c>
      <c r="G439" s="177">
        <f t="shared" si="94"/>
        <v>-195</v>
      </c>
      <c r="H439" s="177">
        <f t="shared" si="94"/>
        <v>265.4</v>
      </c>
      <c r="I439" s="177">
        <f t="shared" si="94"/>
        <v>0</v>
      </c>
      <c r="J439" s="170"/>
      <c r="K439" s="170"/>
      <c r="L439" s="253"/>
      <c r="M439" s="170">
        <v>120.49</v>
      </c>
      <c r="N439" s="170">
        <f>L439+M439</f>
        <v>120.49</v>
      </c>
      <c r="O439" s="170">
        <v>170.49</v>
      </c>
    </row>
    <row r="440" spans="1:15" ht="26.25">
      <c r="A440" s="229" t="s">
        <v>400</v>
      </c>
      <c r="B440" s="168" t="s">
        <v>772</v>
      </c>
      <c r="C440" s="168" t="s">
        <v>384</v>
      </c>
      <c r="D440" s="168"/>
      <c r="E440" s="168"/>
      <c r="F440" s="168"/>
      <c r="G440" s="177">
        <v>-195</v>
      </c>
      <c r="H440" s="177">
        <f>204.4+61</f>
        <v>265.4</v>
      </c>
      <c r="I440" s="177"/>
      <c r="J440" s="170"/>
      <c r="K440" s="170"/>
      <c r="L440" s="251">
        <f>L441+L446</f>
        <v>75</v>
      </c>
      <c r="M440" s="251">
        <f>M441+M446</f>
        <v>25</v>
      </c>
      <c r="N440" s="251">
        <f>N441+N446</f>
        <v>100</v>
      </c>
      <c r="O440" s="251">
        <f>O441+O446</f>
        <v>25</v>
      </c>
    </row>
    <row r="441" spans="1:15" ht="39" customHeight="1">
      <c r="A441" s="229" t="s">
        <v>798</v>
      </c>
      <c r="B441" s="168" t="s">
        <v>772</v>
      </c>
      <c r="C441" s="168" t="s">
        <v>384</v>
      </c>
      <c r="D441" s="168" t="s">
        <v>404</v>
      </c>
      <c r="E441" s="168"/>
      <c r="F441" s="168"/>
      <c r="G441" s="177"/>
      <c r="H441" s="169"/>
      <c r="I441" s="177"/>
      <c r="J441" s="170"/>
      <c r="K441" s="170"/>
      <c r="L441" s="251">
        <f aca="true" t="shared" si="95" ref="L441:O442">L442</f>
        <v>75</v>
      </c>
      <c r="M441" s="161">
        <f t="shared" si="95"/>
        <v>0</v>
      </c>
      <c r="N441" s="161">
        <f t="shared" si="95"/>
        <v>75</v>
      </c>
      <c r="O441" s="161">
        <f t="shared" si="95"/>
        <v>0</v>
      </c>
    </row>
    <row r="442" spans="1:15" ht="26.25" customHeight="1">
      <c r="A442" s="230" t="s">
        <v>799</v>
      </c>
      <c r="B442" s="159" t="s">
        <v>772</v>
      </c>
      <c r="C442" s="159" t="s">
        <v>384</v>
      </c>
      <c r="D442" s="159" t="s">
        <v>404</v>
      </c>
      <c r="E442" s="159" t="s">
        <v>800</v>
      </c>
      <c r="F442" s="159"/>
      <c r="G442" s="177"/>
      <c r="H442" s="169"/>
      <c r="I442" s="177"/>
      <c r="J442" s="170"/>
      <c r="K442" s="170"/>
      <c r="L442" s="253">
        <f t="shared" si="95"/>
        <v>75</v>
      </c>
      <c r="M442" s="170">
        <f t="shared" si="95"/>
        <v>0</v>
      </c>
      <c r="N442" s="170">
        <f t="shared" si="95"/>
        <v>75</v>
      </c>
      <c r="O442" s="170">
        <f t="shared" si="95"/>
        <v>0</v>
      </c>
    </row>
    <row r="443" spans="1:15" s="232" customFormat="1" ht="14.25" customHeight="1">
      <c r="A443" s="230" t="s">
        <v>801</v>
      </c>
      <c r="B443" s="159" t="s">
        <v>772</v>
      </c>
      <c r="C443" s="159" t="s">
        <v>384</v>
      </c>
      <c r="D443" s="159" t="s">
        <v>404</v>
      </c>
      <c r="E443" s="159" t="s">
        <v>802</v>
      </c>
      <c r="F443" s="159"/>
      <c r="G443" s="348">
        <f>G446+G444</f>
        <v>0</v>
      </c>
      <c r="H443" s="348">
        <f>H446+H444</f>
        <v>265.4</v>
      </c>
      <c r="I443" s="348">
        <f>I446+I444</f>
        <v>0</v>
      </c>
      <c r="J443" s="161">
        <f>J446+J444</f>
        <v>-88</v>
      </c>
      <c r="K443" s="161" t="e">
        <f>K446+K444</f>
        <v>#REF!</v>
      </c>
      <c r="L443" s="170">
        <f>L444+L445</f>
        <v>75</v>
      </c>
      <c r="M443" s="170">
        <f>M444+M445</f>
        <v>0</v>
      </c>
      <c r="N443" s="170">
        <f>N444+N445</f>
        <v>75</v>
      </c>
      <c r="O443" s="170">
        <f>O444+O445</f>
        <v>0</v>
      </c>
    </row>
    <row r="444" spans="1:15" s="232" customFormat="1" ht="25.5" customHeight="1">
      <c r="A444" s="230" t="s">
        <v>803</v>
      </c>
      <c r="B444" s="159" t="s">
        <v>772</v>
      </c>
      <c r="C444" s="159" t="s">
        <v>384</v>
      </c>
      <c r="D444" s="159" t="s">
        <v>404</v>
      </c>
      <c r="E444" s="159" t="s">
        <v>802</v>
      </c>
      <c r="F444" s="159" t="s">
        <v>804</v>
      </c>
      <c r="G444" s="360">
        <f>G445</f>
        <v>195</v>
      </c>
      <c r="H444" s="360">
        <f>H445</f>
        <v>0</v>
      </c>
      <c r="I444" s="360">
        <f>I445</f>
        <v>0</v>
      </c>
      <c r="J444" s="170">
        <f>J445</f>
        <v>0</v>
      </c>
      <c r="K444" s="170" t="e">
        <f>K445</f>
        <v>#REF!</v>
      </c>
      <c r="L444" s="253">
        <v>75</v>
      </c>
      <c r="M444" s="170">
        <v>-75</v>
      </c>
      <c r="N444" s="170">
        <f>L444+M444</f>
        <v>0</v>
      </c>
      <c r="O444" s="170"/>
    </row>
    <row r="445" spans="1:15" s="232" customFormat="1" ht="25.5" customHeight="1">
      <c r="A445" s="213" t="s">
        <v>577</v>
      </c>
      <c r="B445" s="159" t="s">
        <v>772</v>
      </c>
      <c r="C445" s="159" t="s">
        <v>384</v>
      </c>
      <c r="D445" s="159" t="s">
        <v>404</v>
      </c>
      <c r="E445" s="159" t="s">
        <v>802</v>
      </c>
      <c r="F445" s="159" t="s">
        <v>579</v>
      </c>
      <c r="G445" s="360">
        <v>195</v>
      </c>
      <c r="H445" s="357"/>
      <c r="I445" s="360"/>
      <c r="J445" s="170"/>
      <c r="K445" s="170" t="e">
        <f>#REF!+J445</f>
        <v>#REF!</v>
      </c>
      <c r="L445" s="253"/>
      <c r="M445" s="170">
        <v>75</v>
      </c>
      <c r="N445" s="170">
        <f>L445+M445</f>
        <v>75</v>
      </c>
      <c r="O445" s="170"/>
    </row>
    <row r="446" spans="1:15" ht="39" customHeight="1">
      <c r="A446" s="258" t="s">
        <v>405</v>
      </c>
      <c r="B446" s="168" t="s">
        <v>772</v>
      </c>
      <c r="C446" s="168" t="s">
        <v>384</v>
      </c>
      <c r="D446" s="168" t="s">
        <v>396</v>
      </c>
      <c r="E446" s="168"/>
      <c r="F446" s="168"/>
      <c r="G446" s="360">
        <f aca="true" t="shared" si="96" ref="G446:K447">G447</f>
        <v>-195</v>
      </c>
      <c r="H446" s="360">
        <f t="shared" si="96"/>
        <v>265.4</v>
      </c>
      <c r="I446" s="360">
        <f t="shared" si="96"/>
        <v>0</v>
      </c>
      <c r="J446" s="170">
        <f t="shared" si="96"/>
        <v>-88</v>
      </c>
      <c r="K446" s="170" t="e">
        <f t="shared" si="96"/>
        <v>#REF!</v>
      </c>
      <c r="L446" s="251">
        <f>L447+L449</f>
        <v>0</v>
      </c>
      <c r="M446" s="251">
        <f>M447+M449</f>
        <v>25</v>
      </c>
      <c r="N446" s="251">
        <f>N447+N449</f>
        <v>25</v>
      </c>
      <c r="O446" s="251">
        <f>O447+O449</f>
        <v>25</v>
      </c>
    </row>
    <row r="447" spans="1:15" ht="26.25" customHeight="1">
      <c r="A447" s="255" t="s">
        <v>805</v>
      </c>
      <c r="B447" s="159" t="s">
        <v>772</v>
      </c>
      <c r="C447" s="159" t="s">
        <v>384</v>
      </c>
      <c r="D447" s="159" t="s">
        <v>396</v>
      </c>
      <c r="E447" s="159" t="s">
        <v>806</v>
      </c>
      <c r="F447" s="159"/>
      <c r="G447" s="360">
        <f t="shared" si="96"/>
        <v>-195</v>
      </c>
      <c r="H447" s="360">
        <f t="shared" si="96"/>
        <v>265.4</v>
      </c>
      <c r="I447" s="360">
        <f t="shared" si="96"/>
        <v>0</v>
      </c>
      <c r="J447" s="170">
        <f t="shared" si="96"/>
        <v>-88</v>
      </c>
      <c r="K447" s="170" t="e">
        <f t="shared" si="96"/>
        <v>#REF!</v>
      </c>
      <c r="L447" s="253">
        <f>L448</f>
        <v>0</v>
      </c>
      <c r="M447" s="253">
        <f>M448</f>
        <v>15</v>
      </c>
      <c r="N447" s="253">
        <f>N448</f>
        <v>15</v>
      </c>
      <c r="O447" s="253">
        <f>O448</f>
        <v>15</v>
      </c>
    </row>
    <row r="448" spans="1:16" ht="26.25" customHeight="1">
      <c r="A448" s="213" t="s">
        <v>577</v>
      </c>
      <c r="B448" s="159" t="s">
        <v>772</v>
      </c>
      <c r="C448" s="159" t="s">
        <v>384</v>
      </c>
      <c r="D448" s="159" t="s">
        <v>396</v>
      </c>
      <c r="E448" s="159" t="s">
        <v>806</v>
      </c>
      <c r="F448" s="159" t="s">
        <v>579</v>
      </c>
      <c r="G448" s="360">
        <v>-195</v>
      </c>
      <c r="H448" s="360">
        <f>204.4+61</f>
        <v>265.4</v>
      </c>
      <c r="I448" s="360"/>
      <c r="J448" s="170">
        <f>-88</f>
        <v>-88</v>
      </c>
      <c r="K448" s="170" t="e">
        <f>#REF!+J448</f>
        <v>#REF!</v>
      </c>
      <c r="L448" s="253"/>
      <c r="M448" s="253">
        <v>15</v>
      </c>
      <c r="N448" s="253">
        <f>L448+M448</f>
        <v>15</v>
      </c>
      <c r="O448" s="253">
        <v>15</v>
      </c>
      <c r="P448" s="210"/>
    </row>
    <row r="449" spans="1:16" ht="38.25">
      <c r="A449" s="213" t="s">
        <v>807</v>
      </c>
      <c r="B449" s="159" t="s">
        <v>772</v>
      </c>
      <c r="C449" s="159" t="s">
        <v>384</v>
      </c>
      <c r="D449" s="159" t="s">
        <v>396</v>
      </c>
      <c r="E449" s="159" t="s">
        <v>808</v>
      </c>
      <c r="F449" s="159"/>
      <c r="G449" s="360"/>
      <c r="H449" s="360"/>
      <c r="I449" s="360"/>
      <c r="J449" s="170"/>
      <c r="K449" s="170"/>
      <c r="L449" s="253">
        <f>L450</f>
        <v>0</v>
      </c>
      <c r="M449" s="253">
        <f>M450</f>
        <v>10</v>
      </c>
      <c r="N449" s="253">
        <f>N450</f>
        <v>10</v>
      </c>
      <c r="O449" s="253">
        <f>O450</f>
        <v>10</v>
      </c>
      <c r="P449" s="210"/>
    </row>
    <row r="450" spans="1:16" ht="38.25">
      <c r="A450" s="213" t="s">
        <v>577</v>
      </c>
      <c r="B450" s="159" t="s">
        <v>772</v>
      </c>
      <c r="C450" s="159" t="s">
        <v>384</v>
      </c>
      <c r="D450" s="159" t="s">
        <v>396</v>
      </c>
      <c r="E450" s="159" t="s">
        <v>808</v>
      </c>
      <c r="F450" s="159" t="s">
        <v>579</v>
      </c>
      <c r="G450" s="360"/>
      <c r="H450" s="360"/>
      <c r="I450" s="360"/>
      <c r="J450" s="253">
        <f>J451</f>
        <v>0</v>
      </c>
      <c r="K450" s="253">
        <f>K451</f>
        <v>0</v>
      </c>
      <c r="L450" s="253"/>
      <c r="M450" s="170">
        <v>10</v>
      </c>
      <c r="N450" s="170">
        <f>L450+M450</f>
        <v>10</v>
      </c>
      <c r="O450" s="170">
        <v>10</v>
      </c>
      <c r="P450" s="210"/>
    </row>
    <row r="451" spans="1:16" ht="15">
      <c r="A451" s="229" t="s">
        <v>406</v>
      </c>
      <c r="B451" s="168" t="s">
        <v>772</v>
      </c>
      <c r="C451" s="168" t="s">
        <v>385</v>
      </c>
      <c r="D451" s="168"/>
      <c r="E451" s="168"/>
      <c r="F451" s="168"/>
      <c r="G451" s="360"/>
      <c r="H451" s="360"/>
      <c r="I451" s="360"/>
      <c r="J451" s="170"/>
      <c r="K451" s="170"/>
      <c r="L451" s="251">
        <f>L452+L457</f>
        <v>825</v>
      </c>
      <c r="M451" s="251">
        <f>M452+M457</f>
        <v>711.54</v>
      </c>
      <c r="N451" s="251">
        <f>N452+N457</f>
        <v>1536.54</v>
      </c>
      <c r="O451" s="251">
        <f>O452+O457</f>
        <v>160</v>
      </c>
      <c r="P451" s="210"/>
    </row>
    <row r="452" spans="1:15" s="252" customFormat="1" ht="14.25">
      <c r="A452" s="230" t="s">
        <v>409</v>
      </c>
      <c r="B452" s="168" t="s">
        <v>772</v>
      </c>
      <c r="C452" s="168" t="s">
        <v>385</v>
      </c>
      <c r="D452" s="168" t="s">
        <v>387</v>
      </c>
      <c r="E452" s="168"/>
      <c r="F452" s="168"/>
      <c r="G452" s="359">
        <f aca="true" t="shared" si="97" ref="G452:K455">G453</f>
        <v>0</v>
      </c>
      <c r="H452" s="359">
        <f t="shared" si="97"/>
        <v>57.6</v>
      </c>
      <c r="I452" s="359">
        <f t="shared" si="97"/>
        <v>0</v>
      </c>
      <c r="J452" s="391">
        <f>J453+J458</f>
        <v>0</v>
      </c>
      <c r="K452" s="391" t="e">
        <f>K453+K458</f>
        <v>#REF!</v>
      </c>
      <c r="L452" s="251">
        <f aca="true" t="shared" si="98" ref="L452:O453">L453</f>
        <v>0</v>
      </c>
      <c r="M452" s="251">
        <f t="shared" si="98"/>
        <v>160</v>
      </c>
      <c r="N452" s="251">
        <f t="shared" si="98"/>
        <v>160</v>
      </c>
      <c r="O452" s="251">
        <f t="shared" si="98"/>
        <v>160</v>
      </c>
    </row>
    <row r="453" spans="1:15" s="232" customFormat="1" ht="14.25">
      <c r="A453" s="230" t="s">
        <v>835</v>
      </c>
      <c r="B453" s="159" t="s">
        <v>772</v>
      </c>
      <c r="C453" s="159" t="s">
        <v>385</v>
      </c>
      <c r="D453" s="159" t="s">
        <v>387</v>
      </c>
      <c r="E453" s="159" t="s">
        <v>761</v>
      </c>
      <c r="F453" s="159"/>
      <c r="G453" s="348">
        <f t="shared" si="97"/>
        <v>0</v>
      </c>
      <c r="H453" s="348">
        <f t="shared" si="97"/>
        <v>57.6</v>
      </c>
      <c r="I453" s="348">
        <f t="shared" si="97"/>
        <v>0</v>
      </c>
      <c r="J453" s="161">
        <f t="shared" si="97"/>
        <v>0</v>
      </c>
      <c r="K453" s="161" t="e">
        <f t="shared" si="97"/>
        <v>#REF!</v>
      </c>
      <c r="L453" s="253">
        <f t="shared" si="98"/>
        <v>0</v>
      </c>
      <c r="M453" s="253">
        <f t="shared" si="98"/>
        <v>160</v>
      </c>
      <c r="N453" s="253">
        <f t="shared" si="98"/>
        <v>160</v>
      </c>
      <c r="O453" s="253">
        <f t="shared" si="98"/>
        <v>160</v>
      </c>
    </row>
    <row r="454" spans="1:15" ht="39">
      <c r="A454" s="230" t="s">
        <v>809</v>
      </c>
      <c r="B454" s="159" t="s">
        <v>772</v>
      </c>
      <c r="C454" s="159" t="s">
        <v>385</v>
      </c>
      <c r="D454" s="159" t="s">
        <v>387</v>
      </c>
      <c r="E454" s="159" t="s">
        <v>810</v>
      </c>
      <c r="F454" s="159"/>
      <c r="G454" s="360">
        <f t="shared" si="97"/>
        <v>0</v>
      </c>
      <c r="H454" s="360">
        <f t="shared" si="97"/>
        <v>57.6</v>
      </c>
      <c r="I454" s="360">
        <f t="shared" si="97"/>
        <v>0</v>
      </c>
      <c r="J454" s="170">
        <f t="shared" si="97"/>
        <v>0</v>
      </c>
      <c r="K454" s="170" t="e">
        <f t="shared" si="97"/>
        <v>#REF!</v>
      </c>
      <c r="L454" s="170">
        <f>L455+L456</f>
        <v>0</v>
      </c>
      <c r="M454" s="170">
        <f>M455+M456</f>
        <v>160</v>
      </c>
      <c r="N454" s="170">
        <f>N455+N456</f>
        <v>160</v>
      </c>
      <c r="O454" s="170">
        <f>O455+O456</f>
        <v>160</v>
      </c>
    </row>
    <row r="455" spans="1:15" ht="26.25" hidden="1">
      <c r="A455" s="230" t="s">
        <v>811</v>
      </c>
      <c r="B455" s="159" t="s">
        <v>772</v>
      </c>
      <c r="C455" s="159" t="s">
        <v>385</v>
      </c>
      <c r="D455" s="159" t="s">
        <v>387</v>
      </c>
      <c r="E455" s="159" t="s">
        <v>810</v>
      </c>
      <c r="F455" s="159" t="s">
        <v>812</v>
      </c>
      <c r="G455" s="360">
        <f t="shared" si="97"/>
        <v>0</v>
      </c>
      <c r="H455" s="360">
        <f t="shared" si="97"/>
        <v>57.6</v>
      </c>
      <c r="I455" s="360">
        <f t="shared" si="97"/>
        <v>0</v>
      </c>
      <c r="J455" s="170">
        <f t="shared" si="97"/>
        <v>0</v>
      </c>
      <c r="K455" s="170" t="e">
        <f t="shared" si="97"/>
        <v>#REF!</v>
      </c>
      <c r="L455" s="253"/>
      <c r="M455" s="170"/>
      <c r="N455" s="170">
        <f>L455+M455</f>
        <v>0</v>
      </c>
      <c r="O455" s="170"/>
    </row>
    <row r="456" spans="1:15" ht="38.25">
      <c r="A456" s="213" t="s">
        <v>577</v>
      </c>
      <c r="B456" s="159" t="s">
        <v>772</v>
      </c>
      <c r="C456" s="159" t="s">
        <v>385</v>
      </c>
      <c r="D456" s="159" t="s">
        <v>387</v>
      </c>
      <c r="E456" s="159" t="s">
        <v>810</v>
      </c>
      <c r="F456" s="159" t="s">
        <v>579</v>
      </c>
      <c r="G456" s="360"/>
      <c r="H456" s="360">
        <v>57.6</v>
      </c>
      <c r="I456" s="360"/>
      <c r="J456" s="170"/>
      <c r="K456" s="170" t="e">
        <f>#REF!+J456</f>
        <v>#REF!</v>
      </c>
      <c r="L456" s="253"/>
      <c r="M456" s="170">
        <v>160</v>
      </c>
      <c r="N456" s="170">
        <f>L456+M456</f>
        <v>160</v>
      </c>
      <c r="O456" s="170">
        <v>160</v>
      </c>
    </row>
    <row r="457" spans="1:15" ht="26.25">
      <c r="A457" s="230" t="s">
        <v>813</v>
      </c>
      <c r="B457" s="168" t="s">
        <v>772</v>
      </c>
      <c r="C457" s="168" t="s">
        <v>385</v>
      </c>
      <c r="D457" s="168" t="s">
        <v>393</v>
      </c>
      <c r="E457" s="168"/>
      <c r="F457" s="168"/>
      <c r="G457" s="360"/>
      <c r="H457" s="360"/>
      <c r="I457" s="360"/>
      <c r="J457" s="170"/>
      <c r="K457" s="170"/>
      <c r="L457" s="251">
        <f>L458+L463+L461</f>
        <v>825</v>
      </c>
      <c r="M457" s="251">
        <f>M458+M463+M461</f>
        <v>551.54</v>
      </c>
      <c r="N457" s="251">
        <f>N458+N463+N461</f>
        <v>1376.54</v>
      </c>
      <c r="O457" s="251">
        <f>O458+O463+O461</f>
        <v>0</v>
      </c>
    </row>
    <row r="458" spans="1:15" s="232" customFormat="1" ht="25.5">
      <c r="A458" s="230" t="s">
        <v>818</v>
      </c>
      <c r="B458" s="159" t="s">
        <v>772</v>
      </c>
      <c r="C458" s="159" t="s">
        <v>385</v>
      </c>
      <c r="D458" s="159" t="s">
        <v>393</v>
      </c>
      <c r="E458" s="159" t="s">
        <v>819</v>
      </c>
      <c r="F458" s="159"/>
      <c r="G458" s="348"/>
      <c r="H458" s="348"/>
      <c r="I458" s="348"/>
      <c r="J458" s="251">
        <f>J459+J461</f>
        <v>0</v>
      </c>
      <c r="K458" s="251">
        <f>K459+K461</f>
        <v>0</v>
      </c>
      <c r="L458" s="170">
        <f>L459+L460</f>
        <v>500</v>
      </c>
      <c r="M458" s="170">
        <f>M459+M460</f>
        <v>0</v>
      </c>
      <c r="N458" s="170">
        <f>N459+N460</f>
        <v>500</v>
      </c>
      <c r="O458" s="170">
        <f>O459+O460</f>
        <v>0</v>
      </c>
    </row>
    <row r="459" spans="1:15" ht="26.25">
      <c r="A459" s="230" t="s">
        <v>487</v>
      </c>
      <c r="B459" s="159" t="s">
        <v>772</v>
      </c>
      <c r="C459" s="159" t="s">
        <v>385</v>
      </c>
      <c r="D459" s="159" t="s">
        <v>393</v>
      </c>
      <c r="E459" s="159" t="s">
        <v>819</v>
      </c>
      <c r="F459" s="159" t="s">
        <v>485</v>
      </c>
      <c r="G459" s="360"/>
      <c r="H459" s="360"/>
      <c r="I459" s="360"/>
      <c r="J459" s="253">
        <f>J460</f>
        <v>0</v>
      </c>
      <c r="K459" s="253">
        <f>K460</f>
        <v>0</v>
      </c>
      <c r="L459" s="253">
        <v>500</v>
      </c>
      <c r="M459" s="170">
        <v>-500</v>
      </c>
      <c r="N459" s="170">
        <f>L459+M459</f>
        <v>0</v>
      </c>
      <c r="O459" s="170"/>
    </row>
    <row r="460" spans="1:15" ht="38.25">
      <c r="A460" s="213" t="s">
        <v>577</v>
      </c>
      <c r="B460" s="159" t="s">
        <v>772</v>
      </c>
      <c r="C460" s="159" t="s">
        <v>385</v>
      </c>
      <c r="D460" s="159" t="s">
        <v>393</v>
      </c>
      <c r="E460" s="159" t="s">
        <v>819</v>
      </c>
      <c r="F460" s="159" t="s">
        <v>579</v>
      </c>
      <c r="G460" s="360"/>
      <c r="H460" s="360"/>
      <c r="I460" s="360"/>
      <c r="J460" s="253"/>
      <c r="K460" s="253"/>
      <c r="L460" s="253"/>
      <c r="M460" s="170">
        <v>500</v>
      </c>
      <c r="N460" s="170">
        <f>L460+M460</f>
        <v>500</v>
      </c>
      <c r="O460" s="170"/>
    </row>
    <row r="461" spans="1:15" ht="15">
      <c r="A461" s="213" t="s">
        <v>820</v>
      </c>
      <c r="B461" s="159" t="s">
        <v>772</v>
      </c>
      <c r="C461" s="159" t="s">
        <v>385</v>
      </c>
      <c r="D461" s="159" t="s">
        <v>393</v>
      </c>
      <c r="E461" s="159" t="s">
        <v>821</v>
      </c>
      <c r="F461" s="159"/>
      <c r="G461" s="360"/>
      <c r="H461" s="360"/>
      <c r="I461" s="360"/>
      <c r="J461" s="253">
        <f aca="true" t="shared" si="99" ref="J461:O461">J462</f>
        <v>0</v>
      </c>
      <c r="K461" s="253">
        <f t="shared" si="99"/>
        <v>0</v>
      </c>
      <c r="L461" s="253">
        <f t="shared" si="99"/>
        <v>0</v>
      </c>
      <c r="M461" s="253">
        <f t="shared" si="99"/>
        <v>382.54</v>
      </c>
      <c r="N461" s="253">
        <f t="shared" si="99"/>
        <v>382.54</v>
      </c>
      <c r="O461" s="253">
        <f t="shared" si="99"/>
        <v>0</v>
      </c>
    </row>
    <row r="462" spans="1:15" ht="63.75">
      <c r="A462" s="213" t="s">
        <v>554</v>
      </c>
      <c r="B462" s="159" t="s">
        <v>772</v>
      </c>
      <c r="C462" s="159" t="s">
        <v>385</v>
      </c>
      <c r="D462" s="159" t="s">
        <v>393</v>
      </c>
      <c r="E462" s="159" t="s">
        <v>821</v>
      </c>
      <c r="F462" s="159" t="s">
        <v>555</v>
      </c>
      <c r="G462" s="360"/>
      <c r="H462" s="360"/>
      <c r="I462" s="360"/>
      <c r="J462" s="170"/>
      <c r="K462" s="170"/>
      <c r="L462" s="253"/>
      <c r="M462" s="170">
        <v>382.54</v>
      </c>
      <c r="N462" s="170">
        <f>L462+M462</f>
        <v>382.54</v>
      </c>
      <c r="O462" s="170"/>
    </row>
    <row r="463" spans="1:15" s="252" customFormat="1" ht="25.5">
      <c r="A463" s="230" t="s">
        <v>822</v>
      </c>
      <c r="B463" s="159" t="s">
        <v>772</v>
      </c>
      <c r="C463" s="159" t="s">
        <v>385</v>
      </c>
      <c r="D463" s="159" t="s">
        <v>393</v>
      </c>
      <c r="E463" s="159" t="s">
        <v>823</v>
      </c>
      <c r="F463" s="159"/>
      <c r="G463" s="359">
        <f>G464+G474+G467</f>
        <v>4086.5</v>
      </c>
      <c r="H463" s="354">
        <f>H464+H474+H467+H470</f>
        <v>2102.18</v>
      </c>
      <c r="I463" s="354">
        <f>I464+I474+I467+I470</f>
        <v>0</v>
      </c>
      <c r="J463" s="355">
        <f>J464+J474+J467+J470</f>
        <v>0</v>
      </c>
      <c r="K463" s="355" t="e">
        <f>K464+K474+K467+K470</f>
        <v>#REF!</v>
      </c>
      <c r="L463" s="253">
        <f>L464</f>
        <v>325</v>
      </c>
      <c r="M463" s="170">
        <f>M464</f>
        <v>169</v>
      </c>
      <c r="N463" s="170">
        <f>N464</f>
        <v>494</v>
      </c>
      <c r="O463" s="170">
        <f>O464</f>
        <v>0</v>
      </c>
    </row>
    <row r="464" spans="1:15" s="232" customFormat="1" ht="25.5">
      <c r="A464" s="230" t="s">
        <v>824</v>
      </c>
      <c r="B464" s="159" t="s">
        <v>772</v>
      </c>
      <c r="C464" s="159" t="s">
        <v>385</v>
      </c>
      <c r="D464" s="159" t="s">
        <v>393</v>
      </c>
      <c r="E464" s="159" t="s">
        <v>825</v>
      </c>
      <c r="F464" s="159"/>
      <c r="G464" s="348">
        <f aca="true" t="shared" si="100" ref="G464:K465">G465</f>
        <v>0</v>
      </c>
      <c r="H464" s="348">
        <f t="shared" si="100"/>
        <v>167.68</v>
      </c>
      <c r="I464" s="348">
        <f t="shared" si="100"/>
        <v>0</v>
      </c>
      <c r="J464" s="161">
        <f t="shared" si="100"/>
        <v>0</v>
      </c>
      <c r="K464" s="161" t="e">
        <f t="shared" si="100"/>
        <v>#REF!</v>
      </c>
      <c r="L464" s="170">
        <f>L465+L466</f>
        <v>325</v>
      </c>
      <c r="M464" s="170">
        <f>M465+M466</f>
        <v>169</v>
      </c>
      <c r="N464" s="170">
        <f>N465+N466</f>
        <v>494</v>
      </c>
      <c r="O464" s="170">
        <f>O465+O466</f>
        <v>0</v>
      </c>
    </row>
    <row r="465" spans="1:15" ht="26.25">
      <c r="A465" s="230" t="s">
        <v>487</v>
      </c>
      <c r="B465" s="159" t="s">
        <v>772</v>
      </c>
      <c r="C465" s="159" t="s">
        <v>385</v>
      </c>
      <c r="D465" s="159" t="s">
        <v>393</v>
      </c>
      <c r="E465" s="159" t="s">
        <v>825</v>
      </c>
      <c r="F465" s="159" t="s">
        <v>485</v>
      </c>
      <c r="G465" s="360">
        <f t="shared" si="100"/>
        <v>0</v>
      </c>
      <c r="H465" s="360">
        <f t="shared" si="100"/>
        <v>167.68</v>
      </c>
      <c r="I465" s="360">
        <f t="shared" si="100"/>
        <v>0</v>
      </c>
      <c r="J465" s="170">
        <f t="shared" si="100"/>
        <v>0</v>
      </c>
      <c r="K465" s="170" t="e">
        <f t="shared" si="100"/>
        <v>#REF!</v>
      </c>
      <c r="L465" s="253">
        <v>325</v>
      </c>
      <c r="M465" s="170">
        <v>-325</v>
      </c>
      <c r="N465" s="170">
        <f>L465+M465</f>
        <v>0</v>
      </c>
      <c r="O465" s="170"/>
    </row>
    <row r="466" spans="1:15" ht="38.25">
      <c r="A466" s="213" t="s">
        <v>577</v>
      </c>
      <c r="B466" s="159" t="s">
        <v>772</v>
      </c>
      <c r="C466" s="159" t="s">
        <v>385</v>
      </c>
      <c r="D466" s="159" t="s">
        <v>393</v>
      </c>
      <c r="E466" s="159" t="s">
        <v>825</v>
      </c>
      <c r="F466" s="159" t="s">
        <v>579</v>
      </c>
      <c r="G466" s="360"/>
      <c r="H466" s="357">
        <v>167.68</v>
      </c>
      <c r="I466" s="360"/>
      <c r="J466" s="170"/>
      <c r="K466" s="170" t="e">
        <f>#REF!+J466</f>
        <v>#REF!</v>
      </c>
      <c r="L466" s="253"/>
      <c r="M466" s="170">
        <v>494</v>
      </c>
      <c r="N466" s="170">
        <f>L466+M466</f>
        <v>494</v>
      </c>
      <c r="O466" s="170"/>
    </row>
    <row r="467" spans="1:15" ht="15" customHeight="1">
      <c r="A467" s="229" t="s">
        <v>660</v>
      </c>
      <c r="B467" s="168" t="s">
        <v>772</v>
      </c>
      <c r="C467" s="168" t="s">
        <v>387</v>
      </c>
      <c r="D467" s="168"/>
      <c r="E467" s="168"/>
      <c r="F467" s="168"/>
      <c r="G467" s="360">
        <f aca="true" t="shared" si="101" ref="G467:O470">G468</f>
        <v>786.5</v>
      </c>
      <c r="H467" s="360">
        <f t="shared" si="101"/>
        <v>0</v>
      </c>
      <c r="I467" s="360">
        <f t="shared" si="101"/>
        <v>0</v>
      </c>
      <c r="J467" s="170">
        <f t="shared" si="101"/>
        <v>0</v>
      </c>
      <c r="K467" s="170" t="e">
        <f t="shared" si="101"/>
        <v>#REF!</v>
      </c>
      <c r="L467" s="161">
        <f>L468+L472+L481</f>
        <v>500</v>
      </c>
      <c r="M467" s="161">
        <f>M468+M472+M481</f>
        <v>1850</v>
      </c>
      <c r="N467" s="161">
        <f>N468+N472+N481</f>
        <v>2350</v>
      </c>
      <c r="O467" s="161">
        <f>O468+O472+O481</f>
        <v>0</v>
      </c>
    </row>
    <row r="468" spans="1:15" ht="13.5" customHeight="1" hidden="1">
      <c r="A468" s="230" t="s">
        <v>414</v>
      </c>
      <c r="B468" s="168" t="s">
        <v>772</v>
      </c>
      <c r="C468" s="168" t="s">
        <v>387</v>
      </c>
      <c r="D468" s="168" t="s">
        <v>382</v>
      </c>
      <c r="E468" s="168"/>
      <c r="F468" s="168"/>
      <c r="G468" s="360">
        <f t="shared" si="101"/>
        <v>786.5</v>
      </c>
      <c r="H468" s="360">
        <f t="shared" si="101"/>
        <v>0</v>
      </c>
      <c r="I468" s="360">
        <f t="shared" si="101"/>
        <v>0</v>
      </c>
      <c r="J468" s="170">
        <f t="shared" si="101"/>
        <v>0</v>
      </c>
      <c r="K468" s="170" t="e">
        <f t="shared" si="101"/>
        <v>#REF!</v>
      </c>
      <c r="L468" s="251">
        <f t="shared" si="101"/>
        <v>0</v>
      </c>
      <c r="M468" s="251">
        <f t="shared" si="101"/>
        <v>0</v>
      </c>
      <c r="N468" s="251">
        <f t="shared" si="101"/>
        <v>0</v>
      </c>
      <c r="O468" s="251">
        <f t="shared" si="101"/>
        <v>0</v>
      </c>
    </row>
    <row r="469" spans="1:15" ht="15.75" customHeight="1" hidden="1">
      <c r="A469" s="230" t="s">
        <v>835</v>
      </c>
      <c r="B469" s="159" t="s">
        <v>772</v>
      </c>
      <c r="C469" s="159" t="s">
        <v>387</v>
      </c>
      <c r="D469" s="159" t="s">
        <v>382</v>
      </c>
      <c r="E469" s="159" t="s">
        <v>761</v>
      </c>
      <c r="F469" s="159"/>
      <c r="G469" s="360">
        <v>786.5</v>
      </c>
      <c r="H469" s="357"/>
      <c r="I469" s="360"/>
      <c r="J469" s="170"/>
      <c r="K469" s="170" t="e">
        <f>#REF!+J469</f>
        <v>#REF!</v>
      </c>
      <c r="L469" s="253">
        <f t="shared" si="101"/>
        <v>0</v>
      </c>
      <c r="M469" s="253">
        <f t="shared" si="101"/>
        <v>0</v>
      </c>
      <c r="N469" s="253">
        <f t="shared" si="101"/>
        <v>0</v>
      </c>
      <c r="O469" s="253">
        <f t="shared" si="101"/>
        <v>0</v>
      </c>
    </row>
    <row r="470" spans="1:15" ht="26.25" customHeight="1" hidden="1">
      <c r="A470" s="255" t="s">
        <v>826</v>
      </c>
      <c r="B470" s="159" t="s">
        <v>772</v>
      </c>
      <c r="C470" s="159" t="s">
        <v>387</v>
      </c>
      <c r="D470" s="159" t="s">
        <v>382</v>
      </c>
      <c r="E470" s="159" t="s">
        <v>827</v>
      </c>
      <c r="F470" s="159"/>
      <c r="G470" s="348"/>
      <c r="H470" s="365">
        <f aca="true" t="shared" si="102" ref="H470:K471">H471</f>
        <v>0</v>
      </c>
      <c r="I470" s="365">
        <f t="shared" si="102"/>
        <v>0</v>
      </c>
      <c r="J470" s="170">
        <f t="shared" si="102"/>
        <v>0</v>
      </c>
      <c r="K470" s="170" t="e">
        <f t="shared" si="102"/>
        <v>#REF!</v>
      </c>
      <c r="L470" s="253">
        <f t="shared" si="101"/>
        <v>0</v>
      </c>
      <c r="M470" s="170">
        <f t="shared" si="101"/>
        <v>0</v>
      </c>
      <c r="N470" s="170">
        <f t="shared" si="101"/>
        <v>0</v>
      </c>
      <c r="O470" s="170">
        <f t="shared" si="101"/>
        <v>0</v>
      </c>
    </row>
    <row r="471" spans="1:15" ht="24.75" customHeight="1" hidden="1">
      <c r="A471" s="213" t="s">
        <v>577</v>
      </c>
      <c r="B471" s="159" t="s">
        <v>772</v>
      </c>
      <c r="C471" s="159" t="s">
        <v>387</v>
      </c>
      <c r="D471" s="159" t="s">
        <v>382</v>
      </c>
      <c r="E471" s="159" t="s">
        <v>827</v>
      </c>
      <c r="F471" s="159" t="s">
        <v>579</v>
      </c>
      <c r="G471" s="360"/>
      <c r="H471" s="357">
        <f t="shared" si="102"/>
        <v>0</v>
      </c>
      <c r="I471" s="357">
        <f t="shared" si="102"/>
        <v>0</v>
      </c>
      <c r="J471" s="170">
        <f t="shared" si="102"/>
        <v>0</v>
      </c>
      <c r="K471" s="170" t="e">
        <f t="shared" si="102"/>
        <v>#REF!</v>
      </c>
      <c r="L471" s="253"/>
      <c r="M471" s="170"/>
      <c r="N471" s="170">
        <f>L471+M471</f>
        <v>0</v>
      </c>
      <c r="O471" s="170"/>
    </row>
    <row r="472" spans="1:15" ht="16.5" customHeight="1">
      <c r="A472" s="230" t="s">
        <v>415</v>
      </c>
      <c r="B472" s="168" t="s">
        <v>772</v>
      </c>
      <c r="C472" s="168" t="s">
        <v>387</v>
      </c>
      <c r="D472" s="168" t="s">
        <v>383</v>
      </c>
      <c r="E472" s="168"/>
      <c r="F472" s="168"/>
      <c r="G472" s="360"/>
      <c r="H472" s="357"/>
      <c r="I472" s="360"/>
      <c r="J472" s="170"/>
      <c r="K472" s="170" t="e">
        <f>#REF!+J472</f>
        <v>#REF!</v>
      </c>
      <c r="L472" s="251">
        <f>L473+L475+L478</f>
        <v>500</v>
      </c>
      <c r="M472" s="251">
        <f>M473+M475+M478</f>
        <v>1850</v>
      </c>
      <c r="N472" s="251">
        <f>N473+N475+N478</f>
        <v>2350</v>
      </c>
      <c r="O472" s="251">
        <f>O473+O475+O478</f>
        <v>0</v>
      </c>
    </row>
    <row r="473" spans="1:15" ht="38.25" customHeight="1">
      <c r="A473" s="230" t="s">
        <v>814</v>
      </c>
      <c r="B473" s="159" t="s">
        <v>772</v>
      </c>
      <c r="C473" s="159" t="s">
        <v>387</v>
      </c>
      <c r="D473" s="159" t="s">
        <v>383</v>
      </c>
      <c r="E473" s="159" t="s">
        <v>815</v>
      </c>
      <c r="F473" s="159"/>
      <c r="G473" s="360"/>
      <c r="H473" s="357"/>
      <c r="I473" s="360"/>
      <c r="J473" s="170"/>
      <c r="K473" s="170"/>
      <c r="L473" s="253">
        <f>L474</f>
        <v>0</v>
      </c>
      <c r="M473" s="253">
        <f>M474</f>
        <v>2000</v>
      </c>
      <c r="N473" s="253">
        <f>N474</f>
        <v>2000</v>
      </c>
      <c r="O473" s="253">
        <f>O474</f>
        <v>0</v>
      </c>
    </row>
    <row r="474" spans="1:15" s="232" customFormat="1" ht="51">
      <c r="A474" s="230" t="s">
        <v>831</v>
      </c>
      <c r="B474" s="159" t="s">
        <v>772</v>
      </c>
      <c r="C474" s="159" t="s">
        <v>387</v>
      </c>
      <c r="D474" s="159" t="s">
        <v>383</v>
      </c>
      <c r="E474" s="159" t="s">
        <v>815</v>
      </c>
      <c r="F474" s="159" t="s">
        <v>832</v>
      </c>
      <c r="G474" s="348">
        <f>G477+G482+G475</f>
        <v>3300</v>
      </c>
      <c r="H474" s="348">
        <f>H477+H482+H475</f>
        <v>1934.5</v>
      </c>
      <c r="I474" s="348">
        <f>I477+I482+I475</f>
        <v>0</v>
      </c>
      <c r="J474" s="251">
        <f>J477+J482+J475+J480</f>
        <v>0</v>
      </c>
      <c r="K474" s="251" t="e">
        <f>K477+K482+K475+K480</f>
        <v>#REF!</v>
      </c>
      <c r="L474" s="253"/>
      <c r="M474" s="170">
        <v>2000</v>
      </c>
      <c r="N474" s="170">
        <f>L474+M474</f>
        <v>2000</v>
      </c>
      <c r="O474" s="170"/>
    </row>
    <row r="475" spans="1:15" s="232" customFormat="1" ht="27" customHeight="1">
      <c r="A475" s="173" t="s">
        <v>833</v>
      </c>
      <c r="B475" s="159" t="s">
        <v>772</v>
      </c>
      <c r="C475" s="159" t="s">
        <v>387</v>
      </c>
      <c r="D475" s="159" t="s">
        <v>383</v>
      </c>
      <c r="E475" s="159" t="s">
        <v>834</v>
      </c>
      <c r="F475" s="159"/>
      <c r="G475" s="360">
        <f>G476</f>
        <v>0</v>
      </c>
      <c r="H475" s="357">
        <f>H476</f>
        <v>0</v>
      </c>
      <c r="I475" s="360">
        <f>I476</f>
        <v>0</v>
      </c>
      <c r="J475" s="161">
        <f>J476</f>
        <v>0</v>
      </c>
      <c r="K475" s="161" t="e">
        <f>K476</f>
        <v>#REF!</v>
      </c>
      <c r="L475" s="170">
        <f>L476+L477</f>
        <v>500</v>
      </c>
      <c r="M475" s="170">
        <f>M476+M477</f>
        <v>-200</v>
      </c>
      <c r="N475" s="170">
        <f>N476+N477</f>
        <v>300</v>
      </c>
      <c r="O475" s="170">
        <f>O476+O477</f>
        <v>0</v>
      </c>
    </row>
    <row r="476" spans="1:15" s="232" customFormat="1" ht="14.25" customHeight="1">
      <c r="A476" s="230" t="s">
        <v>487</v>
      </c>
      <c r="B476" s="159" t="s">
        <v>772</v>
      </c>
      <c r="C476" s="159" t="s">
        <v>387</v>
      </c>
      <c r="D476" s="159" t="s">
        <v>383</v>
      </c>
      <c r="E476" s="159" t="s">
        <v>834</v>
      </c>
      <c r="F476" s="159" t="s">
        <v>485</v>
      </c>
      <c r="G476" s="360">
        <f>50-50</f>
        <v>0</v>
      </c>
      <c r="H476" s="357"/>
      <c r="I476" s="360">
        <f>50-50</f>
        <v>0</v>
      </c>
      <c r="J476" s="161">
        <f>50-50</f>
        <v>0</v>
      </c>
      <c r="K476" s="170" t="e">
        <f>#REF!+J476</f>
        <v>#REF!</v>
      </c>
      <c r="L476" s="253">
        <v>500</v>
      </c>
      <c r="M476" s="170">
        <v>-500</v>
      </c>
      <c r="N476" s="170">
        <f>L476+M476</f>
        <v>0</v>
      </c>
      <c r="O476" s="170"/>
    </row>
    <row r="477" spans="1:15" ht="38.25">
      <c r="A477" s="213" t="s">
        <v>577</v>
      </c>
      <c r="B477" s="159" t="s">
        <v>772</v>
      </c>
      <c r="C477" s="159" t="s">
        <v>387</v>
      </c>
      <c r="D477" s="159" t="s">
        <v>383</v>
      </c>
      <c r="E477" s="159" t="s">
        <v>834</v>
      </c>
      <c r="F477" s="159" t="s">
        <v>579</v>
      </c>
      <c r="G477" s="376">
        <f>G478+G479</f>
        <v>2750</v>
      </c>
      <c r="H477" s="376">
        <f>H478+H479</f>
        <v>1620.1</v>
      </c>
      <c r="I477" s="376">
        <f>I478+I479</f>
        <v>0</v>
      </c>
      <c r="J477" s="170">
        <f>J478</f>
        <v>0</v>
      </c>
      <c r="K477" s="170" t="e">
        <f>K478</f>
        <v>#REF!</v>
      </c>
      <c r="L477" s="253"/>
      <c r="M477" s="170">
        <v>300</v>
      </c>
      <c r="N477" s="170">
        <f>L477+M477</f>
        <v>300</v>
      </c>
      <c r="O477" s="170"/>
    </row>
    <row r="478" spans="1:15" ht="15">
      <c r="A478" s="230" t="s">
        <v>835</v>
      </c>
      <c r="B478" s="159" t="s">
        <v>772</v>
      </c>
      <c r="C478" s="159" t="s">
        <v>387</v>
      </c>
      <c r="D478" s="159" t="s">
        <v>383</v>
      </c>
      <c r="E478" s="159" t="s">
        <v>761</v>
      </c>
      <c r="F478" s="159"/>
      <c r="G478" s="360">
        <f>2377+151+222</f>
        <v>2750</v>
      </c>
      <c r="H478" s="360">
        <f>1358.1+262</f>
        <v>1620.1</v>
      </c>
      <c r="I478" s="360"/>
      <c r="J478" s="170"/>
      <c r="K478" s="170" t="e">
        <f>#REF!+J478</f>
        <v>#REF!</v>
      </c>
      <c r="L478" s="253">
        <f aca="true" t="shared" si="103" ref="L478:O479">L479</f>
        <v>0</v>
      </c>
      <c r="M478" s="253">
        <f t="shared" si="103"/>
        <v>50</v>
      </c>
      <c r="N478" s="253">
        <f t="shared" si="103"/>
        <v>50</v>
      </c>
      <c r="O478" s="253">
        <f t="shared" si="103"/>
        <v>0</v>
      </c>
    </row>
    <row r="479" spans="1:15" ht="39">
      <c r="A479" s="263" t="s">
        <v>836</v>
      </c>
      <c r="B479" s="159" t="s">
        <v>772</v>
      </c>
      <c r="C479" s="159" t="s">
        <v>387</v>
      </c>
      <c r="D479" s="159" t="s">
        <v>383</v>
      </c>
      <c r="E479" s="159" t="s">
        <v>837</v>
      </c>
      <c r="F479" s="159"/>
      <c r="G479" s="360"/>
      <c r="H479" s="360"/>
      <c r="I479" s="360"/>
      <c r="J479" s="170"/>
      <c r="K479" s="170"/>
      <c r="L479" s="253">
        <f t="shared" si="103"/>
        <v>0</v>
      </c>
      <c r="M479" s="170">
        <f t="shared" si="103"/>
        <v>50</v>
      </c>
      <c r="N479" s="170">
        <f t="shared" si="103"/>
        <v>50</v>
      </c>
      <c r="O479" s="170">
        <f t="shared" si="103"/>
        <v>0</v>
      </c>
    </row>
    <row r="480" spans="1:15" ht="38.25">
      <c r="A480" s="213" t="s">
        <v>577</v>
      </c>
      <c r="B480" s="159" t="s">
        <v>772</v>
      </c>
      <c r="C480" s="159" t="s">
        <v>387</v>
      </c>
      <c r="D480" s="159" t="s">
        <v>383</v>
      </c>
      <c r="E480" s="159" t="s">
        <v>837</v>
      </c>
      <c r="F480" s="159" t="s">
        <v>579</v>
      </c>
      <c r="G480" s="360"/>
      <c r="H480" s="360"/>
      <c r="I480" s="360"/>
      <c r="J480" s="253">
        <f>J481</f>
        <v>0</v>
      </c>
      <c r="K480" s="253">
        <f>K481</f>
        <v>0</v>
      </c>
      <c r="L480" s="253"/>
      <c r="M480" s="170">
        <v>50</v>
      </c>
      <c r="N480" s="170">
        <f>L480+M480</f>
        <v>50</v>
      </c>
      <c r="O480" s="170"/>
    </row>
    <row r="481" spans="1:15" ht="15" hidden="1">
      <c r="A481" s="229" t="s">
        <v>838</v>
      </c>
      <c r="B481" s="168" t="s">
        <v>772</v>
      </c>
      <c r="C481" s="168" t="s">
        <v>387</v>
      </c>
      <c r="D481" s="168" t="s">
        <v>384</v>
      </c>
      <c r="E481" s="168"/>
      <c r="F481" s="168"/>
      <c r="G481" s="360"/>
      <c r="H481" s="360"/>
      <c r="I481" s="360"/>
      <c r="J481" s="170"/>
      <c r="K481" s="170"/>
      <c r="L481" s="251">
        <f>L482</f>
        <v>0</v>
      </c>
      <c r="M481" s="251">
        <f>M482</f>
        <v>0</v>
      </c>
      <c r="N481" s="251">
        <f>N482</f>
        <v>0</v>
      </c>
      <c r="O481" s="251">
        <f>O482</f>
        <v>0</v>
      </c>
    </row>
    <row r="482" spans="1:15" ht="15" hidden="1">
      <c r="A482" s="230" t="s">
        <v>416</v>
      </c>
      <c r="B482" s="159" t="s">
        <v>772</v>
      </c>
      <c r="C482" s="159" t="s">
        <v>387</v>
      </c>
      <c r="D482" s="159" t="s">
        <v>384</v>
      </c>
      <c r="E482" s="159" t="s">
        <v>839</v>
      </c>
      <c r="F482" s="159"/>
      <c r="G482" s="360">
        <f aca="true" t="shared" si="104" ref="G482:K483">G483</f>
        <v>550</v>
      </c>
      <c r="H482" s="360">
        <f t="shared" si="104"/>
        <v>314.4</v>
      </c>
      <c r="I482" s="360">
        <f t="shared" si="104"/>
        <v>0</v>
      </c>
      <c r="J482" s="170">
        <f t="shared" si="104"/>
        <v>0</v>
      </c>
      <c r="K482" s="170" t="e">
        <f t="shared" si="104"/>
        <v>#REF!</v>
      </c>
      <c r="L482" s="253">
        <f>L483</f>
        <v>0</v>
      </c>
      <c r="M482" s="170">
        <f aca="true" t="shared" si="105" ref="M482:O483">M483</f>
        <v>0</v>
      </c>
      <c r="N482" s="170">
        <f t="shared" si="105"/>
        <v>0</v>
      </c>
      <c r="O482" s="170">
        <f t="shared" si="105"/>
        <v>0</v>
      </c>
    </row>
    <row r="483" spans="1:15" ht="25.5" hidden="1">
      <c r="A483" s="255" t="s">
        <v>840</v>
      </c>
      <c r="B483" s="159" t="s">
        <v>772</v>
      </c>
      <c r="C483" s="159" t="s">
        <v>387</v>
      </c>
      <c r="D483" s="159" t="s">
        <v>384</v>
      </c>
      <c r="E483" s="159" t="s">
        <v>841</v>
      </c>
      <c r="F483" s="159"/>
      <c r="G483" s="360">
        <f t="shared" si="104"/>
        <v>550</v>
      </c>
      <c r="H483" s="360">
        <f t="shared" si="104"/>
        <v>314.4</v>
      </c>
      <c r="I483" s="360">
        <f t="shared" si="104"/>
        <v>0</v>
      </c>
      <c r="J483" s="170">
        <f t="shared" si="104"/>
        <v>0</v>
      </c>
      <c r="K483" s="170" t="e">
        <f t="shared" si="104"/>
        <v>#REF!</v>
      </c>
      <c r="L483" s="253">
        <f>L484</f>
        <v>0</v>
      </c>
      <c r="M483" s="170">
        <f t="shared" si="105"/>
        <v>0</v>
      </c>
      <c r="N483" s="170">
        <f t="shared" si="105"/>
        <v>0</v>
      </c>
      <c r="O483" s="170">
        <f t="shared" si="105"/>
        <v>0</v>
      </c>
    </row>
    <row r="484" spans="1:15" ht="38.25" hidden="1">
      <c r="A484" s="213" t="s">
        <v>577</v>
      </c>
      <c r="B484" s="159" t="s">
        <v>772</v>
      </c>
      <c r="C484" s="159" t="s">
        <v>387</v>
      </c>
      <c r="D484" s="159" t="s">
        <v>384</v>
      </c>
      <c r="E484" s="159" t="s">
        <v>841</v>
      </c>
      <c r="F484" s="159" t="s">
        <v>579</v>
      </c>
      <c r="G484" s="360">
        <v>550</v>
      </c>
      <c r="H484" s="360">
        <v>314.4</v>
      </c>
      <c r="I484" s="360"/>
      <c r="J484" s="170"/>
      <c r="K484" s="170" t="e">
        <f>#REF!+J484</f>
        <v>#REF!</v>
      </c>
      <c r="L484" s="253"/>
      <c r="M484" s="170"/>
      <c r="N484" s="170">
        <f>L484+M484</f>
        <v>0</v>
      </c>
      <c r="O484" s="170"/>
    </row>
    <row r="485" spans="1:15" ht="15">
      <c r="A485" s="264" t="s">
        <v>417</v>
      </c>
      <c r="B485" s="168" t="s">
        <v>772</v>
      </c>
      <c r="C485" s="168" t="s">
        <v>390</v>
      </c>
      <c r="D485" s="168"/>
      <c r="E485" s="168"/>
      <c r="F485" s="168"/>
      <c r="G485" s="360"/>
      <c r="H485" s="360"/>
      <c r="I485" s="360"/>
      <c r="J485" s="170"/>
      <c r="K485" s="170"/>
      <c r="L485" s="161">
        <f>L490+L506+L512+L486</f>
        <v>14829.130000000001</v>
      </c>
      <c r="M485" s="161">
        <f>M490+M506+M512+M486</f>
        <v>-3805.97</v>
      </c>
      <c r="N485" s="161">
        <f>N490+N506+N512+N486</f>
        <v>11023.16</v>
      </c>
      <c r="O485" s="161">
        <f>O490+O506+O512+O486</f>
        <v>7072.03</v>
      </c>
    </row>
    <row r="486" spans="1:15" s="252" customFormat="1" ht="14.25">
      <c r="A486" s="167" t="s">
        <v>419</v>
      </c>
      <c r="B486" s="168" t="s">
        <v>772</v>
      </c>
      <c r="C486" s="168" t="s">
        <v>390</v>
      </c>
      <c r="D486" s="168" t="s">
        <v>382</v>
      </c>
      <c r="E486" s="168"/>
      <c r="F486" s="168"/>
      <c r="G486" s="359">
        <f>G487+G495+G526+G530</f>
        <v>-1048.5</v>
      </c>
      <c r="H486" s="359">
        <f>H487+H495+H526+H530</f>
        <v>1667</v>
      </c>
      <c r="I486" s="359">
        <f>I487+I495+I526+I530</f>
        <v>0</v>
      </c>
      <c r="J486" s="355" t="e">
        <f>J487+J495+J526+J530</f>
        <v>#REF!</v>
      </c>
      <c r="K486" s="355" t="e">
        <f>K487+K495+K526+K530</f>
        <v>#REF!</v>
      </c>
      <c r="L486" s="251">
        <f aca="true" t="shared" si="106" ref="L486:O488">L487</f>
        <v>0</v>
      </c>
      <c r="M486" s="161">
        <f t="shared" si="106"/>
        <v>2564.73</v>
      </c>
      <c r="N486" s="161">
        <f t="shared" si="106"/>
        <v>2564.73</v>
      </c>
      <c r="O486" s="161">
        <f t="shared" si="106"/>
        <v>2557.0299999999997</v>
      </c>
    </row>
    <row r="487" spans="1:15" s="232" customFormat="1" ht="14.25" customHeight="1">
      <c r="A487" s="173" t="s">
        <v>828</v>
      </c>
      <c r="B487" s="159" t="s">
        <v>772</v>
      </c>
      <c r="C487" s="159" t="s">
        <v>390</v>
      </c>
      <c r="D487" s="159" t="s">
        <v>382</v>
      </c>
      <c r="E487" s="159" t="s">
        <v>829</v>
      </c>
      <c r="F487" s="159"/>
      <c r="G487" s="348">
        <f aca="true" t="shared" si="107" ref="G487:K488">G488</f>
        <v>-40</v>
      </c>
      <c r="H487" s="365">
        <f>H488+H490+H493</f>
        <v>0</v>
      </c>
      <c r="I487" s="365">
        <f>I488+I490+I493</f>
        <v>0</v>
      </c>
      <c r="J487" s="161">
        <f>J488+J490+J493</f>
        <v>0</v>
      </c>
      <c r="K487" s="161" t="e">
        <f>K488+K490+K493</f>
        <v>#REF!</v>
      </c>
      <c r="L487" s="253">
        <f t="shared" si="106"/>
        <v>0</v>
      </c>
      <c r="M487" s="170">
        <f t="shared" si="106"/>
        <v>2564.73</v>
      </c>
      <c r="N487" s="170">
        <f t="shared" si="106"/>
        <v>2564.73</v>
      </c>
      <c r="O487" s="170">
        <f t="shared" si="106"/>
        <v>2557.0299999999997</v>
      </c>
    </row>
    <row r="488" spans="1:15" ht="51.75">
      <c r="A488" s="173" t="s">
        <v>842</v>
      </c>
      <c r="B488" s="159" t="s">
        <v>772</v>
      </c>
      <c r="C488" s="159" t="s">
        <v>390</v>
      </c>
      <c r="D488" s="159" t="s">
        <v>382</v>
      </c>
      <c r="E488" s="159" t="s">
        <v>815</v>
      </c>
      <c r="F488" s="159"/>
      <c r="G488" s="360">
        <f t="shared" si="107"/>
        <v>-40</v>
      </c>
      <c r="H488" s="360">
        <f t="shared" si="107"/>
        <v>0</v>
      </c>
      <c r="I488" s="360">
        <f t="shared" si="107"/>
        <v>0</v>
      </c>
      <c r="J488" s="170">
        <f t="shared" si="107"/>
        <v>0</v>
      </c>
      <c r="K488" s="170" t="e">
        <f t="shared" si="107"/>
        <v>#REF!</v>
      </c>
      <c r="L488" s="253">
        <f t="shared" si="106"/>
        <v>0</v>
      </c>
      <c r="M488" s="170">
        <f t="shared" si="106"/>
        <v>2564.73</v>
      </c>
      <c r="N488" s="170">
        <f t="shared" si="106"/>
        <v>2564.73</v>
      </c>
      <c r="O488" s="170">
        <f t="shared" si="106"/>
        <v>2557.0299999999997</v>
      </c>
    </row>
    <row r="489" spans="1:15" ht="15">
      <c r="A489" s="173" t="s">
        <v>816</v>
      </c>
      <c r="B489" s="159" t="s">
        <v>772</v>
      </c>
      <c r="C489" s="159" t="s">
        <v>390</v>
      </c>
      <c r="D489" s="159" t="s">
        <v>382</v>
      </c>
      <c r="E489" s="159" t="s">
        <v>815</v>
      </c>
      <c r="F489" s="159" t="s">
        <v>817</v>
      </c>
      <c r="G489" s="360">
        <v>-40</v>
      </c>
      <c r="H489" s="357"/>
      <c r="I489" s="360"/>
      <c r="J489" s="170"/>
      <c r="K489" s="170" t="e">
        <f>#REF!+J489</f>
        <v>#REF!</v>
      </c>
      <c r="L489" s="253"/>
      <c r="M489" s="170">
        <v>2564.73</v>
      </c>
      <c r="N489" s="170">
        <f>L489+M489</f>
        <v>2564.73</v>
      </c>
      <c r="O489" s="170">
        <f>2624.1-67.07</f>
        <v>2557.0299999999997</v>
      </c>
    </row>
    <row r="490" spans="1:15" ht="15">
      <c r="A490" s="167" t="s">
        <v>420</v>
      </c>
      <c r="B490" s="168" t="s">
        <v>772</v>
      </c>
      <c r="C490" s="168" t="s">
        <v>390</v>
      </c>
      <c r="D490" s="168" t="s">
        <v>383</v>
      </c>
      <c r="E490" s="159"/>
      <c r="F490" s="159"/>
      <c r="G490" s="360"/>
      <c r="H490" s="357">
        <f>H491</f>
        <v>0</v>
      </c>
      <c r="I490" s="357">
        <f>I491</f>
        <v>0</v>
      </c>
      <c r="J490" s="170">
        <f>J491</f>
        <v>0</v>
      </c>
      <c r="K490" s="170" t="e">
        <f>K491</f>
        <v>#REF!</v>
      </c>
      <c r="L490" s="253">
        <f>L494+L502+L491</f>
        <v>14411.93</v>
      </c>
      <c r="M490" s="170">
        <f>M494+M498+M502+M491</f>
        <v>-6000</v>
      </c>
      <c r="N490" s="170">
        <f>N494+N498+N502+N491</f>
        <v>8411.93</v>
      </c>
      <c r="O490" s="170">
        <f>O494+O498+O502+O491</f>
        <v>4500</v>
      </c>
    </row>
    <row r="491" spans="1:15" ht="51.75">
      <c r="A491" s="230" t="s">
        <v>814</v>
      </c>
      <c r="B491" s="159" t="s">
        <v>772</v>
      </c>
      <c r="C491" s="159" t="s">
        <v>390</v>
      </c>
      <c r="D491" s="159" t="s">
        <v>383</v>
      </c>
      <c r="E491" s="159" t="s">
        <v>815</v>
      </c>
      <c r="F491" s="159"/>
      <c r="G491" s="360"/>
      <c r="H491" s="357"/>
      <c r="I491" s="357"/>
      <c r="J491" s="170"/>
      <c r="K491" s="170" t="e">
        <f>#REF!+J491</f>
        <v>#REF!</v>
      </c>
      <c r="L491" s="170">
        <f>L492+L493</f>
        <v>1111</v>
      </c>
      <c r="M491" s="170">
        <f>M492+M493</f>
        <v>4000</v>
      </c>
      <c r="N491" s="170">
        <f>N492+N493</f>
        <v>5111</v>
      </c>
      <c r="O491" s="170">
        <f>O492+O493</f>
        <v>4500</v>
      </c>
    </row>
    <row r="492" spans="1:15" ht="15">
      <c r="A492" s="230" t="s">
        <v>816</v>
      </c>
      <c r="B492" s="159" t="s">
        <v>772</v>
      </c>
      <c r="C492" s="159" t="s">
        <v>390</v>
      </c>
      <c r="D492" s="159" t="s">
        <v>383</v>
      </c>
      <c r="E492" s="159" t="s">
        <v>815</v>
      </c>
      <c r="F492" s="159" t="s">
        <v>817</v>
      </c>
      <c r="G492" s="360"/>
      <c r="H492" s="357"/>
      <c r="I492" s="357"/>
      <c r="J492" s="170"/>
      <c r="K492" s="170"/>
      <c r="L492" s="253">
        <v>1111</v>
      </c>
      <c r="M492" s="170">
        <v>-1111</v>
      </c>
      <c r="N492" s="170">
        <f>L492+M492</f>
        <v>0</v>
      </c>
      <c r="O492" s="170"/>
    </row>
    <row r="493" spans="1:18" ht="51.75">
      <c r="A493" s="230" t="s">
        <v>831</v>
      </c>
      <c r="B493" s="159" t="s">
        <v>772</v>
      </c>
      <c r="C493" s="159" t="s">
        <v>390</v>
      </c>
      <c r="D493" s="159" t="s">
        <v>383</v>
      </c>
      <c r="E493" s="159" t="s">
        <v>815</v>
      </c>
      <c r="F493" s="159" t="s">
        <v>832</v>
      </c>
      <c r="G493" s="360"/>
      <c r="H493" s="357">
        <f>H494</f>
        <v>0</v>
      </c>
      <c r="I493" s="357">
        <f>I494</f>
        <v>0</v>
      </c>
      <c r="J493" s="170">
        <f>J494</f>
        <v>0</v>
      </c>
      <c r="K493" s="170" t="e">
        <f>K494</f>
        <v>#REF!</v>
      </c>
      <c r="L493" s="253"/>
      <c r="M493" s="170">
        <v>5111</v>
      </c>
      <c r="N493" s="170">
        <f>L493+M493</f>
        <v>5111</v>
      </c>
      <c r="O493" s="170">
        <v>4500</v>
      </c>
      <c r="R493" s="150">
        <f>L491+L494</f>
        <v>11111</v>
      </c>
    </row>
    <row r="494" spans="1:15" ht="15">
      <c r="A494" s="230" t="s">
        <v>843</v>
      </c>
      <c r="B494" s="159" t="s">
        <v>772</v>
      </c>
      <c r="C494" s="159" t="s">
        <v>390</v>
      </c>
      <c r="D494" s="159" t="s">
        <v>383</v>
      </c>
      <c r="E494" s="159" t="s">
        <v>844</v>
      </c>
      <c r="F494" s="159"/>
      <c r="G494" s="360"/>
      <c r="H494" s="357"/>
      <c r="I494" s="360"/>
      <c r="J494" s="170"/>
      <c r="K494" s="170" t="e">
        <f>#REF!+J494</f>
        <v>#REF!</v>
      </c>
      <c r="L494" s="253">
        <f>L495+L498</f>
        <v>10000</v>
      </c>
      <c r="M494" s="170">
        <f>M495</f>
        <v>0</v>
      </c>
      <c r="N494" s="170">
        <f>N495</f>
        <v>0</v>
      </c>
      <c r="O494" s="170">
        <f>O495</f>
        <v>0</v>
      </c>
    </row>
    <row r="495" spans="1:15" s="232" customFormat="1" ht="38.25" hidden="1">
      <c r="A495" s="230" t="s">
        <v>845</v>
      </c>
      <c r="B495" s="159" t="s">
        <v>772</v>
      </c>
      <c r="C495" s="159" t="s">
        <v>390</v>
      </c>
      <c r="D495" s="159" t="s">
        <v>383</v>
      </c>
      <c r="E495" s="159" t="s">
        <v>846</v>
      </c>
      <c r="F495" s="159"/>
      <c r="G495" s="348">
        <f>G504+G512+G522+G517</f>
        <v>2000</v>
      </c>
      <c r="H495" s="365">
        <f>H504+H512+H522+H517+H515+H499+H509</f>
        <v>1667</v>
      </c>
      <c r="I495" s="365">
        <f>I504+I512+I522+I517+I515+I499+I509</f>
        <v>0</v>
      </c>
      <c r="J495" s="251" t="e">
        <f>J504+J522+J517+J515+J499+J509+J496+J512+J507</f>
        <v>#REF!</v>
      </c>
      <c r="K495" s="251" t="e">
        <f>K504+K522+K517+K515+K499+K509+K496+K512+K507</f>
        <v>#REF!</v>
      </c>
      <c r="L495" s="170">
        <f>L496+L497</f>
        <v>0</v>
      </c>
      <c r="M495" s="170">
        <f>M496+M497</f>
        <v>0</v>
      </c>
      <c r="N495" s="170">
        <f>N496+N497</f>
        <v>0</v>
      </c>
      <c r="O495" s="170">
        <f>O496+O497</f>
        <v>0</v>
      </c>
    </row>
    <row r="496" spans="1:15" s="232" customFormat="1" ht="14.25" hidden="1">
      <c r="A496" s="230" t="s">
        <v>816</v>
      </c>
      <c r="B496" s="159" t="s">
        <v>772</v>
      </c>
      <c r="C496" s="159" t="s">
        <v>390</v>
      </c>
      <c r="D496" s="159" t="s">
        <v>383</v>
      </c>
      <c r="E496" s="159" t="s">
        <v>846</v>
      </c>
      <c r="F496" s="159" t="s">
        <v>817</v>
      </c>
      <c r="G496" s="360"/>
      <c r="H496" s="357"/>
      <c r="I496" s="357"/>
      <c r="J496" s="253" t="e">
        <f>J497+J498</f>
        <v>#REF!</v>
      </c>
      <c r="K496" s="253" t="e">
        <f>K497+K498</f>
        <v>#REF!</v>
      </c>
      <c r="L496" s="253"/>
      <c r="M496" s="170"/>
      <c r="N496" s="170">
        <f>L496+M496</f>
        <v>0</v>
      </c>
      <c r="O496" s="170"/>
    </row>
    <row r="497" spans="1:18" s="232" customFormat="1" ht="14.25" customHeight="1" hidden="1">
      <c r="A497" s="213" t="s">
        <v>847</v>
      </c>
      <c r="B497" s="159" t="s">
        <v>772</v>
      </c>
      <c r="C497" s="159" t="s">
        <v>390</v>
      </c>
      <c r="D497" s="159" t="s">
        <v>383</v>
      </c>
      <c r="E497" s="159" t="s">
        <v>846</v>
      </c>
      <c r="F497" s="159" t="s">
        <v>832</v>
      </c>
      <c r="G497" s="360"/>
      <c r="H497" s="357"/>
      <c r="I497" s="357"/>
      <c r="J497" s="253" t="e">
        <f>#REF!+#REF!</f>
        <v>#REF!</v>
      </c>
      <c r="K497" s="253" t="e">
        <f>#REF!+J497</f>
        <v>#REF!</v>
      </c>
      <c r="L497" s="253"/>
      <c r="M497" s="170"/>
      <c r="N497" s="170">
        <f>L497+M497</f>
        <v>0</v>
      </c>
      <c r="O497" s="170"/>
      <c r="R497" s="232" t="e">
        <f>L497+L476+L548+#REF!</f>
        <v>#REF!</v>
      </c>
    </row>
    <row r="498" spans="1:15" s="232" customFormat="1" ht="14.25">
      <c r="A498" s="230" t="s">
        <v>843</v>
      </c>
      <c r="B498" s="159" t="s">
        <v>772</v>
      </c>
      <c r="C498" s="159" t="s">
        <v>390</v>
      </c>
      <c r="D498" s="159" t="s">
        <v>383</v>
      </c>
      <c r="E498" s="159" t="s">
        <v>844</v>
      </c>
      <c r="F498" s="159"/>
      <c r="G498" s="360"/>
      <c r="H498" s="357"/>
      <c r="I498" s="357"/>
      <c r="J498" s="253" t="e">
        <f>#REF!+#REF!</f>
        <v>#REF!</v>
      </c>
      <c r="K498" s="253" t="e">
        <f>#REF!+J498</f>
        <v>#REF!</v>
      </c>
      <c r="L498" s="253">
        <f>L499</f>
        <v>10000</v>
      </c>
      <c r="M498" s="170">
        <f>M499</f>
        <v>-10000</v>
      </c>
      <c r="N498" s="170">
        <f>N499</f>
        <v>0</v>
      </c>
      <c r="O498" s="170">
        <f>O499</f>
        <v>0</v>
      </c>
    </row>
    <row r="499" spans="1:15" s="232" customFormat="1" ht="38.25" customHeight="1">
      <c r="A499" s="230" t="s">
        <v>848</v>
      </c>
      <c r="B499" s="159" t="s">
        <v>772</v>
      </c>
      <c r="C499" s="159" t="s">
        <v>390</v>
      </c>
      <c r="D499" s="159" t="s">
        <v>383</v>
      </c>
      <c r="E499" s="159" t="s">
        <v>849</v>
      </c>
      <c r="F499" s="159"/>
      <c r="G499" s="360"/>
      <c r="H499" s="360">
        <f>H500</f>
        <v>0</v>
      </c>
      <c r="I499" s="360">
        <f>I500</f>
        <v>0</v>
      </c>
      <c r="J499" s="253" t="e">
        <f>J500+J503</f>
        <v>#REF!</v>
      </c>
      <c r="K499" s="253" t="e">
        <f>K500+K503</f>
        <v>#REF!</v>
      </c>
      <c r="L499" s="170">
        <f>L500+L501</f>
        <v>10000</v>
      </c>
      <c r="M499" s="170">
        <f>M500+M501</f>
        <v>-10000</v>
      </c>
      <c r="N499" s="170">
        <f>N500+N501</f>
        <v>0</v>
      </c>
      <c r="O499" s="170">
        <f>O500+O501</f>
        <v>0</v>
      </c>
    </row>
    <row r="500" spans="1:15" s="232" customFormat="1" ht="14.25" customHeight="1">
      <c r="A500" s="230" t="s">
        <v>816</v>
      </c>
      <c r="B500" s="159" t="s">
        <v>772</v>
      </c>
      <c r="C500" s="159" t="s">
        <v>390</v>
      </c>
      <c r="D500" s="159" t="s">
        <v>383</v>
      </c>
      <c r="E500" s="159" t="s">
        <v>849</v>
      </c>
      <c r="F500" s="159" t="s">
        <v>817</v>
      </c>
      <c r="G500" s="360"/>
      <c r="H500" s="360"/>
      <c r="I500" s="360"/>
      <c r="J500" s="253" t="e">
        <f>#REF!+#REF!</f>
        <v>#REF!</v>
      </c>
      <c r="K500" s="253" t="e">
        <f>#REF!+J500</f>
        <v>#REF!</v>
      </c>
      <c r="L500" s="253">
        <v>10000</v>
      </c>
      <c r="M500" s="170">
        <v>-10000</v>
      </c>
      <c r="N500" s="170">
        <f>L500+M500</f>
        <v>0</v>
      </c>
      <c r="O500" s="170"/>
    </row>
    <row r="501" spans="1:15" s="232" customFormat="1" ht="25.5" customHeight="1" hidden="1">
      <c r="A501" s="213" t="s">
        <v>847</v>
      </c>
      <c r="B501" s="159" t="s">
        <v>772</v>
      </c>
      <c r="C501" s="159" t="s">
        <v>390</v>
      </c>
      <c r="D501" s="159" t="s">
        <v>383</v>
      </c>
      <c r="E501" s="159" t="s">
        <v>849</v>
      </c>
      <c r="F501" s="159" t="s">
        <v>832</v>
      </c>
      <c r="G501" s="360"/>
      <c r="H501" s="360"/>
      <c r="I501" s="360"/>
      <c r="J501" s="253" t="e">
        <f>#REF!+#REF!</f>
        <v>#REF!</v>
      </c>
      <c r="K501" s="253" t="e">
        <f>#REF!+J501</f>
        <v>#REF!</v>
      </c>
      <c r="L501" s="253"/>
      <c r="M501" s="170"/>
      <c r="N501" s="170">
        <f>L501+M501</f>
        <v>0</v>
      </c>
      <c r="O501" s="170"/>
    </row>
    <row r="502" spans="1:15" s="232" customFormat="1" ht="25.5" customHeight="1">
      <c r="A502" s="173" t="s">
        <v>850</v>
      </c>
      <c r="B502" s="159" t="s">
        <v>772</v>
      </c>
      <c r="C502" s="159" t="s">
        <v>390</v>
      </c>
      <c r="D502" s="159" t="s">
        <v>383</v>
      </c>
      <c r="E502" s="159" t="s">
        <v>568</v>
      </c>
      <c r="F502" s="159"/>
      <c r="G502" s="360"/>
      <c r="H502" s="360"/>
      <c r="I502" s="360"/>
      <c r="J502" s="253" t="e">
        <f>#REF!+#REF!</f>
        <v>#REF!</v>
      </c>
      <c r="K502" s="253" t="e">
        <f>#REF!+J502</f>
        <v>#REF!</v>
      </c>
      <c r="L502" s="253">
        <f>L503</f>
        <v>3300.93</v>
      </c>
      <c r="M502" s="170">
        <f>M503</f>
        <v>0</v>
      </c>
      <c r="N502" s="170">
        <f>N503</f>
        <v>3300.93</v>
      </c>
      <c r="O502" s="170">
        <f>O503</f>
        <v>0</v>
      </c>
    </row>
    <row r="503" spans="1:15" s="232" customFormat="1" ht="25.5" customHeight="1">
      <c r="A503" s="173" t="s">
        <v>497</v>
      </c>
      <c r="B503" s="159" t="s">
        <v>772</v>
      </c>
      <c r="C503" s="159" t="s">
        <v>390</v>
      </c>
      <c r="D503" s="159" t="s">
        <v>383</v>
      </c>
      <c r="E503" s="159" t="s">
        <v>569</v>
      </c>
      <c r="F503" s="159"/>
      <c r="G503" s="360"/>
      <c r="H503" s="360"/>
      <c r="I503" s="360"/>
      <c r="J503" s="253" t="e">
        <f>#REF!+#REF!</f>
        <v>#REF!</v>
      </c>
      <c r="K503" s="253" t="e">
        <f>#REF!+J503</f>
        <v>#REF!</v>
      </c>
      <c r="L503" s="170">
        <f>L504+L505</f>
        <v>3300.93</v>
      </c>
      <c r="M503" s="170">
        <f>M504+M505</f>
        <v>0</v>
      </c>
      <c r="N503" s="170">
        <f>N504+N505</f>
        <v>3300.93</v>
      </c>
      <c r="O503" s="170">
        <f>O504+O505</f>
        <v>0</v>
      </c>
    </row>
    <row r="504" spans="1:15" ht="15">
      <c r="A504" s="173" t="s">
        <v>652</v>
      </c>
      <c r="B504" s="159" t="s">
        <v>772</v>
      </c>
      <c r="C504" s="159" t="s">
        <v>390</v>
      </c>
      <c r="D504" s="159" t="s">
        <v>383</v>
      </c>
      <c r="E504" s="159" t="s">
        <v>569</v>
      </c>
      <c r="F504" s="159" t="s">
        <v>653</v>
      </c>
      <c r="G504" s="360">
        <f aca="true" t="shared" si="108" ref="G504:K505">G505</f>
        <v>-2838.8</v>
      </c>
      <c r="H504" s="360">
        <f t="shared" si="108"/>
        <v>1667</v>
      </c>
      <c r="I504" s="360">
        <f t="shared" si="108"/>
        <v>0</v>
      </c>
      <c r="J504" s="253">
        <f t="shared" si="108"/>
        <v>0</v>
      </c>
      <c r="K504" s="253">
        <f t="shared" si="108"/>
        <v>0</v>
      </c>
      <c r="L504" s="253">
        <v>3300.93</v>
      </c>
      <c r="M504" s="170">
        <v>-3300.93</v>
      </c>
      <c r="N504" s="170">
        <f>L504+M504</f>
        <v>0</v>
      </c>
      <c r="O504" s="170"/>
    </row>
    <row r="505" spans="1:15" ht="15">
      <c r="A505" s="230" t="s">
        <v>851</v>
      </c>
      <c r="B505" s="159" t="s">
        <v>772</v>
      </c>
      <c r="C505" s="159" t="s">
        <v>390</v>
      </c>
      <c r="D505" s="159" t="s">
        <v>383</v>
      </c>
      <c r="E505" s="159" t="s">
        <v>569</v>
      </c>
      <c r="F505" s="159" t="s">
        <v>852</v>
      </c>
      <c r="G505" s="360">
        <f t="shared" si="108"/>
        <v>-2838.8</v>
      </c>
      <c r="H505" s="360">
        <f t="shared" si="108"/>
        <v>1667</v>
      </c>
      <c r="I505" s="360">
        <f t="shared" si="108"/>
        <v>0</v>
      </c>
      <c r="J505" s="253">
        <f t="shared" si="108"/>
        <v>0</v>
      </c>
      <c r="K505" s="253">
        <f t="shared" si="108"/>
        <v>0</v>
      </c>
      <c r="L505" s="253"/>
      <c r="M505" s="170">
        <v>3300.93</v>
      </c>
      <c r="N505" s="170">
        <f>L505+M505</f>
        <v>3300.93</v>
      </c>
      <c r="O505" s="170"/>
    </row>
    <row r="506" spans="1:18" ht="26.25">
      <c r="A506" s="230" t="s">
        <v>663</v>
      </c>
      <c r="B506" s="168" t="s">
        <v>772</v>
      </c>
      <c r="C506" s="168" t="s">
        <v>390</v>
      </c>
      <c r="D506" s="168" t="s">
        <v>387</v>
      </c>
      <c r="E506" s="168"/>
      <c r="F506" s="168"/>
      <c r="G506" s="360">
        <f>-2338.8-500</f>
        <v>-2838.8</v>
      </c>
      <c r="H506" s="360">
        <v>1667</v>
      </c>
      <c r="I506" s="360"/>
      <c r="J506" s="253"/>
      <c r="K506" s="253"/>
      <c r="L506" s="251">
        <f aca="true" t="shared" si="109" ref="L506:O507">L507</f>
        <v>417.2</v>
      </c>
      <c r="M506" s="251">
        <f t="shared" si="109"/>
        <v>-385.7</v>
      </c>
      <c r="N506" s="251">
        <f t="shared" si="109"/>
        <v>31.5</v>
      </c>
      <c r="O506" s="251">
        <f t="shared" si="109"/>
        <v>0</v>
      </c>
      <c r="R506" s="215" t="e">
        <f>L506+#REF!</f>
        <v>#REF!</v>
      </c>
    </row>
    <row r="507" spans="1:18" ht="26.25">
      <c r="A507" s="230" t="s">
        <v>480</v>
      </c>
      <c r="B507" s="159" t="s">
        <v>772</v>
      </c>
      <c r="C507" s="159" t="s">
        <v>390</v>
      </c>
      <c r="D507" s="159" t="s">
        <v>387</v>
      </c>
      <c r="E507" s="159" t="s">
        <v>481</v>
      </c>
      <c r="F507" s="159"/>
      <c r="G507" s="360"/>
      <c r="H507" s="360"/>
      <c r="I507" s="360"/>
      <c r="J507" s="253">
        <f>J508</f>
        <v>0</v>
      </c>
      <c r="K507" s="253">
        <f>K508</f>
        <v>0</v>
      </c>
      <c r="L507" s="253">
        <f t="shared" si="109"/>
        <v>417.2</v>
      </c>
      <c r="M507" s="170">
        <f t="shared" si="109"/>
        <v>-385.7</v>
      </c>
      <c r="N507" s="170">
        <f t="shared" si="109"/>
        <v>31.5</v>
      </c>
      <c r="O507" s="170">
        <f t="shared" si="109"/>
        <v>0</v>
      </c>
      <c r="R507" s="215"/>
    </row>
    <row r="508" spans="1:18" ht="26.25">
      <c r="A508" s="230" t="s">
        <v>482</v>
      </c>
      <c r="B508" s="159" t="s">
        <v>772</v>
      </c>
      <c r="C508" s="159" t="s">
        <v>390</v>
      </c>
      <c r="D508" s="159" t="s">
        <v>387</v>
      </c>
      <c r="E508" s="159" t="s">
        <v>483</v>
      </c>
      <c r="F508" s="159"/>
      <c r="G508" s="360"/>
      <c r="H508" s="360"/>
      <c r="I508" s="360"/>
      <c r="J508" s="170"/>
      <c r="K508" s="170"/>
      <c r="L508" s="170">
        <f>L509+L511+L510</f>
        <v>417.2</v>
      </c>
      <c r="M508" s="170">
        <f>M509+M511+M510</f>
        <v>-385.7</v>
      </c>
      <c r="N508" s="170">
        <f>N509+N511+N510</f>
        <v>31.5</v>
      </c>
      <c r="O508" s="170">
        <f>O509+O511+O510</f>
        <v>0</v>
      </c>
      <c r="R508" s="215"/>
    </row>
    <row r="509" spans="1:15" ht="26.25">
      <c r="A509" s="230" t="s">
        <v>853</v>
      </c>
      <c r="B509" s="159" t="s">
        <v>772</v>
      </c>
      <c r="C509" s="159" t="s">
        <v>390</v>
      </c>
      <c r="D509" s="159" t="s">
        <v>387</v>
      </c>
      <c r="E509" s="159" t="s">
        <v>483</v>
      </c>
      <c r="F509" s="159" t="s">
        <v>485</v>
      </c>
      <c r="G509" s="360"/>
      <c r="H509" s="357">
        <f>H510</f>
        <v>0</v>
      </c>
      <c r="I509" s="357">
        <f>I510</f>
        <v>0</v>
      </c>
      <c r="J509" s="170">
        <f>J510</f>
        <v>0</v>
      </c>
      <c r="K509" s="170" t="e">
        <f>K510</f>
        <v>#REF!</v>
      </c>
      <c r="L509" s="253">
        <v>417.2</v>
      </c>
      <c r="M509" s="170">
        <v>-417.2</v>
      </c>
      <c r="N509" s="170">
        <f>L509+M509</f>
        <v>0</v>
      </c>
      <c r="O509" s="170"/>
    </row>
    <row r="510" spans="1:15" ht="38.25">
      <c r="A510" s="213" t="s">
        <v>587</v>
      </c>
      <c r="B510" s="159" t="s">
        <v>772</v>
      </c>
      <c r="C510" s="159" t="s">
        <v>390</v>
      </c>
      <c r="D510" s="159" t="s">
        <v>387</v>
      </c>
      <c r="E510" s="159" t="s">
        <v>483</v>
      </c>
      <c r="F510" s="159" t="s">
        <v>588</v>
      </c>
      <c r="G510" s="360"/>
      <c r="H510" s="357"/>
      <c r="I510" s="360"/>
      <c r="J510" s="170"/>
      <c r="K510" s="170" t="e">
        <f>#REF!+J510</f>
        <v>#REF!</v>
      </c>
      <c r="L510" s="253"/>
      <c r="M510" s="170">
        <v>11.5</v>
      </c>
      <c r="N510" s="170">
        <f>L510+M510</f>
        <v>11.5</v>
      </c>
      <c r="O510" s="170"/>
    </row>
    <row r="511" spans="1:15" ht="38.25">
      <c r="A511" s="213" t="s">
        <v>577</v>
      </c>
      <c r="B511" s="159" t="s">
        <v>772</v>
      </c>
      <c r="C511" s="159" t="s">
        <v>390</v>
      </c>
      <c r="D511" s="159" t="s">
        <v>387</v>
      </c>
      <c r="E511" s="159" t="s">
        <v>483</v>
      </c>
      <c r="F511" s="159" t="s">
        <v>579</v>
      </c>
      <c r="G511" s="360"/>
      <c r="H511" s="357"/>
      <c r="I511" s="360"/>
      <c r="J511" s="170"/>
      <c r="K511" s="170"/>
      <c r="L511" s="253"/>
      <c r="M511" s="170">
        <v>20</v>
      </c>
      <c r="N511" s="170">
        <f>L511+M511</f>
        <v>20</v>
      </c>
      <c r="O511" s="170"/>
    </row>
    <row r="512" spans="1:15" ht="26.25">
      <c r="A512" s="229" t="s">
        <v>422</v>
      </c>
      <c r="B512" s="168" t="s">
        <v>772</v>
      </c>
      <c r="C512" s="168" t="s">
        <v>390</v>
      </c>
      <c r="D512" s="168" t="s">
        <v>390</v>
      </c>
      <c r="E512" s="168"/>
      <c r="F512" s="168"/>
      <c r="G512" s="360">
        <f>G513+G515</f>
        <v>0</v>
      </c>
      <c r="H512" s="360"/>
      <c r="I512" s="360">
        <f>I513+I515</f>
        <v>0</v>
      </c>
      <c r="J512" s="170">
        <f>J513+J515</f>
        <v>0</v>
      </c>
      <c r="K512" s="170" t="e">
        <f>K513+K515</f>
        <v>#REF!</v>
      </c>
      <c r="L512" s="251">
        <f aca="true" t="shared" si="110" ref="L512:O514">L513</f>
        <v>0</v>
      </c>
      <c r="M512" s="251">
        <f t="shared" si="110"/>
        <v>15</v>
      </c>
      <c r="N512" s="251">
        <f t="shared" si="110"/>
        <v>15</v>
      </c>
      <c r="O512" s="251">
        <f t="shared" si="110"/>
        <v>15</v>
      </c>
    </row>
    <row r="513" spans="1:15" ht="15">
      <c r="A513" s="230" t="s">
        <v>835</v>
      </c>
      <c r="B513" s="159" t="s">
        <v>772</v>
      </c>
      <c r="C513" s="159" t="s">
        <v>390</v>
      </c>
      <c r="D513" s="159" t="s">
        <v>390</v>
      </c>
      <c r="E513" s="159" t="s">
        <v>761</v>
      </c>
      <c r="F513" s="168"/>
      <c r="G513" s="360">
        <f>G514</f>
        <v>-1750</v>
      </c>
      <c r="H513" s="360">
        <f>H514</f>
        <v>0</v>
      </c>
      <c r="I513" s="360">
        <f>I514</f>
        <v>0</v>
      </c>
      <c r="J513" s="170">
        <f>J514</f>
        <v>0</v>
      </c>
      <c r="K513" s="170" t="e">
        <f>K514</f>
        <v>#REF!</v>
      </c>
      <c r="L513" s="253">
        <f t="shared" si="110"/>
        <v>0</v>
      </c>
      <c r="M513" s="253">
        <f t="shared" si="110"/>
        <v>15</v>
      </c>
      <c r="N513" s="253">
        <f t="shared" si="110"/>
        <v>15</v>
      </c>
      <c r="O513" s="253">
        <f t="shared" si="110"/>
        <v>15</v>
      </c>
    </row>
    <row r="514" spans="1:15" ht="38.25">
      <c r="A514" s="255" t="s">
        <v>854</v>
      </c>
      <c r="B514" s="159" t="s">
        <v>772</v>
      </c>
      <c r="C514" s="159" t="s">
        <v>390</v>
      </c>
      <c r="D514" s="159" t="s">
        <v>390</v>
      </c>
      <c r="E514" s="159" t="s">
        <v>855</v>
      </c>
      <c r="F514" s="159"/>
      <c r="G514" s="360">
        <v>-1750</v>
      </c>
      <c r="H514" s="357"/>
      <c r="I514" s="360"/>
      <c r="J514" s="170"/>
      <c r="K514" s="170" t="e">
        <f>#REF!+J514</f>
        <v>#REF!</v>
      </c>
      <c r="L514" s="253">
        <f t="shared" si="110"/>
        <v>0</v>
      </c>
      <c r="M514" s="253">
        <f t="shared" si="110"/>
        <v>15</v>
      </c>
      <c r="N514" s="253">
        <f t="shared" si="110"/>
        <v>15</v>
      </c>
      <c r="O514" s="253">
        <f t="shared" si="110"/>
        <v>15</v>
      </c>
    </row>
    <row r="515" spans="1:15" ht="26.25" customHeight="1">
      <c r="A515" s="213" t="s">
        <v>577</v>
      </c>
      <c r="B515" s="159" t="s">
        <v>772</v>
      </c>
      <c r="C515" s="159" t="s">
        <v>390</v>
      </c>
      <c r="D515" s="159" t="s">
        <v>390</v>
      </c>
      <c r="E515" s="159" t="s">
        <v>855</v>
      </c>
      <c r="F515" s="159" t="s">
        <v>579</v>
      </c>
      <c r="G515" s="360">
        <f>G516</f>
        <v>1750</v>
      </c>
      <c r="H515" s="360">
        <f>H516</f>
        <v>0</v>
      </c>
      <c r="I515" s="360">
        <f>I516</f>
        <v>0</v>
      </c>
      <c r="J515" s="170">
        <f>J516</f>
        <v>0</v>
      </c>
      <c r="K515" s="170" t="e">
        <f>K516</f>
        <v>#REF!</v>
      </c>
      <c r="L515" s="253"/>
      <c r="M515" s="170">
        <v>15</v>
      </c>
      <c r="N515" s="170">
        <f>L515+M515</f>
        <v>15</v>
      </c>
      <c r="O515" s="170">
        <v>15</v>
      </c>
    </row>
    <row r="516" spans="1:15" ht="15" customHeight="1">
      <c r="A516" s="229" t="s">
        <v>856</v>
      </c>
      <c r="B516" s="168" t="s">
        <v>772</v>
      </c>
      <c r="C516" s="168" t="s">
        <v>410</v>
      </c>
      <c r="D516" s="168"/>
      <c r="E516" s="168"/>
      <c r="F516" s="168"/>
      <c r="G516" s="360">
        <v>1750</v>
      </c>
      <c r="H516" s="357"/>
      <c r="I516" s="360"/>
      <c r="J516" s="170"/>
      <c r="K516" s="170" t="e">
        <f>#REF!+J516</f>
        <v>#REF!</v>
      </c>
      <c r="L516" s="251">
        <f>L517+L520</f>
        <v>45.74</v>
      </c>
      <c r="M516" s="251">
        <f>M517+M520</f>
        <v>2164.67</v>
      </c>
      <c r="N516" s="251">
        <f>N517+N520</f>
        <v>2210.41</v>
      </c>
      <c r="O516" s="251">
        <f>O517+O520</f>
        <v>1800</v>
      </c>
    </row>
    <row r="517" spans="1:15" ht="15">
      <c r="A517" s="230" t="s">
        <v>426</v>
      </c>
      <c r="B517" s="168" t="s">
        <v>772</v>
      </c>
      <c r="C517" s="168" t="s">
        <v>410</v>
      </c>
      <c r="D517" s="168" t="s">
        <v>382</v>
      </c>
      <c r="E517" s="168"/>
      <c r="F517" s="168"/>
      <c r="G517" s="360">
        <f>G518+G520</f>
        <v>4338.8</v>
      </c>
      <c r="H517" s="360">
        <f>H518+H520</f>
        <v>0</v>
      </c>
      <c r="I517" s="360">
        <f>I518+I520</f>
        <v>0</v>
      </c>
      <c r="J517" s="170">
        <f>J518+J520</f>
        <v>0</v>
      </c>
      <c r="K517" s="170" t="e">
        <f>K518+K520</f>
        <v>#REF!</v>
      </c>
      <c r="L517" s="251">
        <f aca="true" t="shared" si="111" ref="L517:O518">L518</f>
        <v>0</v>
      </c>
      <c r="M517" s="251">
        <f t="shared" si="111"/>
        <v>2060.41</v>
      </c>
      <c r="N517" s="251">
        <f t="shared" si="111"/>
        <v>2060.41</v>
      </c>
      <c r="O517" s="251">
        <f t="shared" si="111"/>
        <v>1650</v>
      </c>
    </row>
    <row r="518" spans="1:15" ht="25.5" customHeight="1">
      <c r="A518" s="230" t="s">
        <v>814</v>
      </c>
      <c r="B518" s="159" t="s">
        <v>772</v>
      </c>
      <c r="C518" s="159" t="s">
        <v>410</v>
      </c>
      <c r="D518" s="159" t="s">
        <v>382</v>
      </c>
      <c r="E518" s="159" t="s">
        <v>830</v>
      </c>
      <c r="F518" s="159"/>
      <c r="G518" s="360">
        <f>G519</f>
        <v>2338.8</v>
      </c>
      <c r="H518" s="360">
        <f>H519</f>
        <v>0</v>
      </c>
      <c r="I518" s="360">
        <f>I519</f>
        <v>0</v>
      </c>
      <c r="J518" s="170">
        <f>J519</f>
        <v>0</v>
      </c>
      <c r="K518" s="170" t="e">
        <f>K519</f>
        <v>#REF!</v>
      </c>
      <c r="L518" s="253">
        <f t="shared" si="111"/>
        <v>0</v>
      </c>
      <c r="M518" s="253">
        <f t="shared" si="111"/>
        <v>2060.41</v>
      </c>
      <c r="N518" s="253">
        <f t="shared" si="111"/>
        <v>2060.41</v>
      </c>
      <c r="O518" s="253">
        <f t="shared" si="111"/>
        <v>1650</v>
      </c>
    </row>
    <row r="519" spans="1:15" ht="15" customHeight="1">
      <c r="A519" s="230" t="s">
        <v>831</v>
      </c>
      <c r="B519" s="159" t="s">
        <v>772</v>
      </c>
      <c r="C519" s="159" t="s">
        <v>410</v>
      </c>
      <c r="D519" s="159" t="s">
        <v>382</v>
      </c>
      <c r="E519" s="159" t="s">
        <v>815</v>
      </c>
      <c r="F519" s="159" t="s">
        <v>832</v>
      </c>
      <c r="G519" s="360">
        <v>2338.8</v>
      </c>
      <c r="H519" s="357"/>
      <c r="I519" s="360"/>
      <c r="J519" s="170">
        <f>1500-1500</f>
        <v>0</v>
      </c>
      <c r="K519" s="170" t="e">
        <f>#REF!+J519</f>
        <v>#REF!</v>
      </c>
      <c r="L519" s="253"/>
      <c r="M519" s="170">
        <v>2060.41</v>
      </c>
      <c r="N519" s="170">
        <f>L519+M519</f>
        <v>2060.41</v>
      </c>
      <c r="O519" s="170">
        <v>1650</v>
      </c>
    </row>
    <row r="520" spans="1:15" ht="26.25">
      <c r="A520" s="229" t="s">
        <v>861</v>
      </c>
      <c r="B520" s="168" t="s">
        <v>772</v>
      </c>
      <c r="C520" s="168" t="s">
        <v>410</v>
      </c>
      <c r="D520" s="168" t="s">
        <v>385</v>
      </c>
      <c r="E520" s="168"/>
      <c r="F520" s="168"/>
      <c r="G520" s="360">
        <f aca="true" t="shared" si="112" ref="G520:O521">G521</f>
        <v>2000</v>
      </c>
      <c r="H520" s="360">
        <f t="shared" si="112"/>
        <v>0</v>
      </c>
      <c r="I520" s="360">
        <f t="shared" si="112"/>
        <v>0</v>
      </c>
      <c r="J520" s="170">
        <f t="shared" si="112"/>
        <v>0</v>
      </c>
      <c r="K520" s="170" t="e">
        <f t="shared" si="112"/>
        <v>#REF!</v>
      </c>
      <c r="L520" s="251">
        <f t="shared" si="112"/>
        <v>45.74</v>
      </c>
      <c r="M520" s="161">
        <f t="shared" si="112"/>
        <v>104.25999999999999</v>
      </c>
      <c r="N520" s="161">
        <f t="shared" si="112"/>
        <v>150</v>
      </c>
      <c r="O520" s="161">
        <f t="shared" si="112"/>
        <v>150</v>
      </c>
    </row>
    <row r="521" spans="1:15" ht="15" customHeight="1">
      <c r="A521" s="230" t="s">
        <v>862</v>
      </c>
      <c r="B521" s="159" t="s">
        <v>772</v>
      </c>
      <c r="C521" s="159" t="s">
        <v>410</v>
      </c>
      <c r="D521" s="159" t="s">
        <v>385</v>
      </c>
      <c r="E521" s="159" t="s">
        <v>527</v>
      </c>
      <c r="F521" s="159"/>
      <c r="G521" s="360">
        <v>2000</v>
      </c>
      <c r="H521" s="357"/>
      <c r="I521" s="360"/>
      <c r="J521" s="170"/>
      <c r="K521" s="170" t="e">
        <f>#REF!+J521</f>
        <v>#REF!</v>
      </c>
      <c r="L521" s="253">
        <f t="shared" si="112"/>
        <v>45.74</v>
      </c>
      <c r="M521" s="170">
        <f t="shared" si="112"/>
        <v>104.25999999999999</v>
      </c>
      <c r="N521" s="170">
        <f t="shared" si="112"/>
        <v>150</v>
      </c>
      <c r="O521" s="170">
        <f t="shared" si="112"/>
        <v>150</v>
      </c>
    </row>
    <row r="522" spans="1:15" ht="15" customHeight="1">
      <c r="A522" s="230" t="s">
        <v>497</v>
      </c>
      <c r="B522" s="159" t="s">
        <v>772</v>
      </c>
      <c r="C522" s="159" t="s">
        <v>410</v>
      </c>
      <c r="D522" s="159" t="s">
        <v>385</v>
      </c>
      <c r="E522" s="159" t="s">
        <v>528</v>
      </c>
      <c r="F522" s="159"/>
      <c r="G522" s="360">
        <f>G523</f>
        <v>500</v>
      </c>
      <c r="H522" s="360">
        <f>H523</f>
        <v>0</v>
      </c>
      <c r="I522" s="360">
        <f>I523</f>
        <v>0</v>
      </c>
      <c r="J522" s="170">
        <f>J523</f>
        <v>0</v>
      </c>
      <c r="K522" s="170" t="e">
        <f>K523</f>
        <v>#REF!</v>
      </c>
      <c r="L522" s="170">
        <f>L523+L525+L524</f>
        <v>45.74</v>
      </c>
      <c r="M522" s="170">
        <f>M523+M525+M524</f>
        <v>104.25999999999999</v>
      </c>
      <c r="N522" s="170">
        <f>N523+N525+N524</f>
        <v>150</v>
      </c>
      <c r="O522" s="170">
        <f>O523+O525+O524</f>
        <v>150</v>
      </c>
    </row>
    <row r="523" spans="1:15" ht="26.25" customHeight="1">
      <c r="A523" s="230" t="s">
        <v>493</v>
      </c>
      <c r="B523" s="159" t="s">
        <v>772</v>
      </c>
      <c r="C523" s="159" t="s">
        <v>410</v>
      </c>
      <c r="D523" s="159" t="s">
        <v>385</v>
      </c>
      <c r="E523" s="159" t="s">
        <v>528</v>
      </c>
      <c r="F523" s="159" t="s">
        <v>494</v>
      </c>
      <c r="G523" s="360">
        <f>G525</f>
        <v>500</v>
      </c>
      <c r="H523" s="360">
        <f>H525</f>
        <v>0</v>
      </c>
      <c r="I523" s="360">
        <f>I525</f>
        <v>0</v>
      </c>
      <c r="J523" s="170">
        <f>J525</f>
        <v>0</v>
      </c>
      <c r="K523" s="170" t="e">
        <f>K525</f>
        <v>#REF!</v>
      </c>
      <c r="L523" s="253">
        <v>45.74</v>
      </c>
      <c r="M523" s="170">
        <v>-45.74</v>
      </c>
      <c r="N523" s="170">
        <f>L523+M523</f>
        <v>0</v>
      </c>
      <c r="O523" s="170"/>
    </row>
    <row r="524" spans="1:15" ht="33" customHeight="1">
      <c r="A524" s="213" t="s">
        <v>980</v>
      </c>
      <c r="B524" s="159" t="s">
        <v>772</v>
      </c>
      <c r="C524" s="159" t="s">
        <v>410</v>
      </c>
      <c r="D524" s="159" t="s">
        <v>385</v>
      </c>
      <c r="E524" s="159" t="s">
        <v>528</v>
      </c>
      <c r="F524" s="159" t="s">
        <v>592</v>
      </c>
      <c r="G524" s="360"/>
      <c r="H524" s="360"/>
      <c r="I524" s="360"/>
      <c r="J524" s="170"/>
      <c r="K524" s="170"/>
      <c r="L524" s="253"/>
      <c r="M524" s="170">
        <v>50</v>
      </c>
      <c r="N524" s="170">
        <f>L524+M524</f>
        <v>50</v>
      </c>
      <c r="O524" s="170"/>
    </row>
    <row r="525" spans="1:15" ht="26.25" customHeight="1">
      <c r="A525" s="213" t="s">
        <v>577</v>
      </c>
      <c r="B525" s="159" t="s">
        <v>772</v>
      </c>
      <c r="C525" s="159" t="s">
        <v>410</v>
      </c>
      <c r="D525" s="159" t="s">
        <v>385</v>
      </c>
      <c r="E525" s="159" t="s">
        <v>528</v>
      </c>
      <c r="F525" s="159" t="s">
        <v>579</v>
      </c>
      <c r="G525" s="360">
        <v>500</v>
      </c>
      <c r="H525" s="357"/>
      <c r="I525" s="360"/>
      <c r="J525" s="170"/>
      <c r="K525" s="170" t="e">
        <f>#REF!+J525</f>
        <v>#REF!</v>
      </c>
      <c r="L525" s="253"/>
      <c r="M525" s="170">
        <v>100</v>
      </c>
      <c r="N525" s="170">
        <f>L525+M525</f>
        <v>100</v>
      </c>
      <c r="O525" s="170">
        <v>150</v>
      </c>
    </row>
    <row r="526" spans="1:15" s="232" customFormat="1" ht="14.25" customHeight="1">
      <c r="A526" s="231" t="s">
        <v>438</v>
      </c>
      <c r="B526" s="168" t="s">
        <v>772</v>
      </c>
      <c r="C526" s="168" t="s">
        <v>437</v>
      </c>
      <c r="D526" s="168" t="s">
        <v>641</v>
      </c>
      <c r="E526" s="168"/>
      <c r="F526" s="168"/>
      <c r="G526" s="348">
        <f aca="true" t="shared" si="113" ref="G526:O528">G527</f>
        <v>-786.5</v>
      </c>
      <c r="H526" s="348">
        <f t="shared" si="113"/>
        <v>0</v>
      </c>
      <c r="I526" s="348">
        <f t="shared" si="113"/>
        <v>0</v>
      </c>
      <c r="J526" s="161">
        <f t="shared" si="113"/>
        <v>0</v>
      </c>
      <c r="K526" s="161" t="e">
        <f t="shared" si="113"/>
        <v>#REF!</v>
      </c>
      <c r="L526" s="161">
        <f>L530+L543+L535+L527</f>
        <v>0</v>
      </c>
      <c r="M526" s="161">
        <f>M530+M543+M535+M527</f>
        <v>1668.17</v>
      </c>
      <c r="N526" s="161">
        <f>N530+N543+N535+N527</f>
        <v>1668.17</v>
      </c>
      <c r="O526" s="161">
        <f>O530+O543+O535+O527</f>
        <v>603</v>
      </c>
    </row>
    <row r="527" spans="1:15" ht="15" customHeight="1">
      <c r="A527" s="230" t="s">
        <v>440</v>
      </c>
      <c r="B527" s="168" t="s">
        <v>772</v>
      </c>
      <c r="C527" s="168" t="s">
        <v>437</v>
      </c>
      <c r="D527" s="168" t="s">
        <v>382</v>
      </c>
      <c r="E527" s="168"/>
      <c r="F527" s="168"/>
      <c r="G527" s="360">
        <f t="shared" si="113"/>
        <v>-786.5</v>
      </c>
      <c r="H527" s="360">
        <f t="shared" si="113"/>
        <v>0</v>
      </c>
      <c r="I527" s="360">
        <f t="shared" si="113"/>
        <v>0</v>
      </c>
      <c r="J527" s="170">
        <f t="shared" si="113"/>
        <v>0</v>
      </c>
      <c r="K527" s="170" t="e">
        <f t="shared" si="113"/>
        <v>#REF!</v>
      </c>
      <c r="L527" s="161">
        <f t="shared" si="113"/>
        <v>0</v>
      </c>
      <c r="M527" s="161">
        <f t="shared" si="113"/>
        <v>45</v>
      </c>
      <c r="N527" s="161">
        <f t="shared" si="113"/>
        <v>45</v>
      </c>
      <c r="O527" s="161">
        <f t="shared" si="113"/>
        <v>45</v>
      </c>
    </row>
    <row r="528" spans="1:15" ht="25.5" customHeight="1">
      <c r="A528" s="230" t="s">
        <v>705</v>
      </c>
      <c r="B528" s="159" t="s">
        <v>772</v>
      </c>
      <c r="C528" s="159" t="s">
        <v>437</v>
      </c>
      <c r="D528" s="159" t="s">
        <v>382</v>
      </c>
      <c r="E528" s="159" t="s">
        <v>706</v>
      </c>
      <c r="F528" s="159"/>
      <c r="G528" s="360">
        <f t="shared" si="113"/>
        <v>-786.5</v>
      </c>
      <c r="H528" s="360">
        <f t="shared" si="113"/>
        <v>0</v>
      </c>
      <c r="I528" s="360">
        <f t="shared" si="113"/>
        <v>0</v>
      </c>
      <c r="J528" s="170">
        <f t="shared" si="113"/>
        <v>0</v>
      </c>
      <c r="K528" s="170" t="e">
        <f t="shared" si="113"/>
        <v>#REF!</v>
      </c>
      <c r="L528" s="170">
        <f t="shared" si="113"/>
        <v>0</v>
      </c>
      <c r="M528" s="170">
        <f t="shared" si="113"/>
        <v>45</v>
      </c>
      <c r="N528" s="170">
        <f t="shared" si="113"/>
        <v>45</v>
      </c>
      <c r="O528" s="170">
        <f t="shared" si="113"/>
        <v>45</v>
      </c>
    </row>
    <row r="529" spans="1:15" ht="25.5">
      <c r="A529" s="213" t="s">
        <v>864</v>
      </c>
      <c r="B529" s="159" t="s">
        <v>772</v>
      </c>
      <c r="C529" s="159" t="s">
        <v>437</v>
      </c>
      <c r="D529" s="159" t="s">
        <v>382</v>
      </c>
      <c r="E529" s="159" t="s">
        <v>706</v>
      </c>
      <c r="F529" s="159" t="s">
        <v>865</v>
      </c>
      <c r="G529" s="360">
        <v>-786.5</v>
      </c>
      <c r="H529" s="357"/>
      <c r="I529" s="360"/>
      <c r="J529" s="170"/>
      <c r="K529" s="170" t="e">
        <f>#REF!+J529</f>
        <v>#REF!</v>
      </c>
      <c r="L529" s="170"/>
      <c r="M529" s="170">
        <v>45</v>
      </c>
      <c r="N529" s="170">
        <f>L529+M529</f>
        <v>45</v>
      </c>
      <c r="O529" s="170">
        <v>45</v>
      </c>
    </row>
    <row r="530" spans="1:15" s="232" customFormat="1" ht="14.25">
      <c r="A530" s="269" t="s">
        <v>441</v>
      </c>
      <c r="B530" s="168" t="s">
        <v>772</v>
      </c>
      <c r="C530" s="168" t="s">
        <v>437</v>
      </c>
      <c r="D530" s="168" t="s">
        <v>383</v>
      </c>
      <c r="E530" s="168"/>
      <c r="F530" s="168"/>
      <c r="G530" s="348">
        <f aca="true" t="shared" si="114" ref="G530:O530">G531</f>
        <v>-2222</v>
      </c>
      <c r="H530" s="348">
        <f t="shared" si="114"/>
        <v>0</v>
      </c>
      <c r="I530" s="348">
        <f t="shared" si="114"/>
        <v>0</v>
      </c>
      <c r="J530" s="161">
        <f t="shared" si="114"/>
        <v>0</v>
      </c>
      <c r="K530" s="161" t="e">
        <f t="shared" si="114"/>
        <v>#REF!</v>
      </c>
      <c r="L530" s="161">
        <f t="shared" si="114"/>
        <v>0</v>
      </c>
      <c r="M530" s="161">
        <f t="shared" si="114"/>
        <v>363.57</v>
      </c>
      <c r="N530" s="161">
        <f t="shared" si="114"/>
        <v>363.57</v>
      </c>
      <c r="O530" s="161">
        <f t="shared" si="114"/>
        <v>0</v>
      </c>
    </row>
    <row r="531" spans="1:15" ht="26.25">
      <c r="A531" s="179" t="s">
        <v>497</v>
      </c>
      <c r="B531" s="159" t="s">
        <v>772</v>
      </c>
      <c r="C531" s="159" t="s">
        <v>437</v>
      </c>
      <c r="D531" s="159" t="s">
        <v>383</v>
      </c>
      <c r="E531" s="159" t="s">
        <v>713</v>
      </c>
      <c r="F531" s="159"/>
      <c r="G531" s="360">
        <f>G532+G533</f>
        <v>-2222</v>
      </c>
      <c r="H531" s="360">
        <f>H532+H533</f>
        <v>0</v>
      </c>
      <c r="I531" s="360">
        <f>I532+I533</f>
        <v>0</v>
      </c>
      <c r="J531" s="170">
        <f>J532+J533</f>
        <v>0</v>
      </c>
      <c r="K531" s="170" t="e">
        <f>K532+K533</f>
        <v>#REF!</v>
      </c>
      <c r="L531" s="170">
        <f>L532+L533+L534</f>
        <v>0</v>
      </c>
      <c r="M531" s="170">
        <f>M532+M533+M534</f>
        <v>363.57</v>
      </c>
      <c r="N531" s="170">
        <f>N532+N533+N534</f>
        <v>363.57</v>
      </c>
      <c r="O531" s="170">
        <f>O532+O533+O534</f>
        <v>0</v>
      </c>
    </row>
    <row r="532" spans="1:15" ht="26.25">
      <c r="A532" s="179" t="s">
        <v>493</v>
      </c>
      <c r="B532" s="159" t="s">
        <v>772</v>
      </c>
      <c r="C532" s="159" t="s">
        <v>437</v>
      </c>
      <c r="D532" s="159" t="s">
        <v>383</v>
      </c>
      <c r="E532" s="159" t="s">
        <v>713</v>
      </c>
      <c r="F532" s="159" t="s">
        <v>585</v>
      </c>
      <c r="G532" s="360">
        <v>-2000</v>
      </c>
      <c r="H532" s="357"/>
      <c r="I532" s="360"/>
      <c r="J532" s="170"/>
      <c r="K532" s="170" t="e">
        <f>#REF!+J532</f>
        <v>#REF!</v>
      </c>
      <c r="L532" s="253"/>
      <c r="M532" s="170">
        <v>155.16</v>
      </c>
      <c r="N532" s="170">
        <f>L532+M532</f>
        <v>155.16</v>
      </c>
      <c r="O532" s="170"/>
    </row>
    <row r="533" spans="1:15" ht="38.25">
      <c r="A533" s="213" t="s">
        <v>587</v>
      </c>
      <c r="B533" s="159" t="s">
        <v>772</v>
      </c>
      <c r="C533" s="159" t="s">
        <v>437</v>
      </c>
      <c r="D533" s="159" t="s">
        <v>383</v>
      </c>
      <c r="E533" s="159" t="s">
        <v>713</v>
      </c>
      <c r="F533" s="159" t="s">
        <v>588</v>
      </c>
      <c r="G533" s="360">
        <v>-222</v>
      </c>
      <c r="H533" s="357"/>
      <c r="I533" s="360"/>
      <c r="J533" s="170"/>
      <c r="K533" s="170" t="e">
        <f>#REF!+J533</f>
        <v>#REF!</v>
      </c>
      <c r="L533" s="253"/>
      <c r="M533" s="170">
        <v>1</v>
      </c>
      <c r="N533" s="170">
        <f>L533+M533</f>
        <v>1</v>
      </c>
      <c r="O533" s="170"/>
    </row>
    <row r="534" spans="1:15" ht="38.25">
      <c r="A534" s="213" t="s">
        <v>577</v>
      </c>
      <c r="B534" s="159" t="s">
        <v>772</v>
      </c>
      <c r="C534" s="159" t="s">
        <v>437</v>
      </c>
      <c r="D534" s="159" t="s">
        <v>383</v>
      </c>
      <c r="E534" s="159" t="s">
        <v>713</v>
      </c>
      <c r="F534" s="159" t="s">
        <v>579</v>
      </c>
      <c r="G534" s="360"/>
      <c r="H534" s="357"/>
      <c r="I534" s="360"/>
      <c r="J534" s="170"/>
      <c r="K534" s="170"/>
      <c r="L534" s="253"/>
      <c r="M534" s="170">
        <v>207.41</v>
      </c>
      <c r="N534" s="170">
        <f>L534+M534</f>
        <v>207.41</v>
      </c>
      <c r="O534" s="170"/>
    </row>
    <row r="535" spans="1:15" ht="15" customHeight="1">
      <c r="A535" s="231" t="s">
        <v>599</v>
      </c>
      <c r="B535" s="168" t="s">
        <v>772</v>
      </c>
      <c r="C535" s="168" t="s">
        <v>437</v>
      </c>
      <c r="D535" s="168" t="s">
        <v>384</v>
      </c>
      <c r="E535" s="168"/>
      <c r="F535" s="159"/>
      <c r="G535" s="360"/>
      <c r="H535" s="357"/>
      <c r="I535" s="360"/>
      <c r="J535" s="170"/>
      <c r="K535" s="170"/>
      <c r="L535" s="170">
        <f>L536</f>
        <v>0</v>
      </c>
      <c r="M535" s="170">
        <f>M536+M541</f>
        <v>1066</v>
      </c>
      <c r="N535" s="170">
        <f>N536+N541</f>
        <v>1066</v>
      </c>
      <c r="O535" s="170">
        <f>O536+O541</f>
        <v>558</v>
      </c>
    </row>
    <row r="536" spans="1:15" s="252" customFormat="1" ht="14.25">
      <c r="A536" s="179" t="s">
        <v>714</v>
      </c>
      <c r="B536" s="159" t="s">
        <v>772</v>
      </c>
      <c r="C536" s="159" t="s">
        <v>437</v>
      </c>
      <c r="D536" s="159" t="s">
        <v>384</v>
      </c>
      <c r="E536" s="159" t="s">
        <v>715</v>
      </c>
      <c r="F536" s="159"/>
      <c r="G536" s="359" t="e">
        <f>#REF!+#REF!+#REF!</f>
        <v>#REF!</v>
      </c>
      <c r="H536" s="374" t="e">
        <f>#REF!+#REF!+H539</f>
        <v>#REF!</v>
      </c>
      <c r="I536" s="374" t="e">
        <f>#REF!+#REF!+I539</f>
        <v>#REF!</v>
      </c>
      <c r="J536" s="355" t="e">
        <f>J539+J543+#REF!+#REF!+#REF!</f>
        <v>#REF!</v>
      </c>
      <c r="K536" s="355" t="e">
        <f>K539+K543+#REF!+#REF!+#REF!</f>
        <v>#REF!</v>
      </c>
      <c r="L536" s="170">
        <f>L539+L537</f>
        <v>0</v>
      </c>
      <c r="M536" s="170">
        <f>M539+M537</f>
        <v>966</v>
      </c>
      <c r="N536" s="170">
        <f>N539+N537</f>
        <v>966</v>
      </c>
      <c r="O536" s="170">
        <f>O539+O537</f>
        <v>558</v>
      </c>
    </row>
    <row r="537" spans="1:15" s="252" customFormat="1" ht="78.75">
      <c r="A537" s="466" t="s">
        <v>990</v>
      </c>
      <c r="B537" s="159" t="s">
        <v>772</v>
      </c>
      <c r="C537" s="159" t="s">
        <v>437</v>
      </c>
      <c r="D537" s="159" t="s">
        <v>384</v>
      </c>
      <c r="E537" s="159" t="s">
        <v>732</v>
      </c>
      <c r="F537" s="159"/>
      <c r="G537" s="177"/>
      <c r="H537" s="169"/>
      <c r="I537" s="177"/>
      <c r="J537" s="425">
        <f aca="true" t="shared" si="115" ref="J537:O537">J538</f>
        <v>0</v>
      </c>
      <c r="K537" s="425">
        <f t="shared" si="115"/>
        <v>558</v>
      </c>
      <c r="L537" s="170">
        <f t="shared" si="115"/>
        <v>0</v>
      </c>
      <c r="M537" s="170">
        <f t="shared" si="115"/>
        <v>558</v>
      </c>
      <c r="N537" s="170">
        <f t="shared" si="115"/>
        <v>558</v>
      </c>
      <c r="O537" s="170">
        <f t="shared" si="115"/>
        <v>558</v>
      </c>
    </row>
    <row r="538" spans="1:15" s="252" customFormat="1" ht="38.25">
      <c r="A538" s="179" t="s">
        <v>607</v>
      </c>
      <c r="B538" s="159" t="s">
        <v>772</v>
      </c>
      <c r="C538" s="159" t="s">
        <v>437</v>
      </c>
      <c r="D538" s="159" t="s">
        <v>384</v>
      </c>
      <c r="E538" s="159" t="s">
        <v>732</v>
      </c>
      <c r="F538" s="159" t="s">
        <v>608</v>
      </c>
      <c r="G538" s="177"/>
      <c r="H538" s="169"/>
      <c r="I538" s="177"/>
      <c r="J538" s="425"/>
      <c r="K538" s="425">
        <v>558</v>
      </c>
      <c r="L538" s="170"/>
      <c r="M538" s="170">
        <v>558</v>
      </c>
      <c r="N538" s="170">
        <f>L538+M538</f>
        <v>558</v>
      </c>
      <c r="O538" s="170">
        <v>558</v>
      </c>
    </row>
    <row r="539" spans="1:15" ht="15" customHeight="1">
      <c r="A539" s="230" t="s">
        <v>755</v>
      </c>
      <c r="B539" s="159" t="s">
        <v>772</v>
      </c>
      <c r="C539" s="159" t="s">
        <v>437</v>
      </c>
      <c r="D539" s="159" t="s">
        <v>384</v>
      </c>
      <c r="E539" s="159" t="s">
        <v>756</v>
      </c>
      <c r="F539" s="159"/>
      <c r="G539" s="392"/>
      <c r="H539" s="392">
        <f>H540</f>
        <v>667</v>
      </c>
      <c r="I539" s="392">
        <f aca="true" t="shared" si="116" ref="I539:K541">I540</f>
        <v>0</v>
      </c>
      <c r="J539" s="161">
        <f t="shared" si="116"/>
        <v>0</v>
      </c>
      <c r="K539" s="161" t="e">
        <f t="shared" si="116"/>
        <v>#REF!</v>
      </c>
      <c r="L539" s="170">
        <f>L540</f>
        <v>0</v>
      </c>
      <c r="M539" s="170">
        <f>M540</f>
        <v>408</v>
      </c>
      <c r="N539" s="170">
        <f>N540</f>
        <v>408</v>
      </c>
      <c r="O539" s="170">
        <f>O540</f>
        <v>0</v>
      </c>
    </row>
    <row r="540" spans="1:15" ht="38.25">
      <c r="A540" s="213" t="s">
        <v>577</v>
      </c>
      <c r="B540" s="159" t="s">
        <v>772</v>
      </c>
      <c r="C540" s="159" t="s">
        <v>437</v>
      </c>
      <c r="D540" s="159" t="s">
        <v>384</v>
      </c>
      <c r="E540" s="159" t="s">
        <v>756</v>
      </c>
      <c r="F540" s="159" t="s">
        <v>614</v>
      </c>
      <c r="G540" s="384"/>
      <c r="H540" s="384">
        <f>H541</f>
        <v>667</v>
      </c>
      <c r="I540" s="384">
        <f t="shared" si="116"/>
        <v>0</v>
      </c>
      <c r="J540" s="170">
        <f t="shared" si="116"/>
        <v>0</v>
      </c>
      <c r="K540" s="170" t="e">
        <f t="shared" si="116"/>
        <v>#REF!</v>
      </c>
      <c r="L540" s="253"/>
      <c r="M540" s="170">
        <v>408</v>
      </c>
      <c r="N540" s="170">
        <f>L540+M540</f>
        <v>408</v>
      </c>
      <c r="O540" s="170"/>
    </row>
    <row r="541" spans="1:15" ht="39">
      <c r="A541" s="230" t="s">
        <v>866</v>
      </c>
      <c r="B541" s="159" t="s">
        <v>772</v>
      </c>
      <c r="C541" s="159" t="s">
        <v>437</v>
      </c>
      <c r="D541" s="159" t="s">
        <v>384</v>
      </c>
      <c r="E541" s="159" t="s">
        <v>867</v>
      </c>
      <c r="F541" s="159"/>
      <c r="G541" s="384"/>
      <c r="H541" s="384">
        <f>H542</f>
        <v>667</v>
      </c>
      <c r="I541" s="384">
        <f t="shared" si="116"/>
        <v>0</v>
      </c>
      <c r="J541" s="170">
        <f t="shared" si="116"/>
        <v>0</v>
      </c>
      <c r="K541" s="170" t="e">
        <f t="shared" si="116"/>
        <v>#REF!</v>
      </c>
      <c r="L541" s="170">
        <f>L542</f>
        <v>0</v>
      </c>
      <c r="M541" s="170">
        <f>M542</f>
        <v>100</v>
      </c>
      <c r="N541" s="170">
        <f>N542</f>
        <v>100</v>
      </c>
      <c r="O541" s="170">
        <f>O542</f>
        <v>0</v>
      </c>
    </row>
    <row r="542" spans="1:15" ht="24.75" customHeight="1">
      <c r="A542" s="230" t="s">
        <v>868</v>
      </c>
      <c r="B542" s="159" t="s">
        <v>772</v>
      </c>
      <c r="C542" s="159" t="s">
        <v>437</v>
      </c>
      <c r="D542" s="159" t="s">
        <v>384</v>
      </c>
      <c r="E542" s="159" t="s">
        <v>867</v>
      </c>
      <c r="F542" s="159" t="s">
        <v>869</v>
      </c>
      <c r="G542" s="384"/>
      <c r="H542" s="384">
        <v>667</v>
      </c>
      <c r="I542" s="384"/>
      <c r="J542" s="361"/>
      <c r="K542" s="170" t="e">
        <f>#REF!+J542</f>
        <v>#REF!</v>
      </c>
      <c r="L542" s="253"/>
      <c r="M542" s="170">
        <v>100</v>
      </c>
      <c r="N542" s="170">
        <f>L542+M542</f>
        <v>100</v>
      </c>
      <c r="O542" s="170"/>
    </row>
    <row r="543" spans="1:15" ht="26.25">
      <c r="A543" s="272" t="s">
        <v>444</v>
      </c>
      <c r="B543" s="168" t="s">
        <v>772</v>
      </c>
      <c r="C543" s="168" t="s">
        <v>437</v>
      </c>
      <c r="D543" s="168" t="s">
        <v>388</v>
      </c>
      <c r="E543" s="168"/>
      <c r="F543" s="168"/>
      <c r="G543" s="384"/>
      <c r="H543" s="384"/>
      <c r="I543" s="384"/>
      <c r="J543" s="170">
        <f>J547+J551+J556</f>
        <v>0</v>
      </c>
      <c r="K543" s="170" t="e">
        <f>K547+K551+K556</f>
        <v>#REF!</v>
      </c>
      <c r="L543" s="170">
        <f>L544+L547</f>
        <v>0</v>
      </c>
      <c r="M543" s="170">
        <f>M544+M547</f>
        <v>193.6</v>
      </c>
      <c r="N543" s="170">
        <f>N544+N547</f>
        <v>193.6</v>
      </c>
      <c r="O543" s="170">
        <f>O544+O547</f>
        <v>0</v>
      </c>
    </row>
    <row r="544" spans="1:15" ht="26.25">
      <c r="A544" s="230" t="s">
        <v>759</v>
      </c>
      <c r="B544" s="159" t="s">
        <v>772</v>
      </c>
      <c r="C544" s="159" t="s">
        <v>437</v>
      </c>
      <c r="D544" s="159" t="s">
        <v>388</v>
      </c>
      <c r="E544" s="159" t="s">
        <v>543</v>
      </c>
      <c r="F544" s="159"/>
      <c r="G544" s="384"/>
      <c r="H544" s="384"/>
      <c r="I544" s="384"/>
      <c r="J544" s="170"/>
      <c r="K544" s="170"/>
      <c r="L544" s="170">
        <f aca="true" t="shared" si="117" ref="L544:O545">L545</f>
        <v>0</v>
      </c>
      <c r="M544" s="170">
        <f t="shared" si="117"/>
        <v>173.6</v>
      </c>
      <c r="N544" s="170">
        <f t="shared" si="117"/>
        <v>173.6</v>
      </c>
      <c r="O544" s="170">
        <f t="shared" si="117"/>
        <v>0</v>
      </c>
    </row>
    <row r="545" spans="1:15" ht="15">
      <c r="A545" s="230" t="s">
        <v>544</v>
      </c>
      <c r="B545" s="159" t="s">
        <v>772</v>
      </c>
      <c r="C545" s="159" t="s">
        <v>437</v>
      </c>
      <c r="D545" s="159" t="s">
        <v>388</v>
      </c>
      <c r="E545" s="159" t="s">
        <v>545</v>
      </c>
      <c r="F545" s="159"/>
      <c r="G545" s="384"/>
      <c r="H545" s="384"/>
      <c r="I545" s="384"/>
      <c r="J545" s="170"/>
      <c r="K545" s="170"/>
      <c r="L545" s="170">
        <f t="shared" si="117"/>
        <v>0</v>
      </c>
      <c r="M545" s="170">
        <f t="shared" si="117"/>
        <v>173.6</v>
      </c>
      <c r="N545" s="170">
        <f t="shared" si="117"/>
        <v>173.6</v>
      </c>
      <c r="O545" s="170">
        <f t="shared" si="117"/>
        <v>0</v>
      </c>
    </row>
    <row r="546" spans="1:15" ht="26.25">
      <c r="A546" s="230" t="s">
        <v>493</v>
      </c>
      <c r="B546" s="159" t="s">
        <v>772</v>
      </c>
      <c r="C546" s="159" t="s">
        <v>437</v>
      </c>
      <c r="D546" s="159" t="s">
        <v>388</v>
      </c>
      <c r="E546" s="159" t="s">
        <v>545</v>
      </c>
      <c r="F546" s="159" t="s">
        <v>585</v>
      </c>
      <c r="G546" s="384"/>
      <c r="H546" s="384"/>
      <c r="I546" s="384"/>
      <c r="J546" s="170"/>
      <c r="K546" s="170"/>
      <c r="L546" s="253"/>
      <c r="M546" s="170">
        <v>173.6</v>
      </c>
      <c r="N546" s="170">
        <f>SUM(L546:M546)</f>
        <v>173.6</v>
      </c>
      <c r="O546" s="170"/>
    </row>
    <row r="547" spans="1:15" ht="15">
      <c r="A547" s="230" t="s">
        <v>835</v>
      </c>
      <c r="B547" s="159" t="s">
        <v>772</v>
      </c>
      <c r="C547" s="159" t="s">
        <v>437</v>
      </c>
      <c r="D547" s="159" t="s">
        <v>388</v>
      </c>
      <c r="E547" s="159" t="s">
        <v>761</v>
      </c>
      <c r="F547" s="159"/>
      <c r="G547" s="384"/>
      <c r="H547" s="384"/>
      <c r="I547" s="384"/>
      <c r="J547" s="170">
        <f>J548+J549</f>
        <v>0</v>
      </c>
      <c r="K547" s="170" t="e">
        <f>K548+K549</f>
        <v>#REF!</v>
      </c>
      <c r="L547" s="170">
        <f>L548+L550</f>
        <v>0</v>
      </c>
      <c r="M547" s="170">
        <f>M548+M550</f>
        <v>20</v>
      </c>
      <c r="N547" s="170">
        <f>N548+N550</f>
        <v>20</v>
      </c>
      <c r="O547" s="170">
        <f>O548+O550</f>
        <v>0</v>
      </c>
    </row>
    <row r="548" spans="1:15" ht="39">
      <c r="A548" s="173" t="s">
        <v>762</v>
      </c>
      <c r="B548" s="159" t="s">
        <v>772</v>
      </c>
      <c r="C548" s="159" t="s">
        <v>437</v>
      </c>
      <c r="D548" s="159" t="s">
        <v>388</v>
      </c>
      <c r="E548" s="159" t="s">
        <v>763</v>
      </c>
      <c r="F548" s="159"/>
      <c r="G548" s="384"/>
      <c r="H548" s="384"/>
      <c r="I548" s="384"/>
      <c r="J548" s="361"/>
      <c r="K548" s="170" t="e">
        <f>#REF!+J548</f>
        <v>#REF!</v>
      </c>
      <c r="L548" s="170">
        <f>L549</f>
        <v>0</v>
      </c>
      <c r="M548" s="170">
        <f>M549</f>
        <v>10</v>
      </c>
      <c r="N548" s="170">
        <f>N549</f>
        <v>10</v>
      </c>
      <c r="O548" s="170">
        <f>O549</f>
        <v>0</v>
      </c>
    </row>
    <row r="549" spans="1:15" ht="28.5" customHeight="1">
      <c r="A549" s="213" t="s">
        <v>577</v>
      </c>
      <c r="B549" s="159" t="s">
        <v>772</v>
      </c>
      <c r="C549" s="159" t="s">
        <v>437</v>
      </c>
      <c r="D549" s="159" t="s">
        <v>388</v>
      </c>
      <c r="E549" s="159" t="s">
        <v>763</v>
      </c>
      <c r="F549" s="159" t="s">
        <v>579</v>
      </c>
      <c r="G549" s="384"/>
      <c r="H549" s="384"/>
      <c r="I549" s="384"/>
      <c r="J549" s="361"/>
      <c r="K549" s="170" t="e">
        <f>#REF!+J549</f>
        <v>#REF!</v>
      </c>
      <c r="L549" s="170"/>
      <c r="M549" s="170">
        <v>10</v>
      </c>
      <c r="N549" s="170">
        <f>L549+M549</f>
        <v>10</v>
      </c>
      <c r="O549" s="170"/>
    </row>
    <row r="550" spans="1:15" ht="28.5" customHeight="1">
      <c r="A550" s="230" t="s">
        <v>765</v>
      </c>
      <c r="B550" s="159" t="s">
        <v>772</v>
      </c>
      <c r="C550" s="159" t="s">
        <v>437</v>
      </c>
      <c r="D550" s="159" t="s">
        <v>388</v>
      </c>
      <c r="E550" s="159" t="s">
        <v>766</v>
      </c>
      <c r="F550" s="159"/>
      <c r="G550" s="384"/>
      <c r="H550" s="384"/>
      <c r="I550" s="384"/>
      <c r="J550" s="361"/>
      <c r="K550" s="170"/>
      <c r="L550" s="170">
        <f>L551</f>
        <v>0</v>
      </c>
      <c r="M550" s="170">
        <f>M551</f>
        <v>10</v>
      </c>
      <c r="N550" s="170">
        <f>N551</f>
        <v>10</v>
      </c>
      <c r="O550" s="170">
        <f>O551</f>
        <v>0</v>
      </c>
    </row>
    <row r="551" spans="1:15" ht="26.25" customHeight="1">
      <c r="A551" s="213" t="s">
        <v>577</v>
      </c>
      <c r="B551" s="159" t="s">
        <v>772</v>
      </c>
      <c r="C551" s="159" t="s">
        <v>437</v>
      </c>
      <c r="D551" s="159" t="s">
        <v>388</v>
      </c>
      <c r="E551" s="159" t="s">
        <v>766</v>
      </c>
      <c r="F551" s="159" t="s">
        <v>579</v>
      </c>
      <c r="G551" s="366">
        <f aca="true" t="shared" si="118" ref="G551:K552">G552</f>
        <v>52.672</v>
      </c>
      <c r="H551" s="366">
        <f t="shared" si="118"/>
        <v>778</v>
      </c>
      <c r="I551" s="366">
        <f t="shared" si="118"/>
        <v>0</v>
      </c>
      <c r="J551" s="170">
        <f t="shared" si="118"/>
        <v>0</v>
      </c>
      <c r="K551" s="170" t="e">
        <f t="shared" si="118"/>
        <v>#REF!</v>
      </c>
      <c r="L551" s="170"/>
      <c r="M551" s="170">
        <v>10</v>
      </c>
      <c r="N551" s="170">
        <f>L551+M551</f>
        <v>10</v>
      </c>
      <c r="O551" s="170"/>
    </row>
    <row r="552" spans="1:15" ht="15">
      <c r="A552" s="229" t="s">
        <v>447</v>
      </c>
      <c r="B552" s="168" t="s">
        <v>772</v>
      </c>
      <c r="C552" s="168" t="s">
        <v>393</v>
      </c>
      <c r="D552" s="168"/>
      <c r="E552" s="168"/>
      <c r="F552" s="168"/>
      <c r="G552" s="366">
        <f t="shared" si="118"/>
        <v>52.672</v>
      </c>
      <c r="H552" s="366">
        <f t="shared" si="118"/>
        <v>778</v>
      </c>
      <c r="I552" s="366">
        <f t="shared" si="118"/>
        <v>0</v>
      </c>
      <c r="J552" s="170">
        <f t="shared" si="118"/>
        <v>0</v>
      </c>
      <c r="K552" s="170" t="e">
        <f t="shared" si="118"/>
        <v>#REF!</v>
      </c>
      <c r="L552" s="251">
        <f>L553</f>
        <v>900</v>
      </c>
      <c r="M552" s="161">
        <f>M553</f>
        <v>3.6000000000000227</v>
      </c>
      <c r="N552" s="161">
        <f>N553</f>
        <v>903.6</v>
      </c>
      <c r="O552" s="161">
        <f>O553</f>
        <v>903.6</v>
      </c>
    </row>
    <row r="553" spans="1:15" ht="15">
      <c r="A553" s="229" t="s">
        <v>427</v>
      </c>
      <c r="B553" s="168" t="s">
        <v>772</v>
      </c>
      <c r="C553" s="168" t="s">
        <v>393</v>
      </c>
      <c r="D553" s="168" t="s">
        <v>383</v>
      </c>
      <c r="E553" s="168"/>
      <c r="F553" s="168"/>
      <c r="G553" s="366">
        <f>52.672</f>
        <v>52.672</v>
      </c>
      <c r="H553" s="357">
        <v>778</v>
      </c>
      <c r="I553" s="366"/>
      <c r="J553" s="170"/>
      <c r="K553" s="170" t="e">
        <f>#REF!+J553</f>
        <v>#REF!</v>
      </c>
      <c r="L553" s="251">
        <f aca="true" t="shared" si="119" ref="L553:O554">L554</f>
        <v>900</v>
      </c>
      <c r="M553" s="161">
        <f t="shared" si="119"/>
        <v>3.6000000000000227</v>
      </c>
      <c r="N553" s="161">
        <f t="shared" si="119"/>
        <v>903.6</v>
      </c>
      <c r="O553" s="161">
        <f t="shared" si="119"/>
        <v>903.6</v>
      </c>
    </row>
    <row r="554" spans="1:15" ht="39">
      <c r="A554" s="230" t="s">
        <v>857</v>
      </c>
      <c r="B554" s="159" t="s">
        <v>772</v>
      </c>
      <c r="C554" s="159" t="s">
        <v>393</v>
      </c>
      <c r="D554" s="159" t="s">
        <v>383</v>
      </c>
      <c r="E554" s="159" t="s">
        <v>858</v>
      </c>
      <c r="F554" s="159"/>
      <c r="G554" s="366"/>
      <c r="H554" s="357"/>
      <c r="I554" s="366"/>
      <c r="J554" s="170"/>
      <c r="K554" s="170"/>
      <c r="L554" s="170">
        <f t="shared" si="119"/>
        <v>900</v>
      </c>
      <c r="M554" s="170">
        <f t="shared" si="119"/>
        <v>3.6000000000000227</v>
      </c>
      <c r="N554" s="170">
        <f t="shared" si="119"/>
        <v>903.6</v>
      </c>
      <c r="O554" s="170">
        <f t="shared" si="119"/>
        <v>903.6</v>
      </c>
    </row>
    <row r="555" spans="1:15" ht="39">
      <c r="A555" s="230" t="s">
        <v>859</v>
      </c>
      <c r="B555" s="159" t="s">
        <v>772</v>
      </c>
      <c r="C555" s="159" t="s">
        <v>393</v>
      </c>
      <c r="D555" s="159" t="s">
        <v>383</v>
      </c>
      <c r="E555" s="159" t="s">
        <v>860</v>
      </c>
      <c r="F555" s="159"/>
      <c r="G555" s="366"/>
      <c r="H555" s="357"/>
      <c r="I555" s="366"/>
      <c r="J555" s="170"/>
      <c r="K555" s="170"/>
      <c r="L555" s="170">
        <f>L556+L557</f>
        <v>900</v>
      </c>
      <c r="M555" s="170">
        <f>M556+M557</f>
        <v>3.6000000000000227</v>
      </c>
      <c r="N555" s="170">
        <f>N556+N557</f>
        <v>903.6</v>
      </c>
      <c r="O555" s="170">
        <f>O556+O557</f>
        <v>903.6</v>
      </c>
    </row>
    <row r="556" spans="1:15" ht="15">
      <c r="A556" s="230" t="s">
        <v>652</v>
      </c>
      <c r="B556" s="159" t="s">
        <v>772</v>
      </c>
      <c r="C556" s="159" t="s">
        <v>393</v>
      </c>
      <c r="D556" s="159" t="s">
        <v>383</v>
      </c>
      <c r="E556" s="159" t="s">
        <v>860</v>
      </c>
      <c r="F556" s="159" t="s">
        <v>653</v>
      </c>
      <c r="G556" s="360">
        <f>G557</f>
        <v>200</v>
      </c>
      <c r="H556" s="360">
        <f>H557</f>
        <v>0</v>
      </c>
      <c r="I556" s="360">
        <f>I557</f>
        <v>0</v>
      </c>
      <c r="J556" s="170">
        <f>J557</f>
        <v>0</v>
      </c>
      <c r="K556" s="170" t="e">
        <f>K557</f>
        <v>#REF!</v>
      </c>
      <c r="L556" s="253">
        <v>900</v>
      </c>
      <c r="M556" s="170">
        <v>-900</v>
      </c>
      <c r="N556" s="170">
        <f>L556+M556</f>
        <v>0</v>
      </c>
      <c r="O556" s="170"/>
    </row>
    <row r="557" spans="1:15" ht="15">
      <c r="A557" s="230" t="s">
        <v>851</v>
      </c>
      <c r="B557" s="159" t="s">
        <v>772</v>
      </c>
      <c r="C557" s="159" t="s">
        <v>393</v>
      </c>
      <c r="D557" s="159" t="s">
        <v>383</v>
      </c>
      <c r="E557" s="159" t="s">
        <v>860</v>
      </c>
      <c r="F557" s="159" t="s">
        <v>852</v>
      </c>
      <c r="G557" s="360">
        <v>200</v>
      </c>
      <c r="H557" s="357"/>
      <c r="I557" s="360"/>
      <c r="J557" s="170"/>
      <c r="K557" s="170" t="e">
        <f>#REF!+J557</f>
        <v>#REF!</v>
      </c>
      <c r="L557" s="253"/>
      <c r="M557" s="170">
        <v>903.6</v>
      </c>
      <c r="N557" s="170">
        <f>L557+M557</f>
        <v>903.6</v>
      </c>
      <c r="O557" s="170">
        <v>903.6</v>
      </c>
    </row>
    <row r="558" spans="1:16" ht="15">
      <c r="A558" s="167" t="s">
        <v>870</v>
      </c>
      <c r="B558" s="168" t="s">
        <v>657</v>
      </c>
      <c r="C558" s="168"/>
      <c r="D558" s="168"/>
      <c r="E558" s="168"/>
      <c r="F558" s="168"/>
      <c r="G558" s="373">
        <f>G559+G576</f>
        <v>166.57999999999998</v>
      </c>
      <c r="H558" s="373" t="e">
        <f>H559+H576+#REF!</f>
        <v>#REF!</v>
      </c>
      <c r="I558" s="373" t="e">
        <f>I559+I576+#REF!</f>
        <v>#REF!</v>
      </c>
      <c r="J558" s="353" t="e">
        <f>J559+J576+#REF!+J565</f>
        <v>#REF!</v>
      </c>
      <c r="K558" s="353" t="e">
        <f>K559+K576+#REF!+K565</f>
        <v>#REF!</v>
      </c>
      <c r="L558" s="161">
        <f>L559+L565+L574+L604</f>
        <v>7386.110000000001</v>
      </c>
      <c r="M558" s="161">
        <f>M559+M565+M574+M604</f>
        <v>1216.7599999999993</v>
      </c>
      <c r="N558" s="161">
        <f>N559+N565+N574+N604</f>
        <v>8602.869999999999</v>
      </c>
      <c r="O558" s="161">
        <f>O559+O565+O574+O604</f>
        <v>8393.55</v>
      </c>
      <c r="P558" s="215"/>
    </row>
    <row r="559" spans="1:15" s="252" customFormat="1" ht="14.25">
      <c r="A559" s="229" t="s">
        <v>380</v>
      </c>
      <c r="B559" s="168" t="s">
        <v>657</v>
      </c>
      <c r="C559" s="168" t="s">
        <v>382</v>
      </c>
      <c r="D559" s="168"/>
      <c r="E559" s="168"/>
      <c r="F559" s="168"/>
      <c r="G559" s="359">
        <f aca="true" t="shared" si="120" ref="G559:O562">G560</f>
        <v>0</v>
      </c>
      <c r="H559" s="359">
        <f t="shared" si="120"/>
        <v>774.87</v>
      </c>
      <c r="I559" s="359">
        <f t="shared" si="120"/>
        <v>0</v>
      </c>
      <c r="J559" s="355">
        <f t="shared" si="120"/>
        <v>-78.244</v>
      </c>
      <c r="K559" s="355" t="e">
        <f t="shared" si="120"/>
        <v>#REF!</v>
      </c>
      <c r="L559" s="161">
        <f t="shared" si="120"/>
        <v>774.97</v>
      </c>
      <c r="M559" s="161">
        <f t="shared" si="120"/>
        <v>30.029999999999973</v>
      </c>
      <c r="N559" s="161">
        <f t="shared" si="120"/>
        <v>805</v>
      </c>
      <c r="O559" s="161">
        <f t="shared" si="120"/>
        <v>805</v>
      </c>
    </row>
    <row r="560" spans="1:15" s="232" customFormat="1" ht="63.75">
      <c r="A560" s="230" t="s">
        <v>623</v>
      </c>
      <c r="B560" s="168" t="s">
        <v>657</v>
      </c>
      <c r="C560" s="168" t="s">
        <v>382</v>
      </c>
      <c r="D560" s="168" t="s">
        <v>385</v>
      </c>
      <c r="E560" s="168"/>
      <c r="F560" s="168"/>
      <c r="G560" s="348">
        <f t="shared" si="120"/>
        <v>0</v>
      </c>
      <c r="H560" s="348">
        <f t="shared" si="120"/>
        <v>774.87</v>
      </c>
      <c r="I560" s="348">
        <f t="shared" si="120"/>
        <v>0</v>
      </c>
      <c r="J560" s="161">
        <f t="shared" si="120"/>
        <v>-78.244</v>
      </c>
      <c r="K560" s="161" t="e">
        <f t="shared" si="120"/>
        <v>#REF!</v>
      </c>
      <c r="L560" s="161">
        <f t="shared" si="120"/>
        <v>774.97</v>
      </c>
      <c r="M560" s="161">
        <f t="shared" si="120"/>
        <v>30.029999999999973</v>
      </c>
      <c r="N560" s="161">
        <f t="shared" si="120"/>
        <v>805</v>
      </c>
      <c r="O560" s="161">
        <f t="shared" si="120"/>
        <v>805</v>
      </c>
    </row>
    <row r="561" spans="1:15" ht="26.25">
      <c r="A561" s="230" t="s">
        <v>759</v>
      </c>
      <c r="B561" s="159" t="s">
        <v>657</v>
      </c>
      <c r="C561" s="159" t="s">
        <v>382</v>
      </c>
      <c r="D561" s="159" t="s">
        <v>385</v>
      </c>
      <c r="E561" s="159" t="s">
        <v>543</v>
      </c>
      <c r="F561" s="159"/>
      <c r="G561" s="360">
        <f t="shared" si="120"/>
        <v>0</v>
      </c>
      <c r="H561" s="360">
        <f t="shared" si="120"/>
        <v>774.87</v>
      </c>
      <c r="I561" s="360">
        <f t="shared" si="120"/>
        <v>0</v>
      </c>
      <c r="J561" s="170">
        <f t="shared" si="120"/>
        <v>-78.244</v>
      </c>
      <c r="K561" s="170" t="e">
        <f t="shared" si="120"/>
        <v>#REF!</v>
      </c>
      <c r="L561" s="170">
        <f t="shared" si="120"/>
        <v>774.97</v>
      </c>
      <c r="M561" s="170">
        <f t="shared" si="120"/>
        <v>30.029999999999973</v>
      </c>
      <c r="N561" s="170">
        <f t="shared" si="120"/>
        <v>805</v>
      </c>
      <c r="O561" s="170">
        <f t="shared" si="120"/>
        <v>805</v>
      </c>
    </row>
    <row r="562" spans="1:15" ht="15">
      <c r="A562" s="230" t="s">
        <v>544</v>
      </c>
      <c r="B562" s="159" t="s">
        <v>657</v>
      </c>
      <c r="C562" s="159" t="s">
        <v>382</v>
      </c>
      <c r="D562" s="159" t="s">
        <v>385</v>
      </c>
      <c r="E562" s="159" t="s">
        <v>545</v>
      </c>
      <c r="F562" s="159"/>
      <c r="G562" s="360">
        <f t="shared" si="120"/>
        <v>0</v>
      </c>
      <c r="H562" s="360">
        <f t="shared" si="120"/>
        <v>774.87</v>
      </c>
      <c r="I562" s="360">
        <f t="shared" si="120"/>
        <v>0</v>
      </c>
      <c r="J562" s="170">
        <f t="shared" si="120"/>
        <v>-78.244</v>
      </c>
      <c r="K562" s="170" t="e">
        <f t="shared" si="120"/>
        <v>#REF!</v>
      </c>
      <c r="L562" s="170">
        <f>L563+L564</f>
        <v>774.97</v>
      </c>
      <c r="M562" s="170">
        <f>M563+M564</f>
        <v>30.029999999999973</v>
      </c>
      <c r="N562" s="170">
        <f>N563+N564</f>
        <v>805</v>
      </c>
      <c r="O562" s="170">
        <f>O563+O564</f>
        <v>805</v>
      </c>
    </row>
    <row r="563" spans="1:16" ht="15">
      <c r="A563" s="219" t="s">
        <v>871</v>
      </c>
      <c r="B563" s="159" t="s">
        <v>657</v>
      </c>
      <c r="C563" s="159" t="s">
        <v>382</v>
      </c>
      <c r="D563" s="159" t="s">
        <v>385</v>
      </c>
      <c r="E563" s="159" t="s">
        <v>545</v>
      </c>
      <c r="F563" s="159" t="s">
        <v>585</v>
      </c>
      <c r="G563" s="360"/>
      <c r="H563" s="393">
        <v>774.87</v>
      </c>
      <c r="I563" s="393"/>
      <c r="J563" s="170">
        <f>-78.244</f>
        <v>-78.244</v>
      </c>
      <c r="K563" s="170" t="e">
        <f>#REF!+J563</f>
        <v>#REF!</v>
      </c>
      <c r="L563" s="170"/>
      <c r="M563" s="170">
        <v>805</v>
      </c>
      <c r="N563" s="170">
        <f>L563+M563</f>
        <v>805</v>
      </c>
      <c r="O563" s="170">
        <v>805</v>
      </c>
      <c r="P563" s="184" t="e">
        <f>#REF!-L563</f>
        <v>#REF!</v>
      </c>
    </row>
    <row r="564" spans="1:16" ht="26.25">
      <c r="A564" s="230" t="s">
        <v>487</v>
      </c>
      <c r="B564" s="159" t="s">
        <v>657</v>
      </c>
      <c r="C564" s="159" t="s">
        <v>382</v>
      </c>
      <c r="D564" s="159" t="s">
        <v>385</v>
      </c>
      <c r="E564" s="159" t="s">
        <v>545</v>
      </c>
      <c r="F564" s="159" t="s">
        <v>485</v>
      </c>
      <c r="G564" s="360"/>
      <c r="H564" s="393"/>
      <c r="I564" s="393"/>
      <c r="J564" s="170"/>
      <c r="K564" s="170"/>
      <c r="L564" s="170">
        <v>774.97</v>
      </c>
      <c r="M564" s="170">
        <v>-774.97</v>
      </c>
      <c r="N564" s="170">
        <f>L564+M564</f>
        <v>0</v>
      </c>
      <c r="O564" s="170"/>
      <c r="P564" s="184"/>
    </row>
    <row r="565" spans="1:15" s="252" customFormat="1" ht="14.25">
      <c r="A565" s="264" t="s">
        <v>417</v>
      </c>
      <c r="B565" s="168" t="s">
        <v>657</v>
      </c>
      <c r="C565" s="168" t="s">
        <v>390</v>
      </c>
      <c r="D565" s="168"/>
      <c r="E565" s="168"/>
      <c r="F565" s="168"/>
      <c r="G565" s="359" t="e">
        <f>G591+G610+#REF!</f>
        <v>#REF!</v>
      </c>
      <c r="H565" s="374">
        <f>H591+H610+H566</f>
        <v>3071.02</v>
      </c>
      <c r="I565" s="374">
        <f>I591+I610+I566</f>
        <v>0</v>
      </c>
      <c r="J565" s="355">
        <f aca="true" t="shared" si="121" ref="J565:O565">J566</f>
        <v>50</v>
      </c>
      <c r="K565" s="355" t="e">
        <f t="shared" si="121"/>
        <v>#REF!</v>
      </c>
      <c r="L565" s="161">
        <f t="shared" si="121"/>
        <v>290.86</v>
      </c>
      <c r="M565" s="161">
        <f t="shared" si="121"/>
        <v>-87.26</v>
      </c>
      <c r="N565" s="161">
        <f t="shared" si="121"/>
        <v>203.6</v>
      </c>
      <c r="O565" s="161">
        <f t="shared" si="121"/>
        <v>0</v>
      </c>
    </row>
    <row r="566" spans="1:15" s="232" customFormat="1" ht="25.5">
      <c r="A566" s="230" t="s">
        <v>422</v>
      </c>
      <c r="B566" s="168" t="s">
        <v>657</v>
      </c>
      <c r="C566" s="168" t="s">
        <v>390</v>
      </c>
      <c r="D566" s="168" t="s">
        <v>390</v>
      </c>
      <c r="E566" s="168"/>
      <c r="F566" s="168"/>
      <c r="G566" s="348">
        <f aca="true" t="shared" si="122" ref="G566:I567">G567</f>
        <v>0</v>
      </c>
      <c r="H566" s="348">
        <f t="shared" si="122"/>
        <v>15.72</v>
      </c>
      <c r="I566" s="348">
        <f t="shared" si="122"/>
        <v>0</v>
      </c>
      <c r="J566" s="161">
        <f>J567</f>
        <v>50</v>
      </c>
      <c r="K566" s="161" t="e">
        <f>K567</f>
        <v>#REF!</v>
      </c>
      <c r="L566" s="161">
        <f>L567+L570</f>
        <v>290.86</v>
      </c>
      <c r="M566" s="161">
        <f>M567+M570</f>
        <v>-87.26</v>
      </c>
      <c r="N566" s="161">
        <f>N567+N570</f>
        <v>203.6</v>
      </c>
      <c r="O566" s="161">
        <f>O567+O570</f>
        <v>0</v>
      </c>
    </row>
    <row r="567" spans="1:15" ht="26.25">
      <c r="A567" s="230" t="s">
        <v>497</v>
      </c>
      <c r="B567" s="159" t="s">
        <v>657</v>
      </c>
      <c r="C567" s="159" t="s">
        <v>390</v>
      </c>
      <c r="D567" s="159" t="s">
        <v>390</v>
      </c>
      <c r="E567" s="159" t="s">
        <v>872</v>
      </c>
      <c r="F567" s="159"/>
      <c r="G567" s="360">
        <f t="shared" si="122"/>
        <v>0</v>
      </c>
      <c r="H567" s="360">
        <f t="shared" si="122"/>
        <v>15.72</v>
      </c>
      <c r="I567" s="360">
        <f t="shared" si="122"/>
        <v>0</v>
      </c>
      <c r="J567" s="170">
        <f>J568</f>
        <v>50</v>
      </c>
      <c r="K567" s="170" t="e">
        <f>K568</f>
        <v>#REF!</v>
      </c>
      <c r="L567" s="170">
        <f>L568+L569</f>
        <v>124.86</v>
      </c>
      <c r="M567" s="170">
        <f>M568+M569</f>
        <v>12.739999999999995</v>
      </c>
      <c r="N567" s="170">
        <f>N568+N569</f>
        <v>137.6</v>
      </c>
      <c r="O567" s="170">
        <f>O568+O569</f>
        <v>0</v>
      </c>
    </row>
    <row r="568" spans="1:15" ht="26.25" customHeight="1">
      <c r="A568" s="173" t="s">
        <v>504</v>
      </c>
      <c r="B568" s="159" t="s">
        <v>657</v>
      </c>
      <c r="C568" s="159" t="s">
        <v>390</v>
      </c>
      <c r="D568" s="159" t="s">
        <v>390</v>
      </c>
      <c r="E568" s="159" t="s">
        <v>872</v>
      </c>
      <c r="F568" s="159" t="s">
        <v>494</v>
      </c>
      <c r="G568" s="360"/>
      <c r="H568" s="360">
        <v>15.72</v>
      </c>
      <c r="I568" s="360"/>
      <c r="J568" s="170">
        <v>50</v>
      </c>
      <c r="K568" s="170" t="e">
        <f>#REF!+J568</f>
        <v>#REF!</v>
      </c>
      <c r="L568" s="170">
        <v>124.86</v>
      </c>
      <c r="M568" s="170">
        <v>-124.86</v>
      </c>
      <c r="N568" s="170">
        <f>L568+M568</f>
        <v>0</v>
      </c>
      <c r="O568" s="170"/>
    </row>
    <row r="569" spans="1:15" ht="15">
      <c r="A569" s="219" t="s">
        <v>871</v>
      </c>
      <c r="B569" s="159" t="s">
        <v>657</v>
      </c>
      <c r="C569" s="159" t="s">
        <v>390</v>
      </c>
      <c r="D569" s="159" t="s">
        <v>390</v>
      </c>
      <c r="E569" s="159" t="s">
        <v>872</v>
      </c>
      <c r="F569" s="159" t="s">
        <v>585</v>
      </c>
      <c r="G569" s="360"/>
      <c r="H569" s="360"/>
      <c r="I569" s="360"/>
      <c r="J569" s="170"/>
      <c r="K569" s="170"/>
      <c r="L569" s="170"/>
      <c r="M569" s="170">
        <v>137.6</v>
      </c>
      <c r="N569" s="170">
        <f>L569+M569</f>
        <v>137.6</v>
      </c>
      <c r="O569" s="170"/>
    </row>
    <row r="570" spans="1:16" ht="26.25">
      <c r="A570" s="230" t="s">
        <v>760</v>
      </c>
      <c r="B570" s="159" t="s">
        <v>657</v>
      </c>
      <c r="C570" s="159" t="s">
        <v>390</v>
      </c>
      <c r="D570" s="159" t="s">
        <v>390</v>
      </c>
      <c r="E570" s="159" t="s">
        <v>761</v>
      </c>
      <c r="F570" s="159"/>
      <c r="G570" s="360"/>
      <c r="H570" s="360"/>
      <c r="I570" s="360"/>
      <c r="J570" s="170"/>
      <c r="K570" s="170"/>
      <c r="L570" s="170">
        <f>L571</f>
        <v>166</v>
      </c>
      <c r="M570" s="170">
        <f>M571</f>
        <v>-100</v>
      </c>
      <c r="N570" s="170">
        <f>N571</f>
        <v>66</v>
      </c>
      <c r="O570" s="170">
        <f>O571</f>
        <v>0</v>
      </c>
      <c r="P570" s="184" t="e">
        <f>#REF!-L570</f>
        <v>#REF!</v>
      </c>
    </row>
    <row r="571" spans="1:16" ht="39">
      <c r="A571" s="230" t="s">
        <v>866</v>
      </c>
      <c r="B571" s="159" t="s">
        <v>657</v>
      </c>
      <c r="C571" s="159" t="s">
        <v>390</v>
      </c>
      <c r="D571" s="159" t="s">
        <v>390</v>
      </c>
      <c r="E571" s="159" t="s">
        <v>867</v>
      </c>
      <c r="F571" s="159"/>
      <c r="G571" s="360"/>
      <c r="H571" s="360"/>
      <c r="I571" s="360"/>
      <c r="J571" s="170"/>
      <c r="K571" s="170"/>
      <c r="L571" s="170">
        <f>L572+L573</f>
        <v>166</v>
      </c>
      <c r="M571" s="170">
        <f>M572+M573</f>
        <v>-100</v>
      </c>
      <c r="N571" s="170">
        <f>N572+N573</f>
        <v>66</v>
      </c>
      <c r="O571" s="170">
        <f>O572+O573</f>
        <v>0</v>
      </c>
      <c r="P571" s="184"/>
    </row>
    <row r="572" spans="1:15" ht="26.25">
      <c r="A572" s="230" t="s">
        <v>487</v>
      </c>
      <c r="B572" s="159" t="s">
        <v>657</v>
      </c>
      <c r="C572" s="159" t="s">
        <v>390</v>
      </c>
      <c r="D572" s="159" t="s">
        <v>390</v>
      </c>
      <c r="E572" s="159" t="s">
        <v>867</v>
      </c>
      <c r="F572" s="159" t="s">
        <v>485</v>
      </c>
      <c r="G572" s="360"/>
      <c r="H572" s="360"/>
      <c r="I572" s="360"/>
      <c r="J572" s="170"/>
      <c r="K572" s="170"/>
      <c r="L572" s="170">
        <v>166</v>
      </c>
      <c r="M572" s="170">
        <v>-166</v>
      </c>
      <c r="N572" s="170">
        <f>L572+M572</f>
        <v>0</v>
      </c>
      <c r="O572" s="170"/>
    </row>
    <row r="573" spans="1:15" ht="38.25">
      <c r="A573" s="213" t="s">
        <v>577</v>
      </c>
      <c r="B573" s="159" t="s">
        <v>657</v>
      </c>
      <c r="C573" s="159" t="s">
        <v>390</v>
      </c>
      <c r="D573" s="159" t="s">
        <v>390</v>
      </c>
      <c r="E573" s="159" t="s">
        <v>867</v>
      </c>
      <c r="F573" s="159" t="s">
        <v>579</v>
      </c>
      <c r="G573" s="360"/>
      <c r="H573" s="360"/>
      <c r="I573" s="360"/>
      <c r="J573" s="170"/>
      <c r="K573" s="170"/>
      <c r="L573" s="170"/>
      <c r="M573" s="170">
        <v>66</v>
      </c>
      <c r="N573" s="170">
        <f>L573+M573</f>
        <v>66</v>
      </c>
      <c r="O573" s="170"/>
    </row>
    <row r="574" spans="1:15" ht="26.25">
      <c r="A574" s="229" t="s">
        <v>873</v>
      </c>
      <c r="B574" s="168" t="s">
        <v>657</v>
      </c>
      <c r="C574" s="168" t="s">
        <v>410</v>
      </c>
      <c r="D574" s="168"/>
      <c r="E574" s="168"/>
      <c r="F574" s="168"/>
      <c r="G574" s="360"/>
      <c r="H574" s="360"/>
      <c r="I574" s="360"/>
      <c r="J574" s="170"/>
      <c r="K574" s="170"/>
      <c r="L574" s="161">
        <f>L575+L597</f>
        <v>5220.280000000001</v>
      </c>
      <c r="M574" s="161">
        <f>M575+M597</f>
        <v>1086.4099999999994</v>
      </c>
      <c r="N574" s="161">
        <f>N575+N597</f>
        <v>6306.69</v>
      </c>
      <c r="O574" s="161">
        <f>O575+O597</f>
        <v>6306.69</v>
      </c>
    </row>
    <row r="575" spans="1:15" ht="15">
      <c r="A575" s="230" t="s">
        <v>426</v>
      </c>
      <c r="B575" s="168" t="s">
        <v>657</v>
      </c>
      <c r="C575" s="168" t="s">
        <v>410</v>
      </c>
      <c r="D575" s="168" t="s">
        <v>382</v>
      </c>
      <c r="E575" s="168"/>
      <c r="F575" s="168"/>
      <c r="G575" s="387"/>
      <c r="H575" s="387"/>
      <c r="I575" s="387"/>
      <c r="J575" s="170"/>
      <c r="K575" s="170"/>
      <c r="L575" s="161">
        <f>L576+L583+L593+L595</f>
        <v>2294.25</v>
      </c>
      <c r="M575" s="161">
        <f>M576+M583+M593+M595</f>
        <v>1712.9499999999996</v>
      </c>
      <c r="N575" s="161">
        <f>N576+N583+N593+N595</f>
        <v>4007.2</v>
      </c>
      <c r="O575" s="161">
        <f>O576+O583+O593+O595</f>
        <v>4007.2</v>
      </c>
    </row>
    <row r="576" spans="1:15" s="252" customFormat="1" ht="14.25">
      <c r="A576" s="230" t="s">
        <v>874</v>
      </c>
      <c r="B576" s="159" t="s">
        <v>657</v>
      </c>
      <c r="C576" s="159" t="s">
        <v>410</v>
      </c>
      <c r="D576" s="159" t="s">
        <v>382</v>
      </c>
      <c r="E576" s="159" t="s">
        <v>875</v>
      </c>
      <c r="F576" s="159"/>
      <c r="G576" s="359">
        <f>G577+G607</f>
        <v>166.57999999999998</v>
      </c>
      <c r="H576" s="359">
        <f>H577+H607</f>
        <v>5601.15</v>
      </c>
      <c r="I576" s="359">
        <f>I577+I607</f>
        <v>0</v>
      </c>
      <c r="J576" s="355">
        <f>J577+J607+J603</f>
        <v>1</v>
      </c>
      <c r="K576" s="355" t="e">
        <f>K577+K607+K603</f>
        <v>#REF!</v>
      </c>
      <c r="L576" s="170">
        <f>L577</f>
        <v>396</v>
      </c>
      <c r="M576" s="170">
        <f>M577</f>
        <v>557.83</v>
      </c>
      <c r="N576" s="170">
        <f>N577</f>
        <v>953.8300000000002</v>
      </c>
      <c r="O576" s="170">
        <f>O577</f>
        <v>953.8300000000002</v>
      </c>
    </row>
    <row r="577" spans="1:15" s="232" customFormat="1" ht="25.5">
      <c r="A577" s="230" t="s">
        <v>497</v>
      </c>
      <c r="B577" s="159" t="s">
        <v>657</v>
      </c>
      <c r="C577" s="159" t="s">
        <v>410</v>
      </c>
      <c r="D577" s="159" t="s">
        <v>382</v>
      </c>
      <c r="E577" s="159" t="s">
        <v>876</v>
      </c>
      <c r="F577" s="159"/>
      <c r="G577" s="348">
        <f>G578+G589</f>
        <v>137.57999999999998</v>
      </c>
      <c r="H577" s="348">
        <f>H578+H589</f>
        <v>3820.25</v>
      </c>
      <c r="I577" s="348">
        <f>I578+I589</f>
        <v>0</v>
      </c>
      <c r="J577" s="161">
        <f>J578+J589</f>
        <v>51</v>
      </c>
      <c r="K577" s="161" t="e">
        <f>K578+K589</f>
        <v>#REF!</v>
      </c>
      <c r="L577" s="170">
        <f>L578+L579+L580+L581+L582</f>
        <v>396</v>
      </c>
      <c r="M577" s="170">
        <f>M578+M579+M580+M581+M582</f>
        <v>557.83</v>
      </c>
      <c r="N577" s="170">
        <f>N578+N579+N580+N581+N582</f>
        <v>953.8300000000002</v>
      </c>
      <c r="O577" s="170">
        <f>O578+O579+O580+O581+O582</f>
        <v>953.8300000000002</v>
      </c>
    </row>
    <row r="578" spans="1:15" ht="26.25">
      <c r="A578" s="230" t="s">
        <v>493</v>
      </c>
      <c r="B578" s="159" t="s">
        <v>657</v>
      </c>
      <c r="C578" s="159" t="s">
        <v>410</v>
      </c>
      <c r="D578" s="159" t="s">
        <v>382</v>
      </c>
      <c r="E578" s="159" t="s">
        <v>876</v>
      </c>
      <c r="F578" s="159" t="s">
        <v>494</v>
      </c>
      <c r="G578" s="360">
        <f>G579</f>
        <v>67.58</v>
      </c>
      <c r="H578" s="360">
        <f>H579</f>
        <v>2510.85</v>
      </c>
      <c r="I578" s="360">
        <f>I579</f>
        <v>0</v>
      </c>
      <c r="J578" s="170">
        <f>J579</f>
        <v>-39</v>
      </c>
      <c r="K578" s="170" t="e">
        <f>K579</f>
        <v>#REF!</v>
      </c>
      <c r="L578" s="170">
        <v>396</v>
      </c>
      <c r="M578" s="170">
        <v>-396</v>
      </c>
      <c r="N578" s="170">
        <f>L578+M578</f>
        <v>0</v>
      </c>
      <c r="O578" s="170"/>
    </row>
    <row r="579" spans="1:15" ht="25.5">
      <c r="A579" s="213" t="s">
        <v>584</v>
      </c>
      <c r="B579" s="159" t="s">
        <v>657</v>
      </c>
      <c r="C579" s="159" t="s">
        <v>410</v>
      </c>
      <c r="D579" s="159" t="s">
        <v>382</v>
      </c>
      <c r="E579" s="159" t="s">
        <v>876</v>
      </c>
      <c r="F579" s="159" t="s">
        <v>585</v>
      </c>
      <c r="G579" s="360">
        <f>G580</f>
        <v>67.58</v>
      </c>
      <c r="H579" s="360">
        <f>H580</f>
        <v>2510.85</v>
      </c>
      <c r="I579" s="360">
        <f>I580</f>
        <v>0</v>
      </c>
      <c r="J579" s="170">
        <f>J580+J581+J583+J585+J586+J588+J587</f>
        <v>-39</v>
      </c>
      <c r="K579" s="170" t="e">
        <f>K580+K581+K583+K585+K586+K588+K587</f>
        <v>#REF!</v>
      </c>
      <c r="L579" s="170"/>
      <c r="M579" s="170">
        <v>702.7</v>
      </c>
      <c r="N579" s="170">
        <f>L579+M579</f>
        <v>702.7</v>
      </c>
      <c r="O579" s="170">
        <v>702.7</v>
      </c>
    </row>
    <row r="580" spans="1:16" ht="38.25">
      <c r="A580" s="213" t="s">
        <v>587</v>
      </c>
      <c r="B580" s="159" t="s">
        <v>657</v>
      </c>
      <c r="C580" s="159" t="s">
        <v>410</v>
      </c>
      <c r="D580" s="159" t="s">
        <v>382</v>
      </c>
      <c r="E580" s="159" t="s">
        <v>876</v>
      </c>
      <c r="F580" s="159" t="s">
        <v>588</v>
      </c>
      <c r="G580" s="360">
        <f>67.58</f>
        <v>67.58</v>
      </c>
      <c r="H580" s="357">
        <v>2510.85</v>
      </c>
      <c r="I580" s="360"/>
      <c r="J580" s="170">
        <f>-4-35</f>
        <v>-39</v>
      </c>
      <c r="K580" s="170" t="e">
        <f>#REF!+J580</f>
        <v>#REF!</v>
      </c>
      <c r="L580" s="170"/>
      <c r="M580" s="170">
        <v>1.7</v>
      </c>
      <c r="N580" s="170">
        <f>L580+M580</f>
        <v>1.7</v>
      </c>
      <c r="O580" s="170">
        <v>1.7</v>
      </c>
      <c r="P580" s="210"/>
    </row>
    <row r="581" spans="1:16" ht="26.25" customHeight="1" hidden="1">
      <c r="A581" s="213" t="s">
        <v>591</v>
      </c>
      <c r="B581" s="159" t="s">
        <v>657</v>
      </c>
      <c r="C581" s="159" t="s">
        <v>410</v>
      </c>
      <c r="D581" s="159" t="s">
        <v>382</v>
      </c>
      <c r="E581" s="159" t="s">
        <v>876</v>
      </c>
      <c r="F581" s="159" t="s">
        <v>592</v>
      </c>
      <c r="G581" s="360"/>
      <c r="H581" s="357"/>
      <c r="I581" s="360"/>
      <c r="J581" s="170"/>
      <c r="K581" s="170"/>
      <c r="L581" s="170"/>
      <c r="M581" s="170"/>
      <c r="N581" s="170">
        <f>L581+M581</f>
        <v>0</v>
      </c>
      <c r="O581" s="170"/>
      <c r="P581" s="210"/>
    </row>
    <row r="582" spans="1:16" ht="26.25" customHeight="1">
      <c r="A582" s="213" t="s">
        <v>577</v>
      </c>
      <c r="B582" s="159" t="s">
        <v>657</v>
      </c>
      <c r="C582" s="159" t="s">
        <v>410</v>
      </c>
      <c r="D582" s="159" t="s">
        <v>382</v>
      </c>
      <c r="E582" s="159" t="s">
        <v>876</v>
      </c>
      <c r="F582" s="159" t="s">
        <v>579</v>
      </c>
      <c r="G582" s="360"/>
      <c r="H582" s="357"/>
      <c r="I582" s="360"/>
      <c r="J582" s="170"/>
      <c r="K582" s="170"/>
      <c r="L582" s="170"/>
      <c r="M582" s="170">
        <v>249.43</v>
      </c>
      <c r="N582" s="170">
        <f>L582+M582</f>
        <v>249.43</v>
      </c>
      <c r="O582" s="170">
        <v>249.43</v>
      </c>
      <c r="P582" s="210"/>
    </row>
    <row r="583" spans="1:16" ht="39" customHeight="1">
      <c r="A583" s="230" t="s">
        <v>877</v>
      </c>
      <c r="B583" s="159" t="s">
        <v>657</v>
      </c>
      <c r="C583" s="159" t="s">
        <v>410</v>
      </c>
      <c r="D583" s="159" t="s">
        <v>382</v>
      </c>
      <c r="E583" s="159" t="s">
        <v>878</v>
      </c>
      <c r="F583" s="159"/>
      <c r="G583" s="360"/>
      <c r="H583" s="357"/>
      <c r="I583" s="360"/>
      <c r="J583" s="170"/>
      <c r="K583" s="170"/>
      <c r="L583" s="170">
        <f>L584+L590</f>
        <v>1854.75</v>
      </c>
      <c r="M583" s="170">
        <f>M584+M590</f>
        <v>1161.8199999999997</v>
      </c>
      <c r="N583" s="170">
        <f>N584+N590</f>
        <v>3016.5699999999997</v>
      </c>
      <c r="O583" s="170">
        <f>O584+O590</f>
        <v>3016.5699999999997</v>
      </c>
      <c r="P583" s="210"/>
    </row>
    <row r="584" spans="1:16" ht="26.25" customHeight="1">
      <c r="A584" s="230" t="s">
        <v>497</v>
      </c>
      <c r="B584" s="159" t="s">
        <v>657</v>
      </c>
      <c r="C584" s="159" t="s">
        <v>410</v>
      </c>
      <c r="D584" s="159" t="s">
        <v>382</v>
      </c>
      <c r="E584" s="159" t="s">
        <v>879</v>
      </c>
      <c r="F584" s="159"/>
      <c r="G584" s="360"/>
      <c r="H584" s="357"/>
      <c r="I584" s="360"/>
      <c r="J584" s="170"/>
      <c r="K584" s="170"/>
      <c r="L584" s="170">
        <f>L585+L587+L589+L586+L588</f>
        <v>1816.75</v>
      </c>
      <c r="M584" s="170">
        <f>M585+M587+M589+M586+M588</f>
        <v>1161.8199999999997</v>
      </c>
      <c r="N584" s="170">
        <f>N585+N587+N589+N586+N588</f>
        <v>2978.5699999999997</v>
      </c>
      <c r="O584" s="170">
        <f>O585+O587+O589+O586+O588</f>
        <v>2978.5699999999997</v>
      </c>
      <c r="P584" s="210"/>
    </row>
    <row r="585" spans="1:16" ht="26.25">
      <c r="A585" s="230" t="s">
        <v>493</v>
      </c>
      <c r="B585" s="159" t="s">
        <v>657</v>
      </c>
      <c r="C585" s="159" t="s">
        <v>410</v>
      </c>
      <c r="D585" s="159" t="s">
        <v>382</v>
      </c>
      <c r="E585" s="159" t="s">
        <v>879</v>
      </c>
      <c r="F585" s="159" t="s">
        <v>494</v>
      </c>
      <c r="G585" s="360"/>
      <c r="H585" s="357"/>
      <c r="I585" s="360"/>
      <c r="J585" s="170"/>
      <c r="K585" s="170"/>
      <c r="L585" s="170">
        <v>1816.75</v>
      </c>
      <c r="M585" s="170">
        <v>-1816.75</v>
      </c>
      <c r="N585" s="170">
        <f>L585+M585</f>
        <v>0</v>
      </c>
      <c r="O585" s="170"/>
      <c r="P585" s="210"/>
    </row>
    <row r="586" spans="1:16" ht="15">
      <c r="A586" s="213" t="s">
        <v>871</v>
      </c>
      <c r="B586" s="159" t="s">
        <v>657</v>
      </c>
      <c r="C586" s="159" t="s">
        <v>410</v>
      </c>
      <c r="D586" s="159" t="s">
        <v>382</v>
      </c>
      <c r="E586" s="159" t="s">
        <v>879</v>
      </c>
      <c r="F586" s="159" t="s">
        <v>585</v>
      </c>
      <c r="G586" s="360"/>
      <c r="H586" s="357"/>
      <c r="I586" s="360"/>
      <c r="J586" s="170"/>
      <c r="K586" s="170"/>
      <c r="L586" s="170"/>
      <c r="M586" s="170">
        <v>2350.1</v>
      </c>
      <c r="N586" s="170">
        <f>L586+M586</f>
        <v>2350.1</v>
      </c>
      <c r="O586" s="170">
        <v>2350.1</v>
      </c>
      <c r="P586" s="210"/>
    </row>
    <row r="587" spans="1:16" ht="51" customHeight="1">
      <c r="A587" s="213" t="s">
        <v>664</v>
      </c>
      <c r="B587" s="159" t="s">
        <v>657</v>
      </c>
      <c r="C587" s="159" t="s">
        <v>410</v>
      </c>
      <c r="D587" s="159" t="s">
        <v>382</v>
      </c>
      <c r="E587" s="159" t="s">
        <v>879</v>
      </c>
      <c r="F587" s="159" t="s">
        <v>588</v>
      </c>
      <c r="G587" s="360"/>
      <c r="H587" s="357"/>
      <c r="I587" s="360"/>
      <c r="J587" s="170"/>
      <c r="K587" s="170"/>
      <c r="L587" s="170"/>
      <c r="M587" s="170">
        <v>89.6</v>
      </c>
      <c r="N587" s="170">
        <f>L587+M587</f>
        <v>89.6</v>
      </c>
      <c r="O587" s="170">
        <v>89.6</v>
      </c>
      <c r="P587" s="210"/>
    </row>
    <row r="588" spans="1:16" ht="51">
      <c r="A588" s="213" t="s">
        <v>591</v>
      </c>
      <c r="B588" s="159" t="s">
        <v>657</v>
      </c>
      <c r="C588" s="159" t="s">
        <v>410</v>
      </c>
      <c r="D588" s="159" t="s">
        <v>382</v>
      </c>
      <c r="E588" s="159" t="s">
        <v>879</v>
      </c>
      <c r="F588" s="159" t="s">
        <v>592</v>
      </c>
      <c r="G588" s="360"/>
      <c r="H588" s="357"/>
      <c r="I588" s="360"/>
      <c r="J588" s="170"/>
      <c r="K588" s="170"/>
      <c r="L588" s="170"/>
      <c r="M588" s="170">
        <v>200</v>
      </c>
      <c r="N588" s="170">
        <f>L588+M588</f>
        <v>200</v>
      </c>
      <c r="O588" s="170">
        <v>200</v>
      </c>
      <c r="P588" s="210"/>
    </row>
    <row r="589" spans="1:15" ht="25.5">
      <c r="A589" s="213" t="s">
        <v>665</v>
      </c>
      <c r="B589" s="159" t="s">
        <v>657</v>
      </c>
      <c r="C589" s="159" t="s">
        <v>410</v>
      </c>
      <c r="D589" s="159" t="s">
        <v>382</v>
      </c>
      <c r="E589" s="159" t="s">
        <v>879</v>
      </c>
      <c r="F589" s="159" t="s">
        <v>579</v>
      </c>
      <c r="G589" s="360">
        <f>G590+G596</f>
        <v>70</v>
      </c>
      <c r="H589" s="360">
        <f>H590+H596</f>
        <v>1309.4</v>
      </c>
      <c r="I589" s="360">
        <f>I590+I596</f>
        <v>0</v>
      </c>
      <c r="J589" s="170">
        <f>J590+J596</f>
        <v>90</v>
      </c>
      <c r="K589" s="170" t="e">
        <f>K590+K596</f>
        <v>#REF!</v>
      </c>
      <c r="L589" s="170"/>
      <c r="M589" s="170">
        <v>338.87</v>
      </c>
      <c r="N589" s="170">
        <f>L589+M589</f>
        <v>338.87</v>
      </c>
      <c r="O589" s="170">
        <v>338.87</v>
      </c>
    </row>
    <row r="590" spans="1:15" ht="26.25">
      <c r="A590" s="230" t="s">
        <v>497</v>
      </c>
      <c r="B590" s="159" t="s">
        <v>657</v>
      </c>
      <c r="C590" s="159" t="s">
        <v>410</v>
      </c>
      <c r="D590" s="159" t="s">
        <v>382</v>
      </c>
      <c r="E590" s="159" t="s">
        <v>880</v>
      </c>
      <c r="F590" s="159"/>
      <c r="G590" s="360">
        <f>G591</f>
        <v>70</v>
      </c>
      <c r="H590" s="360">
        <f>H591</f>
        <v>1274.4</v>
      </c>
      <c r="I590" s="360">
        <f>I591</f>
        <v>0</v>
      </c>
      <c r="J590" s="170">
        <f>J591+J593+J595+J592+J594</f>
        <v>90</v>
      </c>
      <c r="K590" s="170" t="e">
        <f>K591+K593+K595+K592+K594</f>
        <v>#REF!</v>
      </c>
      <c r="L590" s="170">
        <f>L591+L592</f>
        <v>38</v>
      </c>
      <c r="M590" s="170">
        <f>M591+M592</f>
        <v>0</v>
      </c>
      <c r="N590" s="170">
        <f>N591+N592</f>
        <v>38</v>
      </c>
      <c r="O590" s="170">
        <f>O591+O592</f>
        <v>38</v>
      </c>
    </row>
    <row r="591" spans="1:16" ht="26.25">
      <c r="A591" s="230" t="s">
        <v>493</v>
      </c>
      <c r="B591" s="159" t="s">
        <v>657</v>
      </c>
      <c r="C591" s="159" t="s">
        <v>410</v>
      </c>
      <c r="D591" s="159" t="s">
        <v>382</v>
      </c>
      <c r="E591" s="159" t="s">
        <v>880</v>
      </c>
      <c r="F591" s="159" t="s">
        <v>494</v>
      </c>
      <c r="G591" s="360">
        <f>10+60</f>
        <v>70</v>
      </c>
      <c r="H591" s="357">
        <v>1274.4</v>
      </c>
      <c r="I591" s="360"/>
      <c r="J591" s="170">
        <v>90</v>
      </c>
      <c r="K591" s="170" t="e">
        <f>#REF!+J591</f>
        <v>#REF!</v>
      </c>
      <c r="L591" s="170">
        <v>38</v>
      </c>
      <c r="M591" s="170">
        <v>-38</v>
      </c>
      <c r="N591" s="170">
        <f>L591+M591</f>
        <v>0</v>
      </c>
      <c r="O591" s="170"/>
      <c r="P591" s="207" t="e">
        <f>#REF!-L591</f>
        <v>#REF!</v>
      </c>
    </row>
    <row r="592" spans="1:16" ht="25.5">
      <c r="A592" s="213" t="s">
        <v>665</v>
      </c>
      <c r="B592" s="159" t="s">
        <v>657</v>
      </c>
      <c r="C592" s="159" t="s">
        <v>410</v>
      </c>
      <c r="D592" s="159" t="s">
        <v>382</v>
      </c>
      <c r="E592" s="159" t="s">
        <v>880</v>
      </c>
      <c r="F592" s="159" t="s">
        <v>579</v>
      </c>
      <c r="G592" s="360"/>
      <c r="H592" s="357"/>
      <c r="I592" s="360"/>
      <c r="J592" s="170"/>
      <c r="K592" s="170"/>
      <c r="L592" s="170"/>
      <c r="M592" s="170">
        <v>38</v>
      </c>
      <c r="N592" s="170">
        <f>L592+M592</f>
        <v>38</v>
      </c>
      <c r="O592" s="170">
        <v>38</v>
      </c>
      <c r="P592" s="207"/>
    </row>
    <row r="593" spans="1:16" ht="26.25">
      <c r="A593" s="230" t="s">
        <v>881</v>
      </c>
      <c r="B593" s="159" t="s">
        <v>657</v>
      </c>
      <c r="C593" s="159" t="s">
        <v>410</v>
      </c>
      <c r="D593" s="159" t="s">
        <v>382</v>
      </c>
      <c r="E593" s="159" t="s">
        <v>882</v>
      </c>
      <c r="F593" s="159"/>
      <c r="G593" s="360"/>
      <c r="H593" s="357"/>
      <c r="I593" s="360"/>
      <c r="J593" s="170"/>
      <c r="K593" s="170"/>
      <c r="L593" s="170">
        <f>L594</f>
        <v>43.5</v>
      </c>
      <c r="M593" s="170">
        <f>M594</f>
        <v>-43.5</v>
      </c>
      <c r="N593" s="170">
        <f>N594</f>
        <v>0</v>
      </c>
      <c r="O593" s="170">
        <f>O594</f>
        <v>0</v>
      </c>
      <c r="P593" s="207"/>
    </row>
    <row r="594" spans="1:16" ht="26.25">
      <c r="A594" s="230" t="s">
        <v>493</v>
      </c>
      <c r="B594" s="159" t="s">
        <v>657</v>
      </c>
      <c r="C594" s="159" t="s">
        <v>410</v>
      </c>
      <c r="D594" s="159" t="s">
        <v>382</v>
      </c>
      <c r="E594" s="159" t="s">
        <v>882</v>
      </c>
      <c r="F594" s="159" t="s">
        <v>494</v>
      </c>
      <c r="G594" s="360"/>
      <c r="H594" s="357"/>
      <c r="I594" s="360"/>
      <c r="J594" s="170"/>
      <c r="K594" s="170"/>
      <c r="L594" s="170">
        <v>43.5</v>
      </c>
      <c r="M594" s="170">
        <v>-43.5</v>
      </c>
      <c r="N594" s="170">
        <f>L594+M594</f>
        <v>0</v>
      </c>
      <c r="O594" s="170"/>
      <c r="P594" s="207"/>
    </row>
    <row r="595" spans="1:16" ht="26.25">
      <c r="A595" s="230" t="s">
        <v>991</v>
      </c>
      <c r="B595" s="159" t="s">
        <v>657</v>
      </c>
      <c r="C595" s="159" t="s">
        <v>410</v>
      </c>
      <c r="D595" s="159" t="s">
        <v>382</v>
      </c>
      <c r="E595" s="159" t="s">
        <v>992</v>
      </c>
      <c r="F595" s="159"/>
      <c r="G595" s="360"/>
      <c r="H595" s="357"/>
      <c r="I595" s="360"/>
      <c r="J595" s="170"/>
      <c r="K595" s="170"/>
      <c r="L595" s="170">
        <f>L596</f>
        <v>0</v>
      </c>
      <c r="M595" s="170">
        <f>M596</f>
        <v>36.8</v>
      </c>
      <c r="N595" s="170">
        <f>N596</f>
        <v>36.8</v>
      </c>
      <c r="O595" s="170">
        <f>O596</f>
        <v>36.8</v>
      </c>
      <c r="P595" s="207"/>
    </row>
    <row r="596" spans="1:15" ht="25.5">
      <c r="A596" s="213" t="s">
        <v>665</v>
      </c>
      <c r="B596" s="159" t="s">
        <v>657</v>
      </c>
      <c r="C596" s="159" t="s">
        <v>410</v>
      </c>
      <c r="D596" s="159" t="s">
        <v>382</v>
      </c>
      <c r="E596" s="159" t="s">
        <v>992</v>
      </c>
      <c r="F596" s="159" t="s">
        <v>579</v>
      </c>
      <c r="G596" s="360">
        <f>G597</f>
        <v>0</v>
      </c>
      <c r="H596" s="357">
        <f>H597</f>
        <v>35</v>
      </c>
      <c r="I596" s="360">
        <f>I597</f>
        <v>0</v>
      </c>
      <c r="J596" s="170">
        <f>J597</f>
        <v>0</v>
      </c>
      <c r="K596" s="170" t="e">
        <f>K597</f>
        <v>#REF!</v>
      </c>
      <c r="L596" s="170"/>
      <c r="M596" s="170">
        <v>36.8</v>
      </c>
      <c r="N596" s="170">
        <f>L596+M596</f>
        <v>36.8</v>
      </c>
      <c r="O596" s="170">
        <v>36.8</v>
      </c>
    </row>
    <row r="597" spans="1:15" ht="26.25">
      <c r="A597" s="229" t="s">
        <v>883</v>
      </c>
      <c r="B597" s="168" t="s">
        <v>657</v>
      </c>
      <c r="C597" s="168" t="s">
        <v>410</v>
      </c>
      <c r="D597" s="168" t="s">
        <v>385</v>
      </c>
      <c r="E597" s="168"/>
      <c r="F597" s="168"/>
      <c r="G597" s="360"/>
      <c r="H597" s="357">
        <v>35</v>
      </c>
      <c r="I597" s="360"/>
      <c r="J597" s="170"/>
      <c r="K597" s="170" t="e">
        <f>#REF!+J597</f>
        <v>#REF!</v>
      </c>
      <c r="L597" s="161">
        <f aca="true" t="shared" si="123" ref="L597:O598">L598</f>
        <v>2926.03</v>
      </c>
      <c r="M597" s="161">
        <f t="shared" si="123"/>
        <v>-626.5400000000002</v>
      </c>
      <c r="N597" s="161">
        <f t="shared" si="123"/>
        <v>2299.49</v>
      </c>
      <c r="O597" s="161">
        <f t="shared" si="123"/>
        <v>2299.49</v>
      </c>
    </row>
    <row r="598" spans="1:15" ht="39">
      <c r="A598" s="230" t="s">
        <v>862</v>
      </c>
      <c r="B598" s="159" t="s">
        <v>657</v>
      </c>
      <c r="C598" s="159" t="s">
        <v>410</v>
      </c>
      <c r="D598" s="159" t="s">
        <v>385</v>
      </c>
      <c r="E598" s="159" t="s">
        <v>527</v>
      </c>
      <c r="F598" s="159"/>
      <c r="G598" s="360"/>
      <c r="H598" s="357"/>
      <c r="I598" s="360"/>
      <c r="J598" s="170"/>
      <c r="K598" s="170"/>
      <c r="L598" s="170">
        <f t="shared" si="123"/>
        <v>2926.03</v>
      </c>
      <c r="M598" s="170">
        <f t="shared" si="123"/>
        <v>-626.5400000000002</v>
      </c>
      <c r="N598" s="170">
        <f>N599</f>
        <v>2299.49</v>
      </c>
      <c r="O598" s="170">
        <f t="shared" si="123"/>
        <v>2299.49</v>
      </c>
    </row>
    <row r="599" spans="1:15" ht="26.25">
      <c r="A599" s="230" t="s">
        <v>497</v>
      </c>
      <c r="B599" s="159" t="s">
        <v>657</v>
      </c>
      <c r="C599" s="159" t="s">
        <v>410</v>
      </c>
      <c r="D599" s="159" t="s">
        <v>385</v>
      </c>
      <c r="E599" s="159" t="s">
        <v>528</v>
      </c>
      <c r="F599" s="159"/>
      <c r="G599" s="360"/>
      <c r="H599" s="357"/>
      <c r="I599" s="360"/>
      <c r="J599" s="170"/>
      <c r="K599" s="170"/>
      <c r="L599" s="170">
        <f>L600+L601+L602+L603</f>
        <v>2926.03</v>
      </c>
      <c r="M599" s="170">
        <f>M600+M601+M602+M603</f>
        <v>-626.5400000000002</v>
      </c>
      <c r="N599" s="170">
        <f>N600+N601+N602+N603</f>
        <v>2299.49</v>
      </c>
      <c r="O599" s="170">
        <f>O600+O601+O602+O603</f>
        <v>2299.49</v>
      </c>
    </row>
    <row r="600" spans="1:16" ht="26.25">
      <c r="A600" s="230" t="s">
        <v>493</v>
      </c>
      <c r="B600" s="159" t="s">
        <v>657</v>
      </c>
      <c r="C600" s="159" t="s">
        <v>410</v>
      </c>
      <c r="D600" s="159" t="s">
        <v>385</v>
      </c>
      <c r="E600" s="159" t="s">
        <v>528</v>
      </c>
      <c r="F600" s="159" t="s">
        <v>494</v>
      </c>
      <c r="G600" s="360"/>
      <c r="H600" s="357"/>
      <c r="I600" s="360"/>
      <c r="J600" s="170"/>
      <c r="K600" s="170"/>
      <c r="L600" s="170">
        <v>2926.03</v>
      </c>
      <c r="M600" s="170">
        <v>-2926.03</v>
      </c>
      <c r="N600" s="170">
        <f>L600+M600</f>
        <v>0</v>
      </c>
      <c r="O600" s="170"/>
      <c r="P600" s="150">
        <v>43.5</v>
      </c>
    </row>
    <row r="601" spans="1:15" ht="15">
      <c r="A601" s="213" t="s">
        <v>871</v>
      </c>
      <c r="B601" s="159" t="s">
        <v>657</v>
      </c>
      <c r="C601" s="159" t="s">
        <v>410</v>
      </c>
      <c r="D601" s="159" t="s">
        <v>385</v>
      </c>
      <c r="E601" s="159" t="s">
        <v>528</v>
      </c>
      <c r="F601" s="159" t="s">
        <v>585</v>
      </c>
      <c r="G601" s="376">
        <f>G602</f>
        <v>0</v>
      </c>
      <c r="H601" s="376">
        <f>H602</f>
        <v>0</v>
      </c>
      <c r="I601" s="376">
        <f>I602</f>
        <v>0</v>
      </c>
      <c r="J601" s="170"/>
      <c r="K601" s="170"/>
      <c r="L601" s="170"/>
      <c r="M601" s="170">
        <v>1934.8</v>
      </c>
      <c r="N601" s="170">
        <f>L601+M601</f>
        <v>1934.8</v>
      </c>
      <c r="O601" s="170">
        <v>1934.8</v>
      </c>
    </row>
    <row r="602" spans="1:15" ht="25.5">
      <c r="A602" s="213" t="s">
        <v>664</v>
      </c>
      <c r="B602" s="159" t="s">
        <v>657</v>
      </c>
      <c r="C602" s="159" t="s">
        <v>410</v>
      </c>
      <c r="D602" s="159" t="s">
        <v>385</v>
      </c>
      <c r="E602" s="159" t="s">
        <v>528</v>
      </c>
      <c r="F602" s="159" t="s">
        <v>588</v>
      </c>
      <c r="G602" s="360"/>
      <c r="H602" s="357"/>
      <c r="I602" s="360"/>
      <c r="J602" s="170"/>
      <c r="K602" s="170"/>
      <c r="L602" s="170"/>
      <c r="M602" s="170">
        <v>5</v>
      </c>
      <c r="N602" s="170">
        <f>L602+M602</f>
        <v>5</v>
      </c>
      <c r="O602" s="170">
        <v>5</v>
      </c>
    </row>
    <row r="603" spans="1:15" ht="25.5">
      <c r="A603" s="213" t="s">
        <v>665</v>
      </c>
      <c r="B603" s="159" t="s">
        <v>657</v>
      </c>
      <c r="C603" s="159" t="s">
        <v>410</v>
      </c>
      <c r="D603" s="159" t="s">
        <v>385</v>
      </c>
      <c r="E603" s="159" t="s">
        <v>528</v>
      </c>
      <c r="F603" s="159" t="s">
        <v>579</v>
      </c>
      <c r="G603" s="348">
        <f aca="true" t="shared" si="124" ref="G603:I605">G604</f>
        <v>0</v>
      </c>
      <c r="H603" s="348">
        <f t="shared" si="124"/>
        <v>1780.9</v>
      </c>
      <c r="I603" s="348">
        <f t="shared" si="124"/>
        <v>0</v>
      </c>
      <c r="J603" s="170"/>
      <c r="K603" s="170"/>
      <c r="L603" s="170"/>
      <c r="M603" s="170">
        <v>359.69</v>
      </c>
      <c r="N603" s="170">
        <f>L603+M603</f>
        <v>359.69</v>
      </c>
      <c r="O603" s="170">
        <v>359.69</v>
      </c>
    </row>
    <row r="604" spans="1:15" ht="15">
      <c r="A604" s="167" t="s">
        <v>434</v>
      </c>
      <c r="B604" s="168" t="s">
        <v>657</v>
      </c>
      <c r="C604" s="168" t="s">
        <v>392</v>
      </c>
      <c r="D604" s="159"/>
      <c r="E604" s="159"/>
      <c r="F604" s="159"/>
      <c r="G604" s="360">
        <f t="shared" si="124"/>
        <v>0</v>
      </c>
      <c r="H604" s="360">
        <f t="shared" si="124"/>
        <v>1780.9</v>
      </c>
      <c r="I604" s="360">
        <f t="shared" si="124"/>
        <v>0</v>
      </c>
      <c r="J604" s="170"/>
      <c r="K604" s="170"/>
      <c r="L604" s="161">
        <f>L605</f>
        <v>1100</v>
      </c>
      <c r="M604" s="161">
        <f>M605</f>
        <v>187.57999999999993</v>
      </c>
      <c r="N604" s="161">
        <f>N605</f>
        <v>1287.58</v>
      </c>
      <c r="O604" s="161">
        <f>O605</f>
        <v>1281.86</v>
      </c>
    </row>
    <row r="605" spans="1:15" ht="15">
      <c r="A605" s="229" t="s">
        <v>886</v>
      </c>
      <c r="B605" s="168" t="s">
        <v>657</v>
      </c>
      <c r="C605" s="168" t="s">
        <v>392</v>
      </c>
      <c r="D605" s="168" t="s">
        <v>382</v>
      </c>
      <c r="E605" s="168"/>
      <c r="F605" s="168"/>
      <c r="G605" s="360">
        <f t="shared" si="124"/>
        <v>0</v>
      </c>
      <c r="H605" s="360">
        <f t="shared" si="124"/>
        <v>1780.9</v>
      </c>
      <c r="I605" s="360">
        <f t="shared" si="124"/>
        <v>0</v>
      </c>
      <c r="J605" s="170"/>
      <c r="K605" s="170"/>
      <c r="L605" s="161">
        <f aca="true" t="shared" si="125" ref="L605:O606">L606</f>
        <v>1100</v>
      </c>
      <c r="M605" s="161">
        <f t="shared" si="125"/>
        <v>187.57999999999993</v>
      </c>
      <c r="N605" s="161">
        <f t="shared" si="125"/>
        <v>1287.58</v>
      </c>
      <c r="O605" s="161">
        <f t="shared" si="125"/>
        <v>1281.86</v>
      </c>
    </row>
    <row r="606" spans="1:15" ht="26.25">
      <c r="A606" s="230" t="s">
        <v>863</v>
      </c>
      <c r="B606" s="159" t="s">
        <v>657</v>
      </c>
      <c r="C606" s="159" t="s">
        <v>392</v>
      </c>
      <c r="D606" s="159" t="s">
        <v>382</v>
      </c>
      <c r="E606" s="159" t="s">
        <v>884</v>
      </c>
      <c r="F606" s="159"/>
      <c r="G606" s="360"/>
      <c r="H606" s="357">
        <v>1780.9</v>
      </c>
      <c r="I606" s="360"/>
      <c r="J606" s="170"/>
      <c r="K606" s="170"/>
      <c r="L606" s="170">
        <f t="shared" si="125"/>
        <v>1100</v>
      </c>
      <c r="M606" s="170">
        <f t="shared" si="125"/>
        <v>187.57999999999993</v>
      </c>
      <c r="N606" s="170">
        <f t="shared" si="125"/>
        <v>1287.58</v>
      </c>
      <c r="O606" s="170">
        <f t="shared" si="125"/>
        <v>1281.86</v>
      </c>
    </row>
    <row r="607" spans="1:15" s="232" customFormat="1" ht="38.25" customHeight="1">
      <c r="A607" s="230" t="s">
        <v>887</v>
      </c>
      <c r="B607" s="159" t="s">
        <v>657</v>
      </c>
      <c r="C607" s="159" t="s">
        <v>392</v>
      </c>
      <c r="D607" s="159" t="s">
        <v>382</v>
      </c>
      <c r="E607" s="159" t="s">
        <v>885</v>
      </c>
      <c r="F607" s="159"/>
      <c r="G607" s="348">
        <f aca="true" t="shared" si="126" ref="G607:K609">G608</f>
        <v>29</v>
      </c>
      <c r="H607" s="348">
        <f t="shared" si="126"/>
        <v>1780.9</v>
      </c>
      <c r="I607" s="348">
        <f t="shared" si="126"/>
        <v>0</v>
      </c>
      <c r="J607" s="161">
        <f t="shared" si="126"/>
        <v>-50</v>
      </c>
      <c r="K607" s="161" t="e">
        <f t="shared" si="126"/>
        <v>#REF!</v>
      </c>
      <c r="L607" s="170">
        <f>L608+L609+L610</f>
        <v>1100</v>
      </c>
      <c r="M607" s="170">
        <f>M608+M609+M610</f>
        <v>187.57999999999993</v>
      </c>
      <c r="N607" s="170">
        <f>N608+N609+N610</f>
        <v>1287.58</v>
      </c>
      <c r="O607" s="170">
        <f>O608+O609+O610</f>
        <v>1281.86</v>
      </c>
    </row>
    <row r="608" spans="1:15" ht="39" customHeight="1">
      <c r="A608" s="230" t="s">
        <v>487</v>
      </c>
      <c r="B608" s="159" t="s">
        <v>657</v>
      </c>
      <c r="C608" s="159" t="s">
        <v>392</v>
      </c>
      <c r="D608" s="159" t="s">
        <v>382</v>
      </c>
      <c r="E608" s="159" t="s">
        <v>885</v>
      </c>
      <c r="F608" s="159" t="s">
        <v>485</v>
      </c>
      <c r="G608" s="360">
        <f t="shared" si="126"/>
        <v>29</v>
      </c>
      <c r="H608" s="360">
        <f t="shared" si="126"/>
        <v>1780.9</v>
      </c>
      <c r="I608" s="360">
        <f t="shared" si="126"/>
        <v>0</v>
      </c>
      <c r="J608" s="170">
        <f t="shared" si="126"/>
        <v>-50</v>
      </c>
      <c r="K608" s="170" t="e">
        <f>K609</f>
        <v>#REF!</v>
      </c>
      <c r="L608" s="170">
        <v>1100</v>
      </c>
      <c r="M608" s="170">
        <v>-1100</v>
      </c>
      <c r="N608" s="170">
        <f>L608+M608</f>
        <v>0</v>
      </c>
      <c r="O608" s="170"/>
    </row>
    <row r="609" spans="1:15" ht="26.25" customHeight="1">
      <c r="A609" s="213" t="s">
        <v>664</v>
      </c>
      <c r="B609" s="159" t="s">
        <v>657</v>
      </c>
      <c r="C609" s="159" t="s">
        <v>392</v>
      </c>
      <c r="D609" s="159" t="s">
        <v>382</v>
      </c>
      <c r="E609" s="159" t="s">
        <v>885</v>
      </c>
      <c r="F609" s="159" t="s">
        <v>588</v>
      </c>
      <c r="G609" s="360">
        <f t="shared" si="126"/>
        <v>29</v>
      </c>
      <c r="H609" s="360">
        <f t="shared" si="126"/>
        <v>1780.9</v>
      </c>
      <c r="I609" s="360">
        <f t="shared" si="126"/>
        <v>0</v>
      </c>
      <c r="J609" s="170">
        <f t="shared" si="126"/>
        <v>-50</v>
      </c>
      <c r="K609" s="170" t="e">
        <f t="shared" si="126"/>
        <v>#REF!</v>
      </c>
      <c r="L609" s="170"/>
      <c r="M609" s="170">
        <v>122.5</v>
      </c>
      <c r="N609" s="170">
        <f>L609+M609</f>
        <v>122.5</v>
      </c>
      <c r="O609" s="170">
        <v>122.5</v>
      </c>
    </row>
    <row r="610" spans="1:16" ht="26.25" customHeight="1">
      <c r="A610" s="213" t="s">
        <v>665</v>
      </c>
      <c r="B610" s="159" t="s">
        <v>657</v>
      </c>
      <c r="C610" s="159" t="s">
        <v>392</v>
      </c>
      <c r="D610" s="159" t="s">
        <v>382</v>
      </c>
      <c r="E610" s="159" t="s">
        <v>885</v>
      </c>
      <c r="F610" s="159" t="s">
        <v>579</v>
      </c>
      <c r="G610" s="360">
        <v>29</v>
      </c>
      <c r="H610" s="357">
        <v>1780.9</v>
      </c>
      <c r="I610" s="360"/>
      <c r="J610" s="170">
        <v>-50</v>
      </c>
      <c r="K610" s="170" t="e">
        <f>#REF!+J610</f>
        <v>#REF!</v>
      </c>
      <c r="L610" s="170"/>
      <c r="M610" s="170">
        <f>1165.02+0.08-0.02</f>
        <v>1165.08</v>
      </c>
      <c r="N610" s="170">
        <f>L610+M610</f>
        <v>1165.08</v>
      </c>
      <c r="O610" s="170">
        <v>1159.36</v>
      </c>
      <c r="P610" s="210"/>
    </row>
    <row r="611" spans="1:15" ht="15">
      <c r="A611" s="380" t="s">
        <v>888</v>
      </c>
      <c r="B611" s="351"/>
      <c r="C611" s="351" t="s">
        <v>889</v>
      </c>
      <c r="D611" s="351" t="s">
        <v>889</v>
      </c>
      <c r="E611" s="351" t="s">
        <v>890</v>
      </c>
      <c r="F611" s="351" t="s">
        <v>891</v>
      </c>
      <c r="G611" s="360"/>
      <c r="H611" s="357"/>
      <c r="I611" s="360"/>
      <c r="J611" s="170"/>
      <c r="K611" s="170"/>
      <c r="L611" s="161">
        <v>18865.49</v>
      </c>
      <c r="M611" s="161">
        <f>-11570.67+0.02</f>
        <v>-11570.65</v>
      </c>
      <c r="N611" s="161">
        <f>L611+M611</f>
        <v>7294.840000000002</v>
      </c>
      <c r="O611" s="161">
        <v>14788.9</v>
      </c>
    </row>
    <row r="612" spans="1:19" s="232" customFormat="1" ht="14.25">
      <c r="A612" s="349" t="s">
        <v>892</v>
      </c>
      <c r="B612" s="350"/>
      <c r="C612" s="350"/>
      <c r="D612" s="350"/>
      <c r="E612" s="350"/>
      <c r="F612" s="350"/>
      <c r="G612" s="394" t="e">
        <f>G9+G81+G171+G276+G369+G376+G558</f>
        <v>#REF!</v>
      </c>
      <c r="H612" s="364" t="e">
        <f>H9+H81+H171+H276+H369+H376+H558</f>
        <v>#REF!</v>
      </c>
      <c r="I612" s="394" t="e">
        <f>I9+I81+I171+I276+I369+I376+I558</f>
        <v>#REF!</v>
      </c>
      <c r="J612" s="161" t="e">
        <f>J9+J81+J171+J276+J369+J376+J558</f>
        <v>#REF!</v>
      </c>
      <c r="K612" s="161" t="e">
        <f>K9+K81+K171+K276+K369+K376+K558</f>
        <v>#REF!</v>
      </c>
      <c r="L612" s="161">
        <f>L9+L81+L171+L276+L376+L558+L611</f>
        <v>369952.007</v>
      </c>
      <c r="M612" s="161">
        <f>M9+M81+M171+M276+M369+M376+M558+M611</f>
        <v>-78158.40700000002</v>
      </c>
      <c r="N612" s="161">
        <f>N9+N81+N171+N276+N376+N558+N611</f>
        <v>291793.60000000003</v>
      </c>
      <c r="O612" s="161">
        <f>O9+O81+O171+O276+O369+O376+O558+O611</f>
        <v>295777.83</v>
      </c>
      <c r="P612" s="395">
        <f>O9+O81+O171+O376+O558+O611</f>
        <v>295777.83</v>
      </c>
      <c r="Q612" s="232">
        <v>349447.45</v>
      </c>
      <c r="R612" s="249">
        <v>371045.15</v>
      </c>
      <c r="S612" s="249">
        <v>369911.81</v>
      </c>
    </row>
    <row r="613" spans="1:19" s="280" customFormat="1" ht="13.5" customHeight="1">
      <c r="A613" s="396"/>
      <c r="B613" s="397"/>
      <c r="C613" s="397"/>
      <c r="D613" s="397"/>
      <c r="E613" s="397"/>
      <c r="F613" s="397"/>
      <c r="G613" s="282"/>
      <c r="H613" s="283"/>
      <c r="I613" s="282"/>
      <c r="J613" s="284"/>
      <c r="K613" s="284"/>
      <c r="L613" s="284"/>
      <c r="M613" s="398">
        <f>SUM(M614:M617)</f>
        <v>-37872.26</v>
      </c>
      <c r="N613" s="398">
        <f>B626-N612</f>
        <v>0</v>
      </c>
      <c r="O613" s="398">
        <f>C626-O612</f>
        <v>0</v>
      </c>
      <c r="P613" s="279"/>
      <c r="R613" s="281"/>
      <c r="S613" s="281"/>
    </row>
    <row r="614" spans="1:19" ht="15">
      <c r="A614" s="399" t="s">
        <v>476</v>
      </c>
      <c r="B614" s="400"/>
      <c r="C614" s="400"/>
      <c r="D614" s="400"/>
      <c r="E614" s="400"/>
      <c r="F614" s="400"/>
      <c r="G614" s="285"/>
      <c r="H614" s="286"/>
      <c r="I614" s="285"/>
      <c r="K614" s="289"/>
      <c r="L614" s="287"/>
      <c r="M614" s="288">
        <v>-12620.04</v>
      </c>
      <c r="N614" s="287"/>
      <c r="O614" s="288">
        <v>-12620.04</v>
      </c>
      <c r="Q614" s="215">
        <f>Q612-L612</f>
        <v>-20504.55699999997</v>
      </c>
      <c r="R614" s="207" t="e">
        <f>#REF!+8002.4</f>
        <v>#REF!</v>
      </c>
      <c r="S614" s="207">
        <f>L614+8002.4</f>
        <v>8002.4</v>
      </c>
    </row>
    <row r="615" spans="1:19" ht="25.5" customHeight="1">
      <c r="A615" s="401" t="s">
        <v>700</v>
      </c>
      <c r="B615" s="400"/>
      <c r="C615" s="400"/>
      <c r="D615" s="400"/>
      <c r="E615" s="400"/>
      <c r="F615" s="400"/>
      <c r="G615" s="285"/>
      <c r="H615" s="286"/>
      <c r="I615" s="285"/>
      <c r="J615" s="290"/>
      <c r="K615" s="291"/>
      <c r="L615" s="287"/>
      <c r="M615" s="288"/>
      <c r="N615" s="402">
        <v>292214.81</v>
      </c>
      <c r="O615" s="288"/>
      <c r="P615" s="150" t="s">
        <v>893</v>
      </c>
      <c r="Q615" s="215" t="e">
        <f>Q614+#REF!</f>
        <v>#REF!</v>
      </c>
      <c r="R615" s="207" t="e">
        <f>R612-R614</f>
        <v>#REF!</v>
      </c>
      <c r="S615" s="207">
        <f>S612-S614</f>
        <v>361909.41</v>
      </c>
    </row>
    <row r="616" spans="1:19" ht="15.75" customHeight="1">
      <c r="A616" s="401" t="s">
        <v>894</v>
      </c>
      <c r="B616" s="400"/>
      <c r="C616" s="400"/>
      <c r="D616" s="400"/>
      <c r="E616" s="400"/>
      <c r="F616" s="400"/>
      <c r="G616" s="285"/>
      <c r="H616" s="286"/>
      <c r="I616" s="285"/>
      <c r="J616" s="290"/>
      <c r="K616" s="291"/>
      <c r="L616" s="287"/>
      <c r="M616" s="288">
        <f>350.89+408+174.11+336</f>
        <v>1269</v>
      </c>
      <c r="N616" s="287">
        <f>N612-N615</f>
        <v>-421.20999999996275</v>
      </c>
      <c r="O616" s="288">
        <f>350.89+408+174.11+336</f>
        <v>1269</v>
      </c>
      <c r="Q616" s="215"/>
      <c r="R616" s="207"/>
      <c r="S616" s="207"/>
    </row>
    <row r="617" spans="1:17" ht="15">
      <c r="A617" s="292" t="s">
        <v>895</v>
      </c>
      <c r="B617" s="400"/>
      <c r="C617" s="400"/>
      <c r="D617" s="400"/>
      <c r="E617" s="400"/>
      <c r="F617" s="400"/>
      <c r="G617" s="285"/>
      <c r="H617" s="286"/>
      <c r="I617" s="285"/>
      <c r="K617" s="289"/>
      <c r="L617" s="287"/>
      <c r="M617" s="288">
        <v>-26521.22</v>
      </c>
      <c r="N617" s="287"/>
      <c r="O617" s="288">
        <v>-26521.22</v>
      </c>
      <c r="Q617" s="215"/>
    </row>
    <row r="618" spans="1:19" ht="15.75" thickBot="1">
      <c r="A618" s="286"/>
      <c r="B618" s="400">
        <v>2013</v>
      </c>
      <c r="C618" s="400">
        <v>2014</v>
      </c>
      <c r="H618" s="207"/>
      <c r="K618" s="289"/>
      <c r="L618" s="289"/>
      <c r="N618" s="289"/>
      <c r="Q618" s="215"/>
      <c r="R618" s="150" t="e">
        <f>#REF!*2.6%</f>
        <v>#REF!</v>
      </c>
      <c r="S618" s="150">
        <f>L612*5.1%</f>
        <v>18867.552356999997</v>
      </c>
    </row>
    <row r="619" spans="1:19" ht="15.75" thickBot="1">
      <c r="A619" s="286" t="s">
        <v>1067</v>
      </c>
      <c r="B619" s="512">
        <f>55800-4000</f>
        <v>51800</v>
      </c>
      <c r="C619" s="513">
        <f>57915.23-4000</f>
        <v>53915.23</v>
      </c>
      <c r="E619" s="449">
        <f>SUM(L620:L632)</f>
        <v>22584.56</v>
      </c>
      <c r="F619" s="403" t="s">
        <v>382</v>
      </c>
      <c r="G619" s="293" t="e">
        <f>G82+G172+G377+G559</f>
        <v>#REF!</v>
      </c>
      <c r="H619" s="293">
        <f>H82+H172+H377+H559</f>
        <v>18920.129999999997</v>
      </c>
      <c r="I619" s="294">
        <f>I82+I172+I377+I559</f>
        <v>0</v>
      </c>
      <c r="J619" s="295">
        <f>J82+J172+J377+J559</f>
        <v>-833.36</v>
      </c>
      <c r="K619" s="296" t="e">
        <f>K82+K172+K377+K559</f>
        <v>#REF!</v>
      </c>
      <c r="L619" s="295">
        <f>L172+L377+L559</f>
        <v>22584.559999999998</v>
      </c>
      <c r="M619" s="295">
        <f>M172+M377+M559</f>
        <v>2085.130000000001</v>
      </c>
      <c r="N619" s="295">
        <f>N172+N377+N559</f>
        <v>24669.690000000002</v>
      </c>
      <c r="O619" s="295">
        <f>O172+O377+O559</f>
        <v>26177.280000000002</v>
      </c>
      <c r="R619" s="150">
        <v>9647.1739</v>
      </c>
      <c r="S619" s="150">
        <v>18865.50231</v>
      </c>
    </row>
    <row r="620" spans="1:19" ht="15">
      <c r="A620" s="286" t="s">
        <v>1068</v>
      </c>
      <c r="B620" s="512">
        <f>2137.9+156499.8</f>
        <v>158637.69999999998</v>
      </c>
      <c r="C620" s="513">
        <f>2137.9+158576.2</f>
        <v>160714.1</v>
      </c>
      <c r="F620" s="404" t="s">
        <v>896</v>
      </c>
      <c r="G620" s="297">
        <f aca="true" t="shared" si="127" ref="G620:L620">G378</f>
        <v>0</v>
      </c>
      <c r="H620" s="297">
        <f t="shared" si="127"/>
        <v>861</v>
      </c>
      <c r="I620" s="297">
        <f t="shared" si="127"/>
        <v>0</v>
      </c>
      <c r="J620" s="298">
        <f t="shared" si="127"/>
        <v>0</v>
      </c>
      <c r="K620" s="298" t="e">
        <f t="shared" si="127"/>
        <v>#REF!</v>
      </c>
      <c r="L620" s="430">
        <f t="shared" si="127"/>
        <v>1012.93</v>
      </c>
      <c r="M620" s="430">
        <f>M378</f>
        <v>34.97000000000014</v>
      </c>
      <c r="N620" s="430">
        <f>N378</f>
        <v>1047.9</v>
      </c>
      <c r="O620" s="430">
        <f>O378</f>
        <v>1047.9</v>
      </c>
      <c r="R620" s="299" t="e">
        <f>#REF!+R619</f>
        <v>#REF!</v>
      </c>
      <c r="S620" s="299">
        <f>S619+L618</f>
        <v>18865.50231</v>
      </c>
    </row>
    <row r="621" spans="1:19" ht="15">
      <c r="A621" s="286" t="s">
        <v>1069</v>
      </c>
      <c r="B621" s="512">
        <v>65244.2</v>
      </c>
      <c r="C621" s="513">
        <v>65244.2</v>
      </c>
      <c r="F621" s="404"/>
      <c r="G621" s="297"/>
      <c r="H621" s="297"/>
      <c r="I621" s="297"/>
      <c r="J621" s="298"/>
      <c r="K621" s="298"/>
      <c r="L621" s="430"/>
      <c r="M621" s="430"/>
      <c r="N621" s="430"/>
      <c r="O621" s="430"/>
      <c r="R621" s="299"/>
      <c r="S621" s="299"/>
    </row>
    <row r="622" spans="1:19" ht="15">
      <c r="A622" s="286" t="s">
        <v>1070</v>
      </c>
      <c r="B622" s="514">
        <f>9883.1+564.6</f>
        <v>10447.7</v>
      </c>
      <c r="C622" s="514">
        <f>9883.1+581.2</f>
        <v>10464.300000000001</v>
      </c>
      <c r="F622" s="404"/>
      <c r="G622" s="297"/>
      <c r="H622" s="297"/>
      <c r="I622" s="297"/>
      <c r="J622" s="298"/>
      <c r="K622" s="298"/>
      <c r="L622" s="430"/>
      <c r="M622" s="430"/>
      <c r="N622" s="430"/>
      <c r="O622" s="430"/>
      <c r="R622" s="299"/>
      <c r="S622" s="299"/>
    </row>
    <row r="623" spans="1:19" ht="15">
      <c r="A623" s="286" t="s">
        <v>1071</v>
      </c>
      <c r="B623" s="514">
        <v>4000</v>
      </c>
      <c r="C623" s="514">
        <v>4000</v>
      </c>
      <c r="F623" s="404"/>
      <c r="G623" s="297"/>
      <c r="H623" s="297"/>
      <c r="I623" s="297"/>
      <c r="J623" s="298"/>
      <c r="K623" s="298"/>
      <c r="L623" s="430"/>
      <c r="M623" s="430"/>
      <c r="N623" s="430"/>
      <c r="O623" s="430"/>
      <c r="R623" s="299"/>
      <c r="S623" s="299"/>
    </row>
    <row r="624" spans="1:15" ht="15">
      <c r="A624" s="286" t="s">
        <v>75</v>
      </c>
      <c r="B624" s="512">
        <v>1664</v>
      </c>
      <c r="C624" s="512">
        <v>1440</v>
      </c>
      <c r="F624" s="350" t="s">
        <v>897</v>
      </c>
      <c r="G624" s="300">
        <f>G384</f>
        <v>30</v>
      </c>
      <c r="H624" s="300">
        <f aca="true" t="shared" si="128" ref="H624:O624">H383</f>
        <v>1353</v>
      </c>
      <c r="I624" s="300">
        <f t="shared" si="128"/>
        <v>0</v>
      </c>
      <c r="J624" s="301">
        <f t="shared" si="128"/>
        <v>0</v>
      </c>
      <c r="K624" s="301" t="e">
        <f t="shared" si="128"/>
        <v>#REF!</v>
      </c>
      <c r="L624" s="431">
        <f t="shared" si="128"/>
        <v>1589.6999999999998</v>
      </c>
      <c r="M624" s="431">
        <f t="shared" si="128"/>
        <v>189.73000000000002</v>
      </c>
      <c r="N624" s="431">
        <f t="shared" si="128"/>
        <v>1779.4299999999998</v>
      </c>
      <c r="O624" s="431">
        <f t="shared" si="128"/>
        <v>1768.6</v>
      </c>
    </row>
    <row r="625" spans="1:15" ht="15">
      <c r="A625" s="285" t="s">
        <v>1072</v>
      </c>
      <c r="B625" s="512"/>
      <c r="C625" s="514"/>
      <c r="F625" s="350" t="s">
        <v>898</v>
      </c>
      <c r="G625" s="300" t="e">
        <f>G393+G560+G83+G173</f>
        <v>#REF!</v>
      </c>
      <c r="H625" s="302">
        <f>H393+H560+H83+H173</f>
        <v>11828.130000000001</v>
      </c>
      <c r="I625" s="302">
        <f>I393+I560+I83+I173</f>
        <v>0</v>
      </c>
      <c r="J625" s="218">
        <f>J393+J560+J83+J173</f>
        <v>-216.864</v>
      </c>
      <c r="K625" s="218" t="e">
        <f>K393+K560+K83+K173</f>
        <v>#REF!</v>
      </c>
      <c r="L625" s="218">
        <f>L393+L560+L173</f>
        <v>15868.98</v>
      </c>
      <c r="M625" s="218">
        <f>M393+M560+M173</f>
        <v>1014.7700000000007</v>
      </c>
      <c r="N625" s="218">
        <f>N393+N560+N173</f>
        <v>16883.75</v>
      </c>
      <c r="O625" s="218">
        <f>O393+O560+O173</f>
        <v>18687.17</v>
      </c>
    </row>
    <row r="626" spans="1:15" ht="15">
      <c r="A626" s="285"/>
      <c r="B626" s="513">
        <f>SUM(B619:B625)</f>
        <v>291793.6</v>
      </c>
      <c r="C626" s="513">
        <f>SUM(C619:C625)</f>
        <v>295777.83</v>
      </c>
      <c r="D626" s="410"/>
      <c r="F626" s="350" t="s">
        <v>899</v>
      </c>
      <c r="G626" s="300">
        <f>G407</f>
        <v>0</v>
      </c>
      <c r="H626" s="303">
        <f>H421</f>
        <v>0</v>
      </c>
      <c r="I626" s="303">
        <f>I421</f>
        <v>0</v>
      </c>
      <c r="J626" s="304">
        <f>J421</f>
        <v>0</v>
      </c>
      <c r="K626" s="304" t="e">
        <f>K421</f>
        <v>#REF!</v>
      </c>
      <c r="L626" s="304">
        <f>L411</f>
        <v>0</v>
      </c>
      <c r="M626" s="304">
        <f>M411</f>
        <v>0</v>
      </c>
      <c r="N626" s="304">
        <f>N411</f>
        <v>0</v>
      </c>
      <c r="O626" s="304">
        <f>O411</f>
        <v>0</v>
      </c>
    </row>
    <row r="627" spans="1:15" ht="15">
      <c r="A627" s="285"/>
      <c r="B627" s="512"/>
      <c r="C627" s="512"/>
      <c r="F627" s="350" t="s">
        <v>900</v>
      </c>
      <c r="G627" s="300">
        <f>G184</f>
        <v>412.31000000000006</v>
      </c>
      <c r="H627" s="300">
        <f>H184</f>
        <v>2981.6</v>
      </c>
      <c r="I627" s="300">
        <f>I184</f>
        <v>0</v>
      </c>
      <c r="J627" s="301">
        <f>J184</f>
        <v>-205.496</v>
      </c>
      <c r="K627" s="218" t="e">
        <f>K184</f>
        <v>#REF!</v>
      </c>
      <c r="L627" s="218">
        <f>L179+L415</f>
        <v>3092.22</v>
      </c>
      <c r="M627" s="218">
        <f>M179+M415</f>
        <v>457.00000000000045</v>
      </c>
      <c r="N627" s="218">
        <f>N179+N415</f>
        <v>3549.2200000000003</v>
      </c>
      <c r="O627" s="218">
        <f>O179+O415</f>
        <v>3549.2200000000003</v>
      </c>
    </row>
    <row r="628" spans="1:15" ht="15">
      <c r="A628" s="285"/>
      <c r="B628" s="512"/>
      <c r="C628" s="512"/>
      <c r="F628" s="350" t="s">
        <v>901</v>
      </c>
      <c r="G628" s="300">
        <f>G425</f>
        <v>0</v>
      </c>
      <c r="H628" s="300">
        <f>H425</f>
        <v>20</v>
      </c>
      <c r="I628" s="300">
        <f>I425</f>
        <v>0</v>
      </c>
      <c r="J628" s="301">
        <f>J425</f>
        <v>0</v>
      </c>
      <c r="K628" s="218" t="e">
        <f>K425</f>
        <v>#REF!</v>
      </c>
      <c r="L628" s="218">
        <f>L421</f>
        <v>0</v>
      </c>
      <c r="M628" s="218">
        <f>M421</f>
        <v>100</v>
      </c>
      <c r="N628" s="218">
        <f>N421</f>
        <v>100</v>
      </c>
      <c r="O628" s="218">
        <f>O421</f>
        <v>0</v>
      </c>
    </row>
    <row r="629" spans="1:15" ht="15">
      <c r="A629" s="285"/>
      <c r="B629" s="512"/>
      <c r="C629" s="512"/>
      <c r="F629" s="350" t="s">
        <v>902</v>
      </c>
      <c r="G629" s="305">
        <f>G192</f>
        <v>0</v>
      </c>
      <c r="H629" s="305">
        <f>H192</f>
        <v>63</v>
      </c>
      <c r="I629" s="305">
        <f>I192</f>
        <v>0</v>
      </c>
      <c r="J629" s="301">
        <f>J192</f>
        <v>0</v>
      </c>
      <c r="K629" s="218" t="e">
        <f>K192</f>
        <v>#REF!</v>
      </c>
      <c r="L629" s="306">
        <f>L188</f>
        <v>433</v>
      </c>
      <c r="M629" s="306">
        <f>M188</f>
        <v>-100</v>
      </c>
      <c r="N629" s="306">
        <f>N188</f>
        <v>333</v>
      </c>
      <c r="O629" s="306">
        <f>O188</f>
        <v>233</v>
      </c>
    </row>
    <row r="630" spans="6:15" ht="15">
      <c r="F630" s="350" t="s">
        <v>903</v>
      </c>
      <c r="G630" s="300">
        <f>G202</f>
        <v>-233.58</v>
      </c>
      <c r="H630" s="300">
        <f>H202</f>
        <v>0</v>
      </c>
      <c r="I630" s="300">
        <f>I202</f>
        <v>0</v>
      </c>
      <c r="J630" s="301">
        <f>J202</f>
        <v>-323</v>
      </c>
      <c r="K630" s="218" t="e">
        <f>K202</f>
        <v>#REF!</v>
      </c>
      <c r="L630" s="218"/>
      <c r="M630" s="218"/>
      <c r="N630" s="218"/>
      <c r="O630" s="218"/>
    </row>
    <row r="631" spans="6:15" ht="15">
      <c r="F631" s="350" t="s">
        <v>904</v>
      </c>
      <c r="G631" s="300"/>
      <c r="H631" s="300"/>
      <c r="I631" s="300"/>
      <c r="J631" s="218">
        <f>J430+J208</f>
        <v>0</v>
      </c>
      <c r="K631" s="218">
        <f>K430+K208</f>
        <v>0</v>
      </c>
      <c r="L631" s="218">
        <f>L193+L426</f>
        <v>587.73</v>
      </c>
      <c r="M631" s="218">
        <f>M193+M426</f>
        <v>388.65999999999997</v>
      </c>
      <c r="N631" s="218">
        <f>N193+N426</f>
        <v>976.39</v>
      </c>
      <c r="O631" s="218">
        <f>O193+O426</f>
        <v>891.39</v>
      </c>
    </row>
    <row r="632" spans="6:15" ht="15.75" thickBot="1">
      <c r="F632" s="405" t="s">
        <v>905</v>
      </c>
      <c r="G632" s="308">
        <f>G210+G443</f>
        <v>-1000</v>
      </c>
      <c r="H632" s="308">
        <f>H210+H443</f>
        <v>1813.4</v>
      </c>
      <c r="I632" s="308">
        <f>I210+I443</f>
        <v>0</v>
      </c>
      <c r="J632" s="310">
        <f>J210+J443</f>
        <v>-88</v>
      </c>
      <c r="K632" s="309" t="e">
        <f>K210+K443</f>
        <v>#REF!</v>
      </c>
      <c r="L632" s="309"/>
      <c r="M632" s="309"/>
      <c r="N632" s="309"/>
      <c r="O632" s="309"/>
    </row>
    <row r="633" spans="5:15" ht="15.75" thickBot="1">
      <c r="E633" s="410">
        <f>SUM(L634)</f>
        <v>567.6</v>
      </c>
      <c r="F633" s="403" t="s">
        <v>383</v>
      </c>
      <c r="G633" s="311"/>
      <c r="H633" s="311"/>
      <c r="I633" s="311"/>
      <c r="J633" s="314"/>
      <c r="K633" s="315"/>
      <c r="L633" s="313">
        <f aca="true" t="shared" si="129" ref="L633:O634">L199</f>
        <v>567.6</v>
      </c>
      <c r="M633" s="313">
        <f t="shared" si="129"/>
        <v>-3</v>
      </c>
      <c r="N633" s="313">
        <f t="shared" si="129"/>
        <v>564.6</v>
      </c>
      <c r="O633" s="313">
        <f t="shared" si="129"/>
        <v>581.2</v>
      </c>
    </row>
    <row r="634" spans="6:15" ht="15.75" thickBot="1">
      <c r="F634" s="406" t="s">
        <v>906</v>
      </c>
      <c r="G634" s="316"/>
      <c r="H634" s="316"/>
      <c r="I634" s="316"/>
      <c r="J634" s="317"/>
      <c r="K634" s="315"/>
      <c r="L634" s="315">
        <f t="shared" si="129"/>
        <v>567.6</v>
      </c>
      <c r="M634" s="315">
        <f t="shared" si="129"/>
        <v>-3</v>
      </c>
      <c r="N634" s="315">
        <f t="shared" si="129"/>
        <v>564.6</v>
      </c>
      <c r="O634" s="315">
        <f t="shared" si="129"/>
        <v>581.2</v>
      </c>
    </row>
    <row r="635" spans="5:15" ht="15.75" thickBot="1">
      <c r="E635" s="410">
        <f>SUM(L636:L638)</f>
        <v>75</v>
      </c>
      <c r="F635" s="403" t="s">
        <v>384</v>
      </c>
      <c r="G635" s="318">
        <f>G452+G370</f>
        <v>0</v>
      </c>
      <c r="H635" s="318">
        <f>H452+H370</f>
        <v>583.7</v>
      </c>
      <c r="I635" s="318">
        <f>I452+I370</f>
        <v>0</v>
      </c>
      <c r="J635" s="312">
        <f>J636+J637+J638</f>
        <v>0</v>
      </c>
      <c r="K635" s="312" t="e">
        <f>K636+K637+K638</f>
        <v>#REF!</v>
      </c>
      <c r="L635" s="312">
        <f>L204+L440</f>
        <v>75</v>
      </c>
      <c r="M635" s="312">
        <f>M204+M440</f>
        <v>25</v>
      </c>
      <c r="N635" s="312">
        <f>N204+N440</f>
        <v>100</v>
      </c>
      <c r="O635" s="312">
        <f>O204+O440</f>
        <v>25</v>
      </c>
    </row>
    <row r="636" spans="6:15" ht="15">
      <c r="F636" s="404" t="s">
        <v>907</v>
      </c>
      <c r="G636" s="297">
        <f>G371</f>
        <v>0</v>
      </c>
      <c r="H636" s="297">
        <f>H371</f>
        <v>526.1</v>
      </c>
      <c r="I636" s="297">
        <f>I371</f>
        <v>0</v>
      </c>
      <c r="J636" s="319">
        <f>J371+J218</f>
        <v>0</v>
      </c>
      <c r="K636" s="319" t="e">
        <f>K371+K218</f>
        <v>#REF!</v>
      </c>
      <c r="L636" s="319">
        <f>L205</f>
        <v>0</v>
      </c>
      <c r="M636" s="319">
        <f>M205</f>
        <v>0</v>
      </c>
      <c r="N636" s="319">
        <f>N205</f>
        <v>0</v>
      </c>
      <c r="O636" s="319">
        <f>O205</f>
        <v>0</v>
      </c>
    </row>
    <row r="637" spans="6:15" ht="15">
      <c r="F637" s="350" t="s">
        <v>908</v>
      </c>
      <c r="G637" s="300">
        <f>G453</f>
        <v>0</v>
      </c>
      <c r="H637" s="300">
        <f>H453</f>
        <v>57.6</v>
      </c>
      <c r="I637" s="300">
        <f>I453</f>
        <v>0</v>
      </c>
      <c r="J637" s="301">
        <f>J453</f>
        <v>0</v>
      </c>
      <c r="K637" s="218" t="e">
        <f>K453</f>
        <v>#REF!</v>
      </c>
      <c r="L637" s="218">
        <f>L441</f>
        <v>75</v>
      </c>
      <c r="M637" s="218">
        <f>M441</f>
        <v>0</v>
      </c>
      <c r="N637" s="218">
        <f>N441</f>
        <v>75</v>
      </c>
      <c r="O637" s="218">
        <f>O441</f>
        <v>0</v>
      </c>
    </row>
    <row r="638" spans="6:15" ht="15.75" thickBot="1">
      <c r="F638" s="407" t="s">
        <v>909</v>
      </c>
      <c r="G638" s="316"/>
      <c r="H638" s="316"/>
      <c r="I638" s="316"/>
      <c r="J638" s="315">
        <f>J458</f>
        <v>0</v>
      </c>
      <c r="K638" s="315">
        <f>K458</f>
        <v>0</v>
      </c>
      <c r="L638" s="315">
        <f>L446</f>
        <v>0</v>
      </c>
      <c r="M638" s="315">
        <f>M446</f>
        <v>25</v>
      </c>
      <c r="N638" s="315">
        <f>N446</f>
        <v>25</v>
      </c>
      <c r="O638" s="315">
        <f>O446</f>
        <v>25</v>
      </c>
    </row>
    <row r="639" spans="5:15" ht="15.75" thickBot="1">
      <c r="E639" s="410">
        <f>SUM(L640:L643)</f>
        <v>825</v>
      </c>
      <c r="F639" s="408" t="s">
        <v>385</v>
      </c>
      <c r="G639" s="318">
        <f aca="true" t="shared" si="130" ref="G639:K640">G225+G463</f>
        <v>4086.5</v>
      </c>
      <c r="H639" s="318">
        <f t="shared" si="130"/>
        <v>2442.48</v>
      </c>
      <c r="I639" s="318">
        <f t="shared" si="130"/>
        <v>0</v>
      </c>
      <c r="J639" s="320">
        <f t="shared" si="130"/>
        <v>0</v>
      </c>
      <c r="K639" s="321" t="e">
        <f t="shared" si="130"/>
        <v>#REF!</v>
      </c>
      <c r="L639" s="312">
        <f>L213+L451</f>
        <v>825</v>
      </c>
      <c r="M639" s="312">
        <f>M640+M641+M642+M643</f>
        <v>711.54</v>
      </c>
      <c r="N639" s="312">
        <f>N640+N641+N642+N643</f>
        <v>1536.54</v>
      </c>
      <c r="O639" s="312">
        <f>O640+O641+O642+O643</f>
        <v>160</v>
      </c>
    </row>
    <row r="640" spans="6:15" ht="15">
      <c r="F640" s="404" t="s">
        <v>910</v>
      </c>
      <c r="G640" s="297">
        <f t="shared" si="130"/>
        <v>0</v>
      </c>
      <c r="H640" s="322">
        <f t="shared" si="130"/>
        <v>272.48</v>
      </c>
      <c r="I640" s="297">
        <f t="shared" si="130"/>
        <v>0</v>
      </c>
      <c r="J640" s="298">
        <f t="shared" si="130"/>
        <v>0</v>
      </c>
      <c r="K640" s="319" t="e">
        <f t="shared" si="130"/>
        <v>#REF!</v>
      </c>
      <c r="L640" s="319">
        <f>L452</f>
        <v>0</v>
      </c>
      <c r="M640" s="319">
        <f>M452</f>
        <v>160</v>
      </c>
      <c r="N640" s="319">
        <f>N452</f>
        <v>160</v>
      </c>
      <c r="O640" s="319">
        <f>O452</f>
        <v>160</v>
      </c>
    </row>
    <row r="641" spans="6:15" ht="15">
      <c r="F641" s="350" t="s">
        <v>911</v>
      </c>
      <c r="G641" s="316">
        <f>G467</f>
        <v>786.5</v>
      </c>
      <c r="H641" s="316">
        <f>H467</f>
        <v>0</v>
      </c>
      <c r="I641" s="316">
        <f>I467</f>
        <v>0</v>
      </c>
      <c r="J641" s="317">
        <f>J467</f>
        <v>0</v>
      </c>
      <c r="K641" s="315" t="e">
        <f>K467</f>
        <v>#REF!</v>
      </c>
      <c r="L641" s="218"/>
      <c r="M641" s="218"/>
      <c r="N641" s="218"/>
      <c r="O641" s="218"/>
    </row>
    <row r="642" spans="6:15" ht="15">
      <c r="F642" s="406" t="s">
        <v>912</v>
      </c>
      <c r="G642" s="316"/>
      <c r="H642" s="323">
        <f>H470</f>
        <v>0</v>
      </c>
      <c r="I642" s="323">
        <f>I470</f>
        <v>0</v>
      </c>
      <c r="J642" s="324">
        <f>J470</f>
        <v>0</v>
      </c>
      <c r="K642" s="315" t="e">
        <f>K470</f>
        <v>#REF!</v>
      </c>
      <c r="L642" s="315"/>
      <c r="M642" s="315"/>
      <c r="N642" s="315"/>
      <c r="O642" s="315"/>
    </row>
    <row r="643" spans="6:15" ht="15.75" thickBot="1">
      <c r="F643" s="405" t="s">
        <v>913</v>
      </c>
      <c r="G643" s="308">
        <f>G474+G232</f>
        <v>3300</v>
      </c>
      <c r="H643" s="308">
        <f>H474+H232</f>
        <v>2170</v>
      </c>
      <c r="I643" s="308">
        <f>I474+I232</f>
        <v>0</v>
      </c>
      <c r="J643" s="310">
        <f>J474+J232</f>
        <v>0</v>
      </c>
      <c r="K643" s="309" t="e">
        <f>K474+K232</f>
        <v>#REF!</v>
      </c>
      <c r="L643" s="309">
        <f>L457</f>
        <v>825</v>
      </c>
      <c r="M643" s="309">
        <f>M457</f>
        <v>551.54</v>
      </c>
      <c r="N643" s="309">
        <f>N457</f>
        <v>1376.54</v>
      </c>
      <c r="O643" s="309">
        <f>O457</f>
        <v>0</v>
      </c>
    </row>
    <row r="644" spans="5:15" ht="15.75" thickBot="1">
      <c r="E644" s="409">
        <f>SUM(L645:L648)</f>
        <v>500</v>
      </c>
      <c r="F644" s="403" t="s">
        <v>387</v>
      </c>
      <c r="G644" s="318">
        <f>G486</f>
        <v>-1048.5</v>
      </c>
      <c r="H644" s="326">
        <f>H486+H240</f>
        <v>1667</v>
      </c>
      <c r="I644" s="326">
        <f>I486+I240</f>
        <v>31353.699999999997</v>
      </c>
      <c r="J644" s="328" t="e">
        <f>J486+J240</f>
        <v>#REF!</v>
      </c>
      <c r="K644" s="328" t="e">
        <f>K486+K240</f>
        <v>#REF!</v>
      </c>
      <c r="L644" s="327">
        <f aca="true" t="shared" si="131" ref="L644:O645">L467</f>
        <v>500</v>
      </c>
      <c r="M644" s="327">
        <f t="shared" si="131"/>
        <v>1850</v>
      </c>
      <c r="N644" s="327">
        <f t="shared" si="131"/>
        <v>2350</v>
      </c>
      <c r="O644" s="327">
        <f t="shared" si="131"/>
        <v>0</v>
      </c>
    </row>
    <row r="645" spans="6:15" ht="15">
      <c r="F645" s="404" t="s">
        <v>914</v>
      </c>
      <c r="G645" s="297">
        <f>G488</f>
        <v>-40</v>
      </c>
      <c r="H645" s="329">
        <f>H488+H241</f>
        <v>0</v>
      </c>
      <c r="I645" s="329">
        <f>I488+I241</f>
        <v>31353.699999999997</v>
      </c>
      <c r="J645" s="330">
        <f>J241+J487</f>
        <v>0</v>
      </c>
      <c r="K645" s="330" t="e">
        <f>K241+K487</f>
        <v>#REF!</v>
      </c>
      <c r="L645" s="330">
        <f t="shared" si="131"/>
        <v>0</v>
      </c>
      <c r="M645" s="330">
        <f t="shared" si="131"/>
        <v>0</v>
      </c>
      <c r="N645" s="330">
        <f t="shared" si="131"/>
        <v>0</v>
      </c>
      <c r="O645" s="330">
        <f t="shared" si="131"/>
        <v>0</v>
      </c>
    </row>
    <row r="646" spans="6:15" ht="15">
      <c r="F646" s="350" t="s">
        <v>915</v>
      </c>
      <c r="G646" s="300">
        <f>G495</f>
        <v>2000</v>
      </c>
      <c r="H646" s="300">
        <f>H495</f>
        <v>1667</v>
      </c>
      <c r="I646" s="303">
        <f>I495</f>
        <v>0</v>
      </c>
      <c r="J646" s="304" t="e">
        <f>J495</f>
        <v>#REF!</v>
      </c>
      <c r="K646" s="218" t="e">
        <f>K495</f>
        <v>#REF!</v>
      </c>
      <c r="L646" s="218">
        <f>L472</f>
        <v>500</v>
      </c>
      <c r="M646" s="218">
        <f>M472</f>
        <v>1850</v>
      </c>
      <c r="N646" s="218">
        <f>N472</f>
        <v>2350</v>
      </c>
      <c r="O646" s="218">
        <f>O472</f>
        <v>0</v>
      </c>
    </row>
    <row r="647" spans="6:15" ht="15">
      <c r="F647" s="350" t="s">
        <v>916</v>
      </c>
      <c r="G647" s="300">
        <f>G526</f>
        <v>-786.5</v>
      </c>
      <c r="H647" s="300">
        <f>H526</f>
        <v>0</v>
      </c>
      <c r="I647" s="300">
        <f>I526</f>
        <v>0</v>
      </c>
      <c r="J647" s="301">
        <f>J526</f>
        <v>0</v>
      </c>
      <c r="K647" s="218" t="e">
        <f>K526</f>
        <v>#REF!</v>
      </c>
      <c r="L647" s="218">
        <f>L481</f>
        <v>0</v>
      </c>
      <c r="M647" s="218">
        <f>M481</f>
        <v>0</v>
      </c>
      <c r="N647" s="218">
        <f>N481</f>
        <v>0</v>
      </c>
      <c r="O647" s="218">
        <f>O481</f>
        <v>0</v>
      </c>
    </row>
    <row r="648" spans="6:15" ht="15.75" thickBot="1">
      <c r="F648" s="405" t="s">
        <v>917</v>
      </c>
      <c r="G648" s="308">
        <f>G530</f>
        <v>-2222</v>
      </c>
      <c r="H648" s="308">
        <f>H530</f>
        <v>0</v>
      </c>
      <c r="I648" s="308">
        <f>I530</f>
        <v>0</v>
      </c>
      <c r="J648" s="310">
        <f>J530</f>
        <v>0</v>
      </c>
      <c r="K648" s="309" t="e">
        <f>K530</f>
        <v>#REF!</v>
      </c>
      <c r="L648" s="309"/>
      <c r="M648" s="309"/>
      <c r="N648" s="309"/>
      <c r="O648" s="309"/>
    </row>
    <row r="649" spans="3:15" ht="15.75" thickBot="1">
      <c r="C649" s="410">
        <f>L649-E649</f>
        <v>0</v>
      </c>
      <c r="E649" s="409">
        <f>SUM(L650:L654)</f>
        <v>172945.17999999996</v>
      </c>
      <c r="F649" s="403" t="s">
        <v>390</v>
      </c>
      <c r="G649" s="331" t="e">
        <f>#REF!+G89+G248+G277+G536</f>
        <v>#REF!</v>
      </c>
      <c r="H649" s="331" t="e">
        <f>#REF!+H89+H248+H277+H536</f>
        <v>#REF!</v>
      </c>
      <c r="I649" s="331" t="e">
        <f>#REF!+I89+I248+I277+I536</f>
        <v>#REF!</v>
      </c>
      <c r="J649" s="321" t="e">
        <f>#REF!+J89+J248+J277+J536+J565</f>
        <v>#REF!</v>
      </c>
      <c r="K649" s="321" t="e">
        <f>#REF!+K89+K248+K277+K536+K565</f>
        <v>#REF!</v>
      </c>
      <c r="L649" s="312">
        <f>L82+L229+L485+L565+L277</f>
        <v>172945.17999999996</v>
      </c>
      <c r="M649" s="312">
        <f>M82+M229+M485+M565+M277</f>
        <v>23187.259999999987</v>
      </c>
      <c r="N649" s="312">
        <f>N82+N229+N485+N565+N277</f>
        <v>196132.44000000003</v>
      </c>
      <c r="O649" s="312">
        <f>O82+O229+O485+O565+O277</f>
        <v>196419.08</v>
      </c>
    </row>
    <row r="650" spans="6:15" ht="15">
      <c r="F650" s="404" t="s">
        <v>918</v>
      </c>
      <c r="G650" s="297">
        <f>G90</f>
        <v>-926.36</v>
      </c>
      <c r="H650" s="329">
        <f>H90+H539</f>
        <v>4401</v>
      </c>
      <c r="I650" s="329">
        <f>I90+I539</f>
        <v>0</v>
      </c>
      <c r="J650" s="330">
        <f>J90+J539</f>
        <v>805.6</v>
      </c>
      <c r="K650" s="330" t="e">
        <f>K90+K539</f>
        <v>#REF!</v>
      </c>
      <c r="L650" s="330">
        <f>L486+L83</f>
        <v>0</v>
      </c>
      <c r="M650" s="330">
        <f>M486+M83</f>
        <v>2564.73</v>
      </c>
      <c r="N650" s="330">
        <f>N486+N83</f>
        <v>2564.73</v>
      </c>
      <c r="O650" s="330">
        <f>O486+O83</f>
        <v>2557.0299999999997</v>
      </c>
    </row>
    <row r="651" spans="6:15" ht="15">
      <c r="F651" s="350" t="s">
        <v>919</v>
      </c>
      <c r="G651" s="302" t="e">
        <f>G95+#REF!</f>
        <v>#REF!</v>
      </c>
      <c r="H651" s="302">
        <f>H95</f>
        <v>135780.43999999997</v>
      </c>
      <c r="I651" s="302">
        <f>I95</f>
        <v>0</v>
      </c>
      <c r="J651" s="218">
        <f>J95+J543</f>
        <v>1721.3940000000002</v>
      </c>
      <c r="K651" s="218" t="e">
        <f>K95+K543</f>
        <v>#REF!</v>
      </c>
      <c r="L651" s="218">
        <f>L490+L88</f>
        <v>163990.99999999997</v>
      </c>
      <c r="M651" s="218">
        <f>M490+M88</f>
        <v>23331.99999999999</v>
      </c>
      <c r="N651" s="218">
        <f>N490+N88</f>
        <v>187323</v>
      </c>
      <c r="O651" s="218">
        <f>O490+O88</f>
        <v>187959.02</v>
      </c>
    </row>
    <row r="652" spans="6:15" ht="15">
      <c r="F652" s="350" t="s">
        <v>920</v>
      </c>
      <c r="G652" s="303" t="e">
        <f>#REF!+G133+G278+#REF!+G249</f>
        <v>#REF!</v>
      </c>
      <c r="H652" s="302" t="e">
        <f>#REF!+H133+H278+#REF!+H249</f>
        <v>#REF!</v>
      </c>
      <c r="I652" s="302" t="e">
        <f>#REF!+I133+I278+#REF!+I249</f>
        <v>#REF!</v>
      </c>
      <c r="J652" s="218" t="e">
        <f>#REF!+J133+J278+#REF!+J249</f>
        <v>#REF!</v>
      </c>
      <c r="K652" s="218" t="e">
        <f>#REF!+K133+K278+#REF!+K249</f>
        <v>#REF!</v>
      </c>
      <c r="L652" s="218">
        <f>L230+L116+L506</f>
        <v>850.51</v>
      </c>
      <c r="M652" s="218">
        <f>M230+M116+M506</f>
        <v>-719.01</v>
      </c>
      <c r="N652" s="218">
        <f>N230+N116+N506</f>
        <v>131.5</v>
      </c>
      <c r="O652" s="218">
        <f>O230+O116+O506</f>
        <v>0</v>
      </c>
    </row>
    <row r="653" spans="6:15" ht="15">
      <c r="F653" s="350" t="s">
        <v>921</v>
      </c>
      <c r="G653" s="300" t="e">
        <f>G140+#REF!</f>
        <v>#REF!</v>
      </c>
      <c r="H653" s="300" t="e">
        <f>H140+#REF!+H284</f>
        <v>#REF!</v>
      </c>
      <c r="I653" s="300" t="e">
        <f>I140+#REF!+I284</f>
        <v>#REF!</v>
      </c>
      <c r="J653" s="218" t="e">
        <f>J140+#REF!+J284+J566+#REF!</f>
        <v>#REF!</v>
      </c>
      <c r="K653" s="218" t="e">
        <f>K140+#REF!+K284+K566+#REF!</f>
        <v>#REF!</v>
      </c>
      <c r="L653" s="218">
        <f>L121+L284+L566</f>
        <v>2380.06</v>
      </c>
      <c r="M653" s="218">
        <f>M121+M284+M566+M513</f>
        <v>-1971.26</v>
      </c>
      <c r="N653" s="218">
        <f>N121+N284+N566+N513</f>
        <v>408.79999999999995</v>
      </c>
      <c r="O653" s="218">
        <f>O121+O284+O566+O513</f>
        <v>205.2</v>
      </c>
    </row>
    <row r="654" spans="6:15" ht="15.75" thickBot="1">
      <c r="F654" s="405" t="s">
        <v>922</v>
      </c>
      <c r="G654" s="308" t="e">
        <f>G147</f>
        <v>#REF!</v>
      </c>
      <c r="H654" s="308" t="e">
        <f>H147</f>
        <v>#REF!</v>
      </c>
      <c r="I654" s="308" t="e">
        <f>I147</f>
        <v>#REF!</v>
      </c>
      <c r="J654" s="310" t="e">
        <f>J147</f>
        <v>#REF!</v>
      </c>
      <c r="K654" s="309" t="e">
        <f>K147</f>
        <v>#REF!</v>
      </c>
      <c r="L654" s="309">
        <f>L131</f>
        <v>5723.61</v>
      </c>
      <c r="M654" s="309">
        <f>M131</f>
        <v>-19.199999999999704</v>
      </c>
      <c r="N654" s="309">
        <f>N131</f>
        <v>5704.41</v>
      </c>
      <c r="O654" s="309">
        <f>O131</f>
        <v>5697.83</v>
      </c>
    </row>
    <row r="655" spans="5:15" ht="15.75" thickBot="1">
      <c r="E655" s="410">
        <f>SUM(L656:L657)</f>
        <v>5266.02</v>
      </c>
      <c r="F655" s="403" t="s">
        <v>410</v>
      </c>
      <c r="G655" s="318" t="e">
        <f>#REF!+G576</f>
        <v>#REF!</v>
      </c>
      <c r="H655" s="318" t="e">
        <f>#REF!+H576</f>
        <v>#REF!</v>
      </c>
      <c r="I655" s="318" t="e">
        <f>#REF!+I576</f>
        <v>#REF!</v>
      </c>
      <c r="J655" s="320" t="e">
        <f>#REF!+J576</f>
        <v>#REF!</v>
      </c>
      <c r="K655" s="321" t="e">
        <f>#REF!+K576</f>
        <v>#REF!</v>
      </c>
      <c r="L655" s="312">
        <f>L574+L516</f>
        <v>5266.02</v>
      </c>
      <c r="M655" s="312">
        <f>M574+M516</f>
        <v>3251.0799999999995</v>
      </c>
      <c r="N655" s="312">
        <f>N574+N516</f>
        <v>8517.099999999999</v>
      </c>
      <c r="O655" s="312">
        <f>O574+O516</f>
        <v>8106.69</v>
      </c>
    </row>
    <row r="656" spans="6:15" ht="15">
      <c r="F656" s="404" t="s">
        <v>923</v>
      </c>
      <c r="G656" s="297">
        <f>G577</f>
        <v>137.57999999999998</v>
      </c>
      <c r="H656" s="297">
        <f>H577</f>
        <v>3820.25</v>
      </c>
      <c r="I656" s="332">
        <f>I577</f>
        <v>0</v>
      </c>
      <c r="J656" s="319" t="e">
        <f>J577+#REF!</f>
        <v>#REF!</v>
      </c>
      <c r="K656" s="319" t="e">
        <f>K577+#REF!</f>
        <v>#REF!</v>
      </c>
      <c r="L656" s="319">
        <f>L517+L575</f>
        <v>2294.25</v>
      </c>
      <c r="M656" s="319">
        <f>M517+M575</f>
        <v>3773.3599999999997</v>
      </c>
      <c r="N656" s="319">
        <f>N517+N575</f>
        <v>6067.61</v>
      </c>
      <c r="O656" s="319">
        <f>O517+O575</f>
        <v>5657.2</v>
      </c>
    </row>
    <row r="657" spans="6:15" ht="15.75" thickBot="1">
      <c r="F657" s="350" t="s">
        <v>924</v>
      </c>
      <c r="G657" s="305" t="e">
        <f>#REF!</f>
        <v>#REF!</v>
      </c>
      <c r="H657" s="307" t="e">
        <f>#REF!</f>
        <v>#REF!</v>
      </c>
      <c r="I657" s="307" t="e">
        <f>#REF!</f>
        <v>#REF!</v>
      </c>
      <c r="J657" s="218" t="e">
        <f>#REF!</f>
        <v>#REF!</v>
      </c>
      <c r="K657" s="218" t="e">
        <f>#REF!</f>
        <v>#REF!</v>
      </c>
      <c r="L657" s="306">
        <f>L597+L520</f>
        <v>2971.77</v>
      </c>
      <c r="M657" s="306">
        <f>M597+M520</f>
        <v>-522.2800000000002</v>
      </c>
      <c r="N657" s="306">
        <f>N597+N520</f>
        <v>2449.49</v>
      </c>
      <c r="O657" s="306">
        <f>O597+O520</f>
        <v>2449.49</v>
      </c>
    </row>
    <row r="658" spans="5:15" ht="15.75" thickBot="1">
      <c r="E658" s="410">
        <f>SUM(L659:L663)</f>
        <v>39141.270000000004</v>
      </c>
      <c r="F658" s="403" t="s">
        <v>404</v>
      </c>
      <c r="G658" s="318" t="e">
        <f>G10+#REF!</f>
        <v>#REF!</v>
      </c>
      <c r="H658" s="331" t="e">
        <f>H10+#REF!+#REF!</f>
        <v>#REF!</v>
      </c>
      <c r="I658" s="331" t="e">
        <f>I10+#REF!+#REF!</f>
        <v>#REF!</v>
      </c>
      <c r="J658" s="335" t="e">
        <f>J10+#REF!+#REF!</f>
        <v>#REF!</v>
      </c>
      <c r="K658" s="321" t="e">
        <f>K10+#REF!+#REF!</f>
        <v>#REF!</v>
      </c>
      <c r="L658" s="312">
        <f>L10+L236</f>
        <v>39141.270000000004</v>
      </c>
      <c r="M658" s="312">
        <f>M10+M236</f>
        <v>-39141.270000000004</v>
      </c>
      <c r="N658" s="312">
        <f>N10+N236</f>
        <v>0</v>
      </c>
      <c r="O658" s="312">
        <f>O10+O236</f>
        <v>0</v>
      </c>
    </row>
    <row r="659" spans="6:15" ht="15">
      <c r="F659" s="404" t="s">
        <v>926</v>
      </c>
      <c r="G659" s="297">
        <f>G11</f>
        <v>-5232</v>
      </c>
      <c r="H659" s="297">
        <f>H11</f>
        <v>30796.129999999997</v>
      </c>
      <c r="I659" s="297">
        <f>I11</f>
        <v>0</v>
      </c>
      <c r="J659" s="332">
        <f>J11+J255</f>
        <v>-265.3600000000001</v>
      </c>
      <c r="K659" s="332" t="e">
        <f>K11+K255</f>
        <v>#REF!</v>
      </c>
      <c r="L659" s="319">
        <f>L11+L238</f>
        <v>37553.47</v>
      </c>
      <c r="M659" s="319">
        <f>M11+M238</f>
        <v>-37553.47</v>
      </c>
      <c r="N659" s="319">
        <f>N11+N238</f>
        <v>0</v>
      </c>
      <c r="O659" s="319">
        <f>O11+O238</f>
        <v>0</v>
      </c>
    </row>
    <row r="660" spans="6:15" ht="15">
      <c r="F660" s="350" t="s">
        <v>927</v>
      </c>
      <c r="G660" s="300" t="e">
        <f>G28+#REF!</f>
        <v>#REF!</v>
      </c>
      <c r="H660" s="300" t="e">
        <f>H28+#REF!</f>
        <v>#REF!</v>
      </c>
      <c r="I660" s="300" t="e">
        <f>I28+#REF!</f>
        <v>#REF!</v>
      </c>
      <c r="J660" s="301" t="e">
        <f>J28+#REF!</f>
        <v>#REF!</v>
      </c>
      <c r="K660" s="218" t="e">
        <f>K28+#REF!</f>
        <v>#REF!</v>
      </c>
      <c r="L660" s="218">
        <f>L28</f>
        <v>1045</v>
      </c>
      <c r="M660" s="218">
        <f>M28</f>
        <v>-1045</v>
      </c>
      <c r="N660" s="218">
        <f>N28</f>
        <v>0</v>
      </c>
      <c r="O660" s="218">
        <f>O28</f>
        <v>0</v>
      </c>
    </row>
    <row r="661" spans="6:15" ht="15">
      <c r="F661" s="350" t="s">
        <v>928</v>
      </c>
      <c r="G661" s="300">
        <f aca="true" t="shared" si="132" ref="G661:O661">G48</f>
        <v>2852</v>
      </c>
      <c r="H661" s="300">
        <f t="shared" si="132"/>
        <v>0</v>
      </c>
      <c r="I661" s="300">
        <f t="shared" si="132"/>
        <v>0</v>
      </c>
      <c r="J661" s="301">
        <f t="shared" si="132"/>
        <v>-1.8800000000000026</v>
      </c>
      <c r="K661" s="218" t="e">
        <f t="shared" si="132"/>
        <v>#REF!</v>
      </c>
      <c r="L661" s="218">
        <f t="shared" si="132"/>
        <v>70</v>
      </c>
      <c r="M661" s="218">
        <f t="shared" si="132"/>
        <v>-70</v>
      </c>
      <c r="N661" s="218">
        <f t="shared" si="132"/>
        <v>0</v>
      </c>
      <c r="O661" s="218">
        <f t="shared" si="132"/>
        <v>0</v>
      </c>
    </row>
    <row r="662" spans="3:15" ht="15">
      <c r="C662" s="151" t="s">
        <v>929</v>
      </c>
      <c r="F662" s="350" t="s">
        <v>930</v>
      </c>
      <c r="G662" s="305" t="e">
        <f>#REF!</f>
        <v>#REF!</v>
      </c>
      <c r="H662" s="305" t="e">
        <f>#REF!+#REF!</f>
        <v>#REF!</v>
      </c>
      <c r="I662" s="305" t="e">
        <f>#REF!+#REF!</f>
        <v>#REF!</v>
      </c>
      <c r="J662" s="301" t="e">
        <f>#REF!+#REF!</f>
        <v>#REF!</v>
      </c>
      <c r="K662" s="218" t="e">
        <f>#REF!+#REF!</f>
        <v>#REF!</v>
      </c>
      <c r="L662" s="306"/>
      <c r="M662" s="306"/>
      <c r="N662" s="306"/>
      <c r="O662" s="306"/>
    </row>
    <row r="663" spans="6:15" ht="15.75" thickBot="1">
      <c r="F663" s="405" t="s">
        <v>931</v>
      </c>
      <c r="G663" s="333"/>
      <c r="H663" s="333"/>
      <c r="I663" s="333"/>
      <c r="J663" s="310"/>
      <c r="K663" s="309"/>
      <c r="L663" s="334">
        <f>L53</f>
        <v>472.8</v>
      </c>
      <c r="M663" s="334">
        <f>M53</f>
        <v>-472.8</v>
      </c>
      <c r="N663" s="334">
        <f>N53</f>
        <v>0</v>
      </c>
      <c r="O663" s="334">
        <f>O53</f>
        <v>0</v>
      </c>
    </row>
    <row r="664" spans="5:15" ht="15.75" thickBot="1">
      <c r="E664" s="410">
        <f>SUM(L665:L669)</f>
        <v>77955.787</v>
      </c>
      <c r="F664" s="403" t="s">
        <v>437</v>
      </c>
      <c r="G664" s="318" t="e">
        <f>#REF!+G288+#REF!</f>
        <v>#REF!</v>
      </c>
      <c r="H664" s="336" t="e">
        <f>#REF!+H288+#REF!</f>
        <v>#REF!</v>
      </c>
      <c r="I664" s="336" t="e">
        <f>#REF!+I288+#REF!</f>
        <v>#REF!</v>
      </c>
      <c r="J664" s="321" t="e">
        <f>#REF!+J288+#REF!</f>
        <v>#REF!</v>
      </c>
      <c r="K664" s="321" t="e">
        <f>#REF!+K288+#REF!</f>
        <v>#REF!</v>
      </c>
      <c r="L664" s="312">
        <f>L152+L288+L526</f>
        <v>77955.787</v>
      </c>
      <c r="M664" s="312">
        <f>M152+M288+M526</f>
        <v>-58689.517</v>
      </c>
      <c r="N664" s="312">
        <f>N152+N288+N526</f>
        <v>19266.269999999997</v>
      </c>
      <c r="O664" s="312">
        <f>O152+O288+O526</f>
        <v>18201.1</v>
      </c>
    </row>
    <row r="665" spans="6:15" ht="15">
      <c r="F665" s="404" t="s">
        <v>933</v>
      </c>
      <c r="G665" s="297" t="e">
        <f>G289</f>
        <v>#REF!</v>
      </c>
      <c r="H665" s="297">
        <f>H289</f>
        <v>1925.2</v>
      </c>
      <c r="I665" s="297">
        <f>I289</f>
        <v>0</v>
      </c>
      <c r="J665" s="298">
        <f>J289</f>
        <v>0</v>
      </c>
      <c r="K665" s="319" t="e">
        <f>K289</f>
        <v>#REF!</v>
      </c>
      <c r="L665" s="319">
        <f>L289+L527</f>
        <v>1685.287</v>
      </c>
      <c r="M665" s="319">
        <f>M289+M527</f>
        <v>-1640.287</v>
      </c>
      <c r="N665" s="319">
        <f>N289+N527</f>
        <v>45</v>
      </c>
      <c r="O665" s="319">
        <f>O289+O527</f>
        <v>45</v>
      </c>
    </row>
    <row r="666" spans="6:15" ht="15">
      <c r="F666" s="350" t="s">
        <v>934</v>
      </c>
      <c r="G666" s="300">
        <f>G296</f>
        <v>6</v>
      </c>
      <c r="H666" s="300">
        <f>H296</f>
        <v>4331.9</v>
      </c>
      <c r="I666" s="300">
        <f>I296</f>
        <v>0</v>
      </c>
      <c r="J666" s="301">
        <f>J296</f>
        <v>182.5</v>
      </c>
      <c r="K666" s="218" t="e">
        <f>K296</f>
        <v>#REF!</v>
      </c>
      <c r="L666" s="218">
        <f>L530+L296</f>
        <v>7127.990000000001</v>
      </c>
      <c r="M666" s="218">
        <f>M530+M296</f>
        <v>-6764.420000000001</v>
      </c>
      <c r="N666" s="218">
        <f>N530+N296</f>
        <v>363.57</v>
      </c>
      <c r="O666" s="218">
        <f>O530+O296</f>
        <v>0</v>
      </c>
    </row>
    <row r="667" spans="6:15" ht="15">
      <c r="F667" s="350" t="s">
        <v>935</v>
      </c>
      <c r="G667" s="300" t="e">
        <f>#REF!+G306+#REF!</f>
        <v>#REF!</v>
      </c>
      <c r="H667" s="300" t="e">
        <f>#REF!+H306+#REF!</f>
        <v>#REF!</v>
      </c>
      <c r="I667" s="300" t="e">
        <f>#REF!+I306+#REF!</f>
        <v>#REF!</v>
      </c>
      <c r="J667" s="218" t="e">
        <f>#REF!+J306+#REF!</f>
        <v>#REF!</v>
      </c>
      <c r="K667" s="218" t="e">
        <f>#REF!+K306+#REF!</f>
        <v>#REF!</v>
      </c>
      <c r="L667" s="218">
        <f>L535+L306+L153</f>
        <v>54790.7</v>
      </c>
      <c r="M667" s="218">
        <f>M535+M306+M153</f>
        <v>-53724.7</v>
      </c>
      <c r="N667" s="218">
        <f>N535+N306+N153</f>
        <v>1066</v>
      </c>
      <c r="O667" s="218">
        <f>O535+O306+O153</f>
        <v>558</v>
      </c>
    </row>
    <row r="668" spans="6:15" ht="15">
      <c r="F668" s="405" t="s">
        <v>936</v>
      </c>
      <c r="G668" s="308" t="e">
        <f>#REF!</f>
        <v>#REF!</v>
      </c>
      <c r="H668" s="308" t="e">
        <f>#REF!</f>
        <v>#REF!</v>
      </c>
      <c r="I668" s="308" t="e">
        <f>#REF!</f>
        <v>#REF!</v>
      </c>
      <c r="J668" s="310" t="e">
        <f>#REF!</f>
        <v>#REF!</v>
      </c>
      <c r="K668" s="309" t="e">
        <f>#REF!</f>
        <v>#REF!</v>
      </c>
      <c r="L668" s="309">
        <f>L156</f>
        <v>12424.7</v>
      </c>
      <c r="M668" s="309">
        <f>M156</f>
        <v>5173.4</v>
      </c>
      <c r="N668" s="309">
        <f>N156</f>
        <v>17598.1</v>
      </c>
      <c r="O668" s="309">
        <f>O156</f>
        <v>17598.1</v>
      </c>
    </row>
    <row r="669" spans="6:15" ht="15.75" thickBot="1">
      <c r="F669" s="405" t="s">
        <v>937</v>
      </c>
      <c r="G669" s="308">
        <f>G357</f>
        <v>75</v>
      </c>
      <c r="H669" s="308">
        <f>H357</f>
        <v>1158.1000000000001</v>
      </c>
      <c r="I669" s="308">
        <f>I357</f>
        <v>0</v>
      </c>
      <c r="J669" s="310">
        <f>J357</f>
        <v>-169</v>
      </c>
      <c r="K669" s="309" t="e">
        <f>K357</f>
        <v>#REF!</v>
      </c>
      <c r="L669" s="309">
        <f>L543+L357</f>
        <v>1927.1100000000001</v>
      </c>
      <c r="M669" s="309">
        <f>M543+M357</f>
        <v>-1733.5100000000002</v>
      </c>
      <c r="N669" s="309">
        <f>N543+N357</f>
        <v>193.6</v>
      </c>
      <c r="O669" s="309">
        <f>O543+O357</f>
        <v>0</v>
      </c>
    </row>
    <row r="670" spans="5:15" ht="15.75" thickBot="1">
      <c r="E670" s="410">
        <f>SUM(L671)</f>
        <v>1100</v>
      </c>
      <c r="F670" s="403" t="s">
        <v>392</v>
      </c>
      <c r="G670" s="318" t="e">
        <f aca="true" t="shared" si="133" ref="G670:I671">G257</f>
        <v>#REF!</v>
      </c>
      <c r="H670" s="318" t="e">
        <f t="shared" si="133"/>
        <v>#REF!</v>
      </c>
      <c r="I670" s="318" t="e">
        <f t="shared" si="133"/>
        <v>#REF!</v>
      </c>
      <c r="J670" s="320" t="e">
        <f>J257</f>
        <v>#REF!</v>
      </c>
      <c r="K670" s="321" t="e">
        <f>K257</f>
        <v>#REF!</v>
      </c>
      <c r="L670" s="312">
        <f>L605</f>
        <v>1100</v>
      </c>
      <c r="M670" s="312">
        <f>M605</f>
        <v>187.57999999999993</v>
      </c>
      <c r="N670" s="312">
        <f>N605</f>
        <v>1287.58</v>
      </c>
      <c r="O670" s="312">
        <f>O605</f>
        <v>1281.86</v>
      </c>
    </row>
    <row r="671" spans="6:15" ht="15.75" thickBot="1">
      <c r="F671" s="404" t="s">
        <v>938</v>
      </c>
      <c r="G671" s="297">
        <f t="shared" si="133"/>
        <v>264</v>
      </c>
      <c r="H671" s="297">
        <f t="shared" si="133"/>
        <v>20914.8</v>
      </c>
      <c r="I671" s="297">
        <f t="shared" si="133"/>
        <v>0</v>
      </c>
      <c r="J671" s="298">
        <f>J258</f>
        <v>8.4</v>
      </c>
      <c r="K671" s="319" t="e">
        <f>K258</f>
        <v>#REF!</v>
      </c>
      <c r="L671" s="319">
        <f>L605</f>
        <v>1100</v>
      </c>
      <c r="M671" s="319">
        <f>M605</f>
        <v>187.57999999999993</v>
      </c>
      <c r="N671" s="319">
        <f>N605</f>
        <v>1287.58</v>
      </c>
      <c r="O671" s="319">
        <f>O605</f>
        <v>1281.86</v>
      </c>
    </row>
    <row r="672" spans="5:15" ht="15.75" thickBot="1">
      <c r="E672" s="410">
        <f>SUM(L673:L676)</f>
        <v>900</v>
      </c>
      <c r="F672" s="411">
        <v>12</v>
      </c>
      <c r="G672" s="318"/>
      <c r="H672" s="318"/>
      <c r="I672" s="318"/>
      <c r="J672" s="314"/>
      <c r="K672" s="315"/>
      <c r="L672" s="313">
        <f>L552</f>
        <v>900</v>
      </c>
      <c r="M672" s="313">
        <f>M552</f>
        <v>3.6000000000000227</v>
      </c>
      <c r="N672" s="313">
        <f>N552</f>
        <v>903.6</v>
      </c>
      <c r="O672" s="313">
        <f>O552</f>
        <v>903.6</v>
      </c>
    </row>
    <row r="673" spans="6:15" ht="15">
      <c r="F673" s="412">
        <v>1201</v>
      </c>
      <c r="G673" s="297"/>
      <c r="H673" s="297"/>
      <c r="I673" s="297"/>
      <c r="J673" s="317"/>
      <c r="K673" s="315"/>
      <c r="L673" s="319"/>
      <c r="M673" s="319"/>
      <c r="N673" s="319"/>
      <c r="O673" s="319"/>
    </row>
    <row r="674" spans="6:15" ht="15">
      <c r="F674" s="413">
        <v>1202</v>
      </c>
      <c r="G674" s="300"/>
      <c r="H674" s="300"/>
      <c r="I674" s="300"/>
      <c r="J674" s="317"/>
      <c r="K674" s="315"/>
      <c r="L674" s="218">
        <f>L553</f>
        <v>900</v>
      </c>
      <c r="M674" s="218">
        <f>M553</f>
        <v>3.6000000000000227</v>
      </c>
      <c r="N674" s="218">
        <f>N553</f>
        <v>903.6</v>
      </c>
      <c r="O674" s="218">
        <f>O553</f>
        <v>903.6</v>
      </c>
    </row>
    <row r="675" spans="6:15" ht="15">
      <c r="F675" s="413">
        <v>1203</v>
      </c>
      <c r="G675" s="300"/>
      <c r="H675" s="300"/>
      <c r="I675" s="300"/>
      <c r="J675" s="317"/>
      <c r="K675" s="315"/>
      <c r="L675" s="218"/>
      <c r="M675" s="218"/>
      <c r="N675" s="218"/>
      <c r="O675" s="218"/>
    </row>
    <row r="676" spans="6:15" ht="15.75" thickBot="1">
      <c r="F676" s="414">
        <v>1204</v>
      </c>
      <c r="G676" s="308"/>
      <c r="H676" s="308"/>
      <c r="I676" s="308"/>
      <c r="J676" s="317"/>
      <c r="K676" s="315"/>
      <c r="L676" s="309"/>
      <c r="M676" s="309"/>
      <c r="N676" s="309"/>
      <c r="O676" s="309"/>
    </row>
    <row r="677" spans="5:15" ht="15.75" thickBot="1">
      <c r="E677" s="410">
        <f>SUM(L678:L679)</f>
        <v>100</v>
      </c>
      <c r="F677" s="411">
        <v>13</v>
      </c>
      <c r="G677" s="318"/>
      <c r="H677" s="318"/>
      <c r="I677" s="318"/>
      <c r="J677" s="314"/>
      <c r="K677" s="315"/>
      <c r="L677" s="312">
        <f aca="true" t="shared" si="134" ref="L677:O678">L257</f>
        <v>100</v>
      </c>
      <c r="M677" s="312">
        <f t="shared" si="134"/>
        <v>-54.96</v>
      </c>
      <c r="N677" s="312">
        <f t="shared" si="134"/>
        <v>45.04</v>
      </c>
      <c r="O677" s="312">
        <f t="shared" si="134"/>
        <v>7.22</v>
      </c>
    </row>
    <row r="678" spans="6:15" ht="15">
      <c r="F678" s="412">
        <v>1301</v>
      </c>
      <c r="G678" s="297"/>
      <c r="H678" s="297"/>
      <c r="I678" s="297"/>
      <c r="J678" s="317"/>
      <c r="K678" s="315"/>
      <c r="L678" s="319">
        <f t="shared" si="134"/>
        <v>100</v>
      </c>
      <c r="M678" s="319">
        <f t="shared" si="134"/>
        <v>-54.96</v>
      </c>
      <c r="N678" s="319">
        <f t="shared" si="134"/>
        <v>45.04</v>
      </c>
      <c r="O678" s="319">
        <f t="shared" si="134"/>
        <v>7.22</v>
      </c>
    </row>
    <row r="679" spans="6:15" ht="15.75" thickBot="1">
      <c r="F679" s="414">
        <v>1302</v>
      </c>
      <c r="G679" s="308"/>
      <c r="H679" s="308"/>
      <c r="I679" s="308"/>
      <c r="J679" s="317"/>
      <c r="K679" s="315"/>
      <c r="L679" s="309"/>
      <c r="M679" s="309"/>
      <c r="N679" s="309"/>
      <c r="O679" s="309"/>
    </row>
    <row r="680" spans="5:15" ht="15.75" thickBot="1">
      <c r="E680" s="410">
        <f>SUM(L681:L683)</f>
        <v>29126.1</v>
      </c>
      <c r="F680" s="411">
        <v>14</v>
      </c>
      <c r="G680" s="318"/>
      <c r="H680" s="318"/>
      <c r="I680" s="318"/>
      <c r="J680" s="314"/>
      <c r="K680" s="315"/>
      <c r="L680" s="312">
        <f>L263</f>
        <v>29126.1</v>
      </c>
      <c r="M680" s="312">
        <f>M681+M682+M683</f>
        <v>-0.1999999999998181</v>
      </c>
      <c r="N680" s="312">
        <f>N681+N682+N683</f>
        <v>29125.9</v>
      </c>
      <c r="O680" s="312">
        <f>O681+O682+O683</f>
        <v>29125.9</v>
      </c>
    </row>
    <row r="681" spans="6:15" ht="15">
      <c r="F681" s="412">
        <v>1401</v>
      </c>
      <c r="G681" s="297"/>
      <c r="H681" s="297"/>
      <c r="I681" s="297"/>
      <c r="J681" s="317"/>
      <c r="K681" s="315"/>
      <c r="L681" s="319">
        <f>L264</f>
        <v>23512.3</v>
      </c>
      <c r="M681" s="319">
        <f>M264</f>
        <v>5613.6</v>
      </c>
      <c r="N681" s="319">
        <f>N264</f>
        <v>29125.9</v>
      </c>
      <c r="O681" s="319">
        <f>O264</f>
        <v>29125.9</v>
      </c>
    </row>
    <row r="682" spans="6:15" ht="15">
      <c r="F682" s="413">
        <v>1402</v>
      </c>
      <c r="G682" s="300"/>
      <c r="H682" s="300"/>
      <c r="I682" s="300"/>
      <c r="J682" s="317"/>
      <c r="K682" s="315"/>
      <c r="L682" s="218"/>
      <c r="M682" s="218"/>
      <c r="N682" s="218">
        <f>N272</f>
        <v>0</v>
      </c>
      <c r="O682" s="218">
        <f>O272</f>
        <v>0</v>
      </c>
    </row>
    <row r="683" spans="6:15" ht="15">
      <c r="F683" s="414">
        <v>1403</v>
      </c>
      <c r="G683" s="308"/>
      <c r="H683" s="308"/>
      <c r="I683" s="308"/>
      <c r="J683" s="317"/>
      <c r="K683" s="315"/>
      <c r="L683" s="309">
        <f>L272</f>
        <v>5613.8</v>
      </c>
      <c r="M683" s="309">
        <f>M272</f>
        <v>-5613.8</v>
      </c>
      <c r="N683" s="309">
        <f>N272</f>
        <v>0</v>
      </c>
      <c r="O683" s="309">
        <f>O272</f>
        <v>0</v>
      </c>
    </row>
    <row r="684" spans="5:15" ht="15">
      <c r="E684" s="410">
        <f>SUM(L684)</f>
        <v>18865.49</v>
      </c>
      <c r="F684" s="413">
        <v>9999</v>
      </c>
      <c r="G684" s="300"/>
      <c r="H684" s="300"/>
      <c r="I684" s="300"/>
      <c r="J684" s="301"/>
      <c r="K684" s="218"/>
      <c r="L684" s="218">
        <f>L611</f>
        <v>18865.49</v>
      </c>
      <c r="M684" s="218">
        <f>M611</f>
        <v>-11570.65</v>
      </c>
      <c r="N684" s="218">
        <f>N611</f>
        <v>7294.840000000002</v>
      </c>
      <c r="O684" s="218">
        <f>O611</f>
        <v>14788.9</v>
      </c>
    </row>
    <row r="685" spans="5:15" ht="15.75" thickBot="1">
      <c r="E685" s="449">
        <f>SUM(E619:E684)</f>
        <v>369952.0069999999</v>
      </c>
      <c r="F685" s="415" t="s">
        <v>941</v>
      </c>
      <c r="G685" s="337" t="e">
        <f>G619+G635+G639+G644+G649+G655+G658+G664+G670</f>
        <v>#REF!</v>
      </c>
      <c r="H685" s="337" t="e">
        <f>H619+H635+H639+H644+H649+H655+H658+H664+H670</f>
        <v>#REF!</v>
      </c>
      <c r="I685" s="337" t="e">
        <f>I619+I635+I639+I644+I649+I655+I658+I664+I670</f>
        <v>#REF!</v>
      </c>
      <c r="J685" s="339" t="e">
        <f>J619+J635+J639+J644+J649+J655+J658+J664+J670+J672+J677+J680+#REF!+J633</f>
        <v>#REF!</v>
      </c>
      <c r="K685" s="339" t="e">
        <f>K619+K635+K639+K644+K649+K655+K658+K664+K670+K672+K677+K680+#REF!+K633</f>
        <v>#REF!</v>
      </c>
      <c r="L685" s="338">
        <f>L619+L633+L635+L639+L644+L649+L655+L658+L664+L670+L672+L677+L680+L684</f>
        <v>369952.0069999999</v>
      </c>
      <c r="M685" s="338">
        <f>M619+M633+M635+M639+M644+M649+M655+M658+M664+M670+M672+M677+M680+M684</f>
        <v>-78158.407</v>
      </c>
      <c r="N685" s="338">
        <f>N619+N633+N635+N639+N644+N649+N655+N658+N664+N670+N672+N677+N680+N684</f>
        <v>291793.60000000003</v>
      </c>
      <c r="O685" s="338">
        <f>O619+O633+O635+O639+O644+O649+O655+O658+O664+O670+O672+O677+O680+O684</f>
        <v>295777.83</v>
      </c>
    </row>
    <row r="686" spans="6:15" ht="15">
      <c r="F686" s="416"/>
      <c r="G686" s="232"/>
      <c r="I686" s="232"/>
      <c r="J686" s="340"/>
      <c r="L686" s="448">
        <f>L612-L685</f>
        <v>0</v>
      </c>
      <c r="M686" s="448">
        <f>M612-M685</f>
        <v>0</v>
      </c>
      <c r="N686" s="448">
        <f>N612-N685</f>
        <v>0</v>
      </c>
      <c r="O686" s="448">
        <f>O612-O685</f>
        <v>0</v>
      </c>
    </row>
    <row r="687" spans="6:15" ht="15">
      <c r="F687" s="416"/>
      <c r="G687" s="232"/>
      <c r="I687" s="232"/>
      <c r="J687" s="340"/>
      <c r="M687" s="341"/>
      <c r="O687" s="341"/>
    </row>
    <row r="688" spans="6:15" ht="15">
      <c r="F688" s="416"/>
      <c r="G688" s="232"/>
      <c r="I688" s="232"/>
      <c r="J688" s="340"/>
      <c r="M688" s="340"/>
      <c r="O688" s="340"/>
    </row>
    <row r="689" spans="6:15" ht="15">
      <c r="F689" s="416"/>
      <c r="G689" s="232"/>
      <c r="I689" s="232"/>
      <c r="J689" s="340"/>
      <c r="M689" s="340"/>
      <c r="O689" s="340"/>
    </row>
    <row r="690" spans="6:15" ht="15">
      <c r="F690" s="416"/>
      <c r="G690" s="232"/>
      <c r="I690" s="232"/>
      <c r="J690" s="340"/>
      <c r="M690" s="340"/>
      <c r="O690" s="340"/>
    </row>
    <row r="691" spans="6:15" ht="15">
      <c r="F691" s="416"/>
      <c r="G691" s="232"/>
      <c r="I691" s="232"/>
      <c r="J691" s="340"/>
      <c r="M691" s="340"/>
      <c r="O691" s="340"/>
    </row>
    <row r="692" spans="6:15" ht="15">
      <c r="F692" s="416"/>
      <c r="G692" s="232"/>
      <c r="I692" s="232"/>
      <c r="J692" s="340"/>
      <c r="M692" s="340"/>
      <c r="O692" s="340"/>
    </row>
    <row r="693" spans="7:15" ht="15">
      <c r="G693" s="232"/>
      <c r="I693" s="232"/>
      <c r="J693" s="340"/>
      <c r="M693" s="340"/>
      <c r="O693" s="340"/>
    </row>
    <row r="694" spans="7:15" ht="15">
      <c r="G694" s="232"/>
      <c r="I694" s="232"/>
      <c r="J694" s="340"/>
      <c r="M694" s="340"/>
      <c r="O694" s="340"/>
    </row>
    <row r="695" spans="7:15" ht="15">
      <c r="G695" s="232"/>
      <c r="I695" s="232"/>
      <c r="J695" s="340"/>
      <c r="M695" s="340"/>
      <c r="O695" s="340"/>
    </row>
    <row r="696" spans="7:15" ht="15">
      <c r="G696" s="232"/>
      <c r="I696" s="232"/>
      <c r="J696" s="340"/>
      <c r="M696" s="340"/>
      <c r="O696" s="340"/>
    </row>
    <row r="697" spans="7:15" ht="15">
      <c r="G697" s="232"/>
      <c r="I697" s="232"/>
      <c r="J697" s="340"/>
      <c r="M697" s="340"/>
      <c r="O697" s="340"/>
    </row>
    <row r="698" spans="7:15" ht="15">
      <c r="G698" s="232"/>
      <c r="I698" s="232"/>
      <c r="J698" s="340"/>
      <c r="M698" s="340"/>
      <c r="O698" s="340"/>
    </row>
    <row r="699" spans="7:15" ht="15">
      <c r="G699" s="232"/>
      <c r="I699" s="232"/>
      <c r="J699" s="340"/>
      <c r="M699" s="340"/>
      <c r="O699" s="340"/>
    </row>
    <row r="700" spans="7:15" ht="15">
      <c r="G700" s="232"/>
      <c r="I700" s="232"/>
      <c r="J700" s="340"/>
      <c r="M700" s="340"/>
      <c r="O700" s="340"/>
    </row>
    <row r="701" spans="7:15" ht="15">
      <c r="G701" s="232"/>
      <c r="I701" s="232"/>
      <c r="J701" s="340"/>
      <c r="M701" s="340"/>
      <c r="O701" s="340"/>
    </row>
    <row r="702" spans="7:15" ht="15">
      <c r="G702" s="232"/>
      <c r="I702" s="232"/>
      <c r="J702" s="340"/>
      <c r="M702" s="340"/>
      <c r="O702" s="340"/>
    </row>
    <row r="703" spans="7:15" ht="15">
      <c r="G703" s="232"/>
      <c r="I703" s="232"/>
      <c r="J703" s="340"/>
      <c r="M703" s="340"/>
      <c r="O703" s="340"/>
    </row>
    <row r="704" spans="7:15" ht="15">
      <c r="G704" s="232"/>
      <c r="I704" s="232"/>
      <c r="J704" s="340"/>
      <c r="M704" s="340"/>
      <c r="O704" s="340"/>
    </row>
    <row r="705" spans="7:15" ht="15">
      <c r="G705" s="232"/>
      <c r="I705" s="232"/>
      <c r="J705" s="340"/>
      <c r="M705" s="340"/>
      <c r="O705" s="340"/>
    </row>
    <row r="706" spans="7:15" ht="15">
      <c r="G706" s="232"/>
      <c r="I706" s="232"/>
      <c r="J706" s="340"/>
      <c r="M706" s="340"/>
      <c r="O706" s="340"/>
    </row>
    <row r="707" spans="7:15" ht="15">
      <c r="G707" s="232"/>
      <c r="I707" s="232"/>
      <c r="J707" s="340"/>
      <c r="M707" s="340"/>
      <c r="O707" s="340"/>
    </row>
    <row r="708" spans="7:15" ht="15">
      <c r="G708" s="232"/>
      <c r="I708" s="232"/>
      <c r="J708" s="340"/>
      <c r="M708" s="340"/>
      <c r="O708" s="340"/>
    </row>
    <row r="709" spans="7:15" ht="15">
      <c r="G709" s="232"/>
      <c r="I709" s="232"/>
      <c r="J709" s="340"/>
      <c r="M709" s="340"/>
      <c r="O709" s="340"/>
    </row>
    <row r="710" spans="7:15" ht="15">
      <c r="G710" s="232"/>
      <c r="I710" s="232"/>
      <c r="J710" s="340"/>
      <c r="M710" s="340"/>
      <c r="O710" s="340"/>
    </row>
    <row r="711" spans="7:15" ht="15">
      <c r="G711" s="232"/>
      <c r="I711" s="232"/>
      <c r="J711" s="340"/>
      <c r="M711" s="340"/>
      <c r="O711" s="340"/>
    </row>
    <row r="712" spans="7:15" ht="15">
      <c r="G712" s="232"/>
      <c r="I712" s="232"/>
      <c r="J712" s="340"/>
      <c r="M712" s="340"/>
      <c r="O712" s="340"/>
    </row>
    <row r="713" spans="7:15" ht="15">
      <c r="G713" s="232"/>
      <c r="I713" s="232"/>
      <c r="J713" s="340"/>
      <c r="M713" s="340"/>
      <c r="O713" s="340"/>
    </row>
    <row r="714" spans="7:15" ht="15">
      <c r="G714" s="232"/>
      <c r="I714" s="232"/>
      <c r="J714" s="340"/>
      <c r="M714" s="340"/>
      <c r="O714" s="340"/>
    </row>
    <row r="715" spans="7:15" ht="15">
      <c r="G715" s="232"/>
      <c r="I715" s="232"/>
      <c r="J715" s="340"/>
      <c r="M715" s="340"/>
      <c r="O715" s="340"/>
    </row>
    <row r="716" spans="7:15" ht="15">
      <c r="G716" s="232"/>
      <c r="I716" s="232"/>
      <c r="J716" s="340"/>
      <c r="M716" s="340"/>
      <c r="O716" s="340"/>
    </row>
    <row r="717" spans="7:15" ht="15">
      <c r="G717" s="232"/>
      <c r="I717" s="232"/>
      <c r="J717" s="340"/>
      <c r="M717" s="340"/>
      <c r="O717" s="340"/>
    </row>
    <row r="718" spans="7:15" ht="15">
      <c r="G718" s="232"/>
      <c r="I718" s="232"/>
      <c r="J718" s="340"/>
      <c r="M718" s="340"/>
      <c r="O718" s="340"/>
    </row>
    <row r="719" spans="7:15" ht="15">
      <c r="G719" s="232"/>
      <c r="I719" s="232"/>
      <c r="J719" s="340"/>
      <c r="M719" s="340"/>
      <c r="O719" s="340"/>
    </row>
    <row r="720" spans="7:15" ht="15">
      <c r="G720" s="232"/>
      <c r="I720" s="232"/>
      <c r="J720" s="340"/>
      <c r="M720" s="340"/>
      <c r="O720" s="340"/>
    </row>
    <row r="721" spans="7:15" ht="15">
      <c r="G721" s="232"/>
      <c r="I721" s="232"/>
      <c r="J721" s="340"/>
      <c r="M721" s="340"/>
      <c r="O721" s="340"/>
    </row>
    <row r="722" spans="7:15" ht="15">
      <c r="G722" s="232"/>
      <c r="I722" s="232"/>
      <c r="J722" s="340"/>
      <c r="M722" s="340"/>
      <c r="O722" s="340"/>
    </row>
    <row r="723" spans="7:15" ht="15">
      <c r="G723" s="232"/>
      <c r="I723" s="232"/>
      <c r="J723" s="340"/>
      <c r="M723" s="340"/>
      <c r="O723" s="340"/>
    </row>
    <row r="724" spans="7:15" ht="15">
      <c r="G724" s="232"/>
      <c r="I724" s="232"/>
      <c r="J724" s="340"/>
      <c r="M724" s="340"/>
      <c r="O724" s="340"/>
    </row>
    <row r="725" spans="7:15" ht="15">
      <c r="G725" s="232"/>
      <c r="I725" s="232"/>
      <c r="J725" s="340"/>
      <c r="M725" s="340"/>
      <c r="O725" s="340"/>
    </row>
    <row r="726" spans="7:15" ht="15">
      <c r="G726" s="232"/>
      <c r="I726" s="232"/>
      <c r="J726" s="340"/>
      <c r="M726" s="340"/>
      <c r="O726" s="340"/>
    </row>
    <row r="727" spans="7:15" ht="15">
      <c r="G727" s="232"/>
      <c r="I727" s="232"/>
      <c r="J727" s="340"/>
      <c r="M727" s="340"/>
      <c r="O727" s="340"/>
    </row>
    <row r="728" spans="7:15" ht="15">
      <c r="G728" s="232"/>
      <c r="I728" s="232"/>
      <c r="J728" s="340"/>
      <c r="M728" s="340"/>
      <c r="O728" s="340"/>
    </row>
    <row r="729" spans="7:15" ht="15">
      <c r="G729" s="232"/>
      <c r="I729" s="232"/>
      <c r="J729" s="340"/>
      <c r="M729" s="340"/>
      <c r="O729" s="340"/>
    </row>
    <row r="730" spans="7:15" ht="15">
      <c r="G730" s="232"/>
      <c r="I730" s="232"/>
      <c r="J730" s="340"/>
      <c r="M730" s="340"/>
      <c r="O730" s="340"/>
    </row>
    <row r="731" spans="7:15" ht="15">
      <c r="G731" s="232"/>
      <c r="I731" s="232"/>
      <c r="J731" s="340"/>
      <c r="M731" s="340"/>
      <c r="O731" s="340"/>
    </row>
    <row r="732" spans="7:15" ht="15">
      <c r="G732" s="232"/>
      <c r="I732" s="232"/>
      <c r="J732" s="340"/>
      <c r="M732" s="340"/>
      <c r="O732" s="340"/>
    </row>
    <row r="733" spans="7:15" ht="15">
      <c r="G733" s="232"/>
      <c r="I733" s="232"/>
      <c r="J733" s="340"/>
      <c r="M733" s="340"/>
      <c r="O733" s="340"/>
    </row>
    <row r="734" spans="7:15" ht="15">
      <c r="G734" s="232"/>
      <c r="I734" s="232"/>
      <c r="J734" s="340"/>
      <c r="M734" s="340"/>
      <c r="O734" s="340"/>
    </row>
    <row r="735" spans="7:15" ht="15">
      <c r="G735" s="232"/>
      <c r="I735" s="232"/>
      <c r="J735" s="340"/>
      <c r="M735" s="340"/>
      <c r="O735" s="340"/>
    </row>
    <row r="736" spans="7:15" ht="15">
      <c r="G736" s="232"/>
      <c r="I736" s="232"/>
      <c r="J736" s="340"/>
      <c r="M736" s="340"/>
      <c r="O736" s="340"/>
    </row>
    <row r="737" spans="7:15" ht="15">
      <c r="G737" s="232"/>
      <c r="I737" s="232"/>
      <c r="J737" s="340"/>
      <c r="M737" s="340"/>
      <c r="O737" s="340"/>
    </row>
    <row r="738" spans="7:15" ht="15">
      <c r="G738" s="232"/>
      <c r="I738" s="232"/>
      <c r="J738" s="340"/>
      <c r="M738" s="340"/>
      <c r="O738" s="340"/>
    </row>
    <row r="739" spans="7:15" ht="15">
      <c r="G739" s="232"/>
      <c r="I739" s="232"/>
      <c r="J739" s="340"/>
      <c r="M739" s="340"/>
      <c r="O739" s="340"/>
    </row>
    <row r="740" spans="7:15" ht="15">
      <c r="G740" s="232"/>
      <c r="I740" s="232"/>
      <c r="J740" s="340"/>
      <c r="M740" s="340"/>
      <c r="O740" s="340"/>
    </row>
    <row r="741" spans="7:15" ht="15">
      <c r="G741" s="232"/>
      <c r="I741" s="232"/>
      <c r="J741" s="340"/>
      <c r="M741" s="340"/>
      <c r="O741" s="340"/>
    </row>
    <row r="742" spans="7:15" ht="15">
      <c r="G742" s="232"/>
      <c r="I742" s="232"/>
      <c r="J742" s="340"/>
      <c r="M742" s="340"/>
      <c r="O742" s="340"/>
    </row>
    <row r="743" spans="7:15" ht="15">
      <c r="G743" s="232"/>
      <c r="I743" s="232"/>
      <c r="J743" s="340"/>
      <c r="M743" s="340"/>
      <c r="O743" s="340"/>
    </row>
    <row r="744" spans="7:15" ht="15">
      <c r="G744" s="232"/>
      <c r="I744" s="232"/>
      <c r="J744" s="340"/>
      <c r="M744" s="340"/>
      <c r="O744" s="340"/>
    </row>
    <row r="745" spans="7:15" ht="15">
      <c r="G745" s="232"/>
      <c r="I745" s="232"/>
      <c r="J745" s="340"/>
      <c r="M745" s="340"/>
      <c r="O745" s="340"/>
    </row>
    <row r="746" spans="7:15" ht="15">
      <c r="G746" s="232"/>
      <c r="I746" s="232"/>
      <c r="J746" s="340"/>
      <c r="M746" s="340"/>
      <c r="O746" s="340"/>
    </row>
    <row r="747" spans="7:15" ht="15">
      <c r="G747" s="232"/>
      <c r="I747" s="232"/>
      <c r="J747" s="340"/>
      <c r="M747" s="340"/>
      <c r="O747" s="340"/>
    </row>
    <row r="748" spans="7:15" ht="15">
      <c r="G748" s="232"/>
      <c r="I748" s="232"/>
      <c r="J748" s="340"/>
      <c r="M748" s="340"/>
      <c r="O748" s="340"/>
    </row>
    <row r="749" spans="7:15" ht="15">
      <c r="G749" s="232"/>
      <c r="I749" s="232"/>
      <c r="J749" s="340"/>
      <c r="M749" s="340"/>
      <c r="O749" s="340"/>
    </row>
    <row r="750" spans="7:15" ht="15">
      <c r="G750" s="232"/>
      <c r="I750" s="232"/>
      <c r="J750" s="340"/>
      <c r="M750" s="340"/>
      <c r="O750" s="340"/>
    </row>
    <row r="751" spans="7:15" ht="15">
      <c r="G751" s="232"/>
      <c r="I751" s="232"/>
      <c r="J751" s="340"/>
      <c r="M751" s="340"/>
      <c r="O751" s="340"/>
    </row>
    <row r="752" spans="7:15" ht="15">
      <c r="G752" s="232"/>
      <c r="I752" s="232"/>
      <c r="J752" s="340"/>
      <c r="M752" s="340"/>
      <c r="O752" s="340"/>
    </row>
    <row r="753" spans="7:15" ht="15">
      <c r="G753" s="232"/>
      <c r="I753" s="232"/>
      <c r="J753" s="340"/>
      <c r="M753" s="340"/>
      <c r="O753" s="340"/>
    </row>
    <row r="754" spans="7:15" ht="15">
      <c r="G754" s="232"/>
      <c r="I754" s="232"/>
      <c r="J754" s="340"/>
      <c r="M754" s="340"/>
      <c r="O754" s="340"/>
    </row>
    <row r="755" spans="7:15" ht="15">
      <c r="G755" s="232"/>
      <c r="I755" s="232"/>
      <c r="J755" s="340"/>
      <c r="M755" s="340"/>
      <c r="O755" s="340"/>
    </row>
    <row r="756" spans="7:15" ht="15">
      <c r="G756" s="232"/>
      <c r="I756" s="232"/>
      <c r="J756" s="340"/>
      <c r="M756" s="340"/>
      <c r="O756" s="340"/>
    </row>
    <row r="757" spans="7:15" ht="15">
      <c r="G757" s="232"/>
      <c r="I757" s="232"/>
      <c r="J757" s="340"/>
      <c r="M757" s="340"/>
      <c r="O757" s="340"/>
    </row>
    <row r="758" spans="7:15" ht="15">
      <c r="G758" s="232"/>
      <c r="I758" s="232"/>
      <c r="J758" s="340"/>
      <c r="M758" s="340"/>
      <c r="O758" s="340"/>
    </row>
    <row r="759" spans="7:15" ht="15">
      <c r="G759" s="232"/>
      <c r="I759" s="232"/>
      <c r="J759" s="340"/>
      <c r="M759" s="340"/>
      <c r="O759" s="340"/>
    </row>
    <row r="760" spans="7:15" ht="15">
      <c r="G760" s="232"/>
      <c r="I760" s="232"/>
      <c r="J760" s="340"/>
      <c r="M760" s="340"/>
      <c r="O760" s="340"/>
    </row>
    <row r="761" spans="7:15" ht="15">
      <c r="G761" s="232"/>
      <c r="I761" s="232"/>
      <c r="J761" s="340"/>
      <c r="M761" s="340"/>
      <c r="O761" s="340"/>
    </row>
    <row r="762" spans="7:15" ht="15">
      <c r="G762" s="232"/>
      <c r="I762" s="232"/>
      <c r="J762" s="340"/>
      <c r="M762" s="340"/>
      <c r="O762" s="340"/>
    </row>
    <row r="763" spans="7:15" ht="15">
      <c r="G763" s="232"/>
      <c r="I763" s="232"/>
      <c r="J763" s="340"/>
      <c r="M763" s="340"/>
      <c r="O763" s="340"/>
    </row>
    <row r="764" spans="7:15" ht="15">
      <c r="G764" s="232"/>
      <c r="I764" s="232"/>
      <c r="J764" s="340"/>
      <c r="M764" s="340"/>
      <c r="O764" s="340"/>
    </row>
    <row r="765" spans="7:15" ht="15">
      <c r="G765" s="232"/>
      <c r="I765" s="232"/>
      <c r="J765" s="340"/>
      <c r="M765" s="340"/>
      <c r="O765" s="340"/>
    </row>
    <row r="766" spans="7:15" ht="15">
      <c r="G766" s="232"/>
      <c r="I766" s="232"/>
      <c r="J766" s="340"/>
      <c r="M766" s="340"/>
      <c r="O766" s="340"/>
    </row>
    <row r="767" spans="7:15" ht="15">
      <c r="G767" s="232"/>
      <c r="I767" s="232"/>
      <c r="J767" s="340"/>
      <c r="M767" s="340"/>
      <c r="O767" s="340"/>
    </row>
    <row r="768" spans="7:15" ht="15">
      <c r="G768" s="232"/>
      <c r="I768" s="232"/>
      <c r="J768" s="340"/>
      <c r="M768" s="340"/>
      <c r="O768" s="340"/>
    </row>
    <row r="769" spans="7:15" ht="15">
      <c r="G769" s="232"/>
      <c r="I769" s="232"/>
      <c r="J769" s="340"/>
      <c r="M769" s="340"/>
      <c r="O769" s="340"/>
    </row>
    <row r="770" spans="7:15" ht="15">
      <c r="G770" s="232"/>
      <c r="I770" s="232"/>
      <c r="J770" s="340"/>
      <c r="M770" s="340"/>
      <c r="O770" s="340"/>
    </row>
    <row r="771" spans="7:15" ht="15">
      <c r="G771" s="232"/>
      <c r="I771" s="232"/>
      <c r="J771" s="340"/>
      <c r="M771" s="340"/>
      <c r="O771" s="340"/>
    </row>
    <row r="772" spans="7:15" ht="15">
      <c r="G772" s="232"/>
      <c r="I772" s="232"/>
      <c r="J772" s="340"/>
      <c r="M772" s="340"/>
      <c r="O772" s="340"/>
    </row>
    <row r="773" spans="7:15" ht="15">
      <c r="G773" s="232"/>
      <c r="I773" s="232"/>
      <c r="J773" s="340"/>
      <c r="M773" s="340"/>
      <c r="O773" s="340"/>
    </row>
    <row r="774" spans="7:15" ht="15">
      <c r="G774" s="232"/>
      <c r="I774" s="232"/>
      <c r="J774" s="340"/>
      <c r="M774" s="340"/>
      <c r="O774" s="340"/>
    </row>
    <row r="775" spans="7:15" ht="15">
      <c r="G775" s="232"/>
      <c r="I775" s="232"/>
      <c r="J775" s="340"/>
      <c r="M775" s="340"/>
      <c r="O775" s="340"/>
    </row>
    <row r="776" spans="7:15" ht="15">
      <c r="G776" s="232"/>
      <c r="I776" s="232"/>
      <c r="J776" s="340"/>
      <c r="M776" s="340"/>
      <c r="O776" s="340"/>
    </row>
    <row r="777" spans="7:15" ht="15">
      <c r="G777" s="232"/>
      <c r="I777" s="232"/>
      <c r="J777" s="340"/>
      <c r="M777" s="340"/>
      <c r="O777" s="340"/>
    </row>
    <row r="778" spans="7:15" ht="15">
      <c r="G778" s="232"/>
      <c r="I778" s="232"/>
      <c r="J778" s="340"/>
      <c r="M778" s="340"/>
      <c r="O778" s="340"/>
    </row>
    <row r="779" spans="7:15" ht="15">
      <c r="G779" s="232"/>
      <c r="I779" s="232"/>
      <c r="J779" s="340"/>
      <c r="M779" s="340"/>
      <c r="O779" s="340"/>
    </row>
    <row r="780" spans="7:15" ht="15">
      <c r="G780" s="232"/>
      <c r="I780" s="232"/>
      <c r="J780" s="340"/>
      <c r="M780" s="340"/>
      <c r="O780" s="340"/>
    </row>
    <row r="781" spans="7:15" ht="15">
      <c r="G781" s="232"/>
      <c r="I781" s="232"/>
      <c r="J781" s="340"/>
      <c r="M781" s="340"/>
      <c r="O781" s="340"/>
    </row>
    <row r="782" spans="7:15" ht="15">
      <c r="G782" s="232"/>
      <c r="I782" s="232"/>
      <c r="J782" s="340"/>
      <c r="M782" s="340"/>
      <c r="O782" s="340"/>
    </row>
    <row r="783" spans="7:15" ht="15">
      <c r="G783" s="232"/>
      <c r="I783" s="232"/>
      <c r="J783" s="340"/>
      <c r="M783" s="340"/>
      <c r="O783" s="340"/>
    </row>
    <row r="784" spans="7:15" ht="15">
      <c r="G784" s="232"/>
      <c r="I784" s="232"/>
      <c r="J784" s="340"/>
      <c r="M784" s="340"/>
      <c r="O784" s="340"/>
    </row>
    <row r="785" spans="7:15" ht="15">
      <c r="G785" s="232"/>
      <c r="I785" s="232"/>
      <c r="J785" s="340"/>
      <c r="M785" s="340"/>
      <c r="O785" s="340"/>
    </row>
    <row r="786" spans="7:15" ht="15">
      <c r="G786" s="232"/>
      <c r="I786" s="232"/>
      <c r="J786" s="340"/>
      <c r="M786" s="340"/>
      <c r="O786" s="340"/>
    </row>
    <row r="787" spans="7:15" ht="15">
      <c r="G787" s="232"/>
      <c r="I787" s="232"/>
      <c r="J787" s="340"/>
      <c r="M787" s="340"/>
      <c r="O787" s="340"/>
    </row>
    <row r="788" spans="7:15" ht="15">
      <c r="G788" s="232"/>
      <c r="I788" s="232"/>
      <c r="J788" s="340"/>
      <c r="M788" s="340"/>
      <c r="O788" s="340"/>
    </row>
    <row r="789" spans="7:15" ht="15">
      <c r="G789" s="232"/>
      <c r="I789" s="232"/>
      <c r="J789" s="340"/>
      <c r="M789" s="340"/>
      <c r="O789" s="340"/>
    </row>
    <row r="790" spans="7:15" ht="15">
      <c r="G790" s="232"/>
      <c r="I790" s="232"/>
      <c r="J790" s="340"/>
      <c r="M790" s="340"/>
      <c r="O790" s="340"/>
    </row>
    <row r="791" spans="7:15" ht="15">
      <c r="G791" s="232"/>
      <c r="I791" s="232"/>
      <c r="J791" s="340"/>
      <c r="M791" s="340"/>
      <c r="O791" s="340"/>
    </row>
    <row r="792" spans="7:15" ht="15">
      <c r="G792" s="232"/>
      <c r="I792" s="232"/>
      <c r="J792" s="340"/>
      <c r="M792" s="340"/>
      <c r="O792" s="340"/>
    </row>
    <row r="793" spans="7:15" ht="15">
      <c r="G793" s="232"/>
      <c r="I793" s="232"/>
      <c r="J793" s="340"/>
      <c r="M793" s="340"/>
      <c r="O793" s="340"/>
    </row>
    <row r="794" spans="7:15" ht="15">
      <c r="G794" s="232"/>
      <c r="I794" s="232"/>
      <c r="J794" s="340"/>
      <c r="M794" s="340"/>
      <c r="O794" s="340"/>
    </row>
    <row r="795" spans="7:15" ht="15">
      <c r="G795" s="232"/>
      <c r="I795" s="232"/>
      <c r="J795" s="340"/>
      <c r="M795" s="340"/>
      <c r="O795" s="340"/>
    </row>
    <row r="796" spans="7:15" ht="15">
      <c r="G796" s="232"/>
      <c r="I796" s="232"/>
      <c r="J796" s="340"/>
      <c r="M796" s="340"/>
      <c r="O796" s="340"/>
    </row>
    <row r="797" spans="7:15" ht="15">
      <c r="G797" s="232"/>
      <c r="I797" s="232"/>
      <c r="J797" s="340"/>
      <c r="M797" s="340"/>
      <c r="O797" s="340"/>
    </row>
    <row r="798" spans="7:15" ht="15">
      <c r="G798" s="232"/>
      <c r="I798" s="232"/>
      <c r="J798" s="340"/>
      <c r="M798" s="340"/>
      <c r="O798" s="340"/>
    </row>
    <row r="799" spans="7:15" ht="15">
      <c r="G799" s="232"/>
      <c r="I799" s="232"/>
      <c r="J799" s="340"/>
      <c r="M799" s="340"/>
      <c r="O799" s="340"/>
    </row>
    <row r="800" spans="7:15" ht="15">
      <c r="G800" s="232"/>
      <c r="I800" s="232"/>
      <c r="J800" s="340"/>
      <c r="M800" s="340"/>
      <c r="O800" s="340"/>
    </row>
    <row r="801" spans="7:15" ht="15">
      <c r="G801" s="232"/>
      <c r="I801" s="232"/>
      <c r="J801" s="340"/>
      <c r="M801" s="340"/>
      <c r="O801" s="340"/>
    </row>
    <row r="802" spans="7:15" ht="15">
      <c r="G802" s="232"/>
      <c r="I802" s="232"/>
      <c r="J802" s="340"/>
      <c r="M802" s="340"/>
      <c r="O802" s="340"/>
    </row>
    <row r="803" spans="7:15" ht="15">
      <c r="G803" s="232"/>
      <c r="I803" s="232"/>
      <c r="J803" s="340"/>
      <c r="M803" s="340"/>
      <c r="O803" s="340"/>
    </row>
    <row r="804" spans="7:15" ht="15">
      <c r="G804" s="232"/>
      <c r="I804" s="232"/>
      <c r="J804" s="340"/>
      <c r="M804" s="340"/>
      <c r="O804" s="340"/>
    </row>
    <row r="805" spans="7:15" ht="15">
      <c r="G805" s="232"/>
      <c r="I805" s="232"/>
      <c r="J805" s="340"/>
      <c r="M805" s="340"/>
      <c r="O805" s="340"/>
    </row>
    <row r="806" spans="7:15" ht="15">
      <c r="G806" s="232"/>
      <c r="I806" s="232"/>
      <c r="J806" s="340"/>
      <c r="M806" s="340"/>
      <c r="O806" s="340"/>
    </row>
    <row r="807" spans="7:15" ht="15">
      <c r="G807" s="232"/>
      <c r="I807" s="232"/>
      <c r="J807" s="340"/>
      <c r="M807" s="340"/>
      <c r="O807" s="340"/>
    </row>
    <row r="808" spans="7:15" ht="15">
      <c r="G808" s="232"/>
      <c r="I808" s="232"/>
      <c r="J808" s="340"/>
      <c r="M808" s="340"/>
      <c r="O808" s="340"/>
    </row>
    <row r="809" spans="7:15" ht="15">
      <c r="G809" s="232"/>
      <c r="I809" s="232"/>
      <c r="J809" s="340"/>
      <c r="M809" s="340"/>
      <c r="O809" s="340"/>
    </row>
    <row r="810" spans="7:15" ht="15">
      <c r="G810" s="232"/>
      <c r="I810" s="232"/>
      <c r="J810" s="340"/>
      <c r="M810" s="340"/>
      <c r="O810" s="340"/>
    </row>
    <row r="811" spans="7:15" ht="15">
      <c r="G811" s="232"/>
      <c r="I811" s="232"/>
      <c r="J811" s="340"/>
      <c r="M811" s="340"/>
      <c r="O811" s="340"/>
    </row>
    <row r="812" spans="7:15" ht="15">
      <c r="G812" s="232"/>
      <c r="I812" s="232"/>
      <c r="J812" s="340"/>
      <c r="M812" s="340"/>
      <c r="O812" s="340"/>
    </row>
    <row r="813" spans="7:15" ht="15">
      <c r="G813" s="232"/>
      <c r="I813" s="232"/>
      <c r="J813" s="340"/>
      <c r="M813" s="340"/>
      <c r="O813" s="340"/>
    </row>
    <row r="814" spans="7:15" ht="15">
      <c r="G814" s="232"/>
      <c r="I814" s="232"/>
      <c r="J814" s="340"/>
      <c r="M814" s="340"/>
      <c r="O814" s="340"/>
    </row>
    <row r="815" spans="7:15" ht="15">
      <c r="G815" s="232"/>
      <c r="I815" s="232"/>
      <c r="J815" s="340"/>
      <c r="M815" s="340"/>
      <c r="O815" s="340"/>
    </row>
    <row r="816" spans="7:15" ht="15">
      <c r="G816" s="232"/>
      <c r="I816" s="232"/>
      <c r="J816" s="340"/>
      <c r="M816" s="340"/>
      <c r="O816" s="340"/>
    </row>
    <row r="817" spans="7:15" ht="15">
      <c r="G817" s="232"/>
      <c r="I817" s="232"/>
      <c r="J817" s="340"/>
      <c r="M817" s="340"/>
      <c r="O817" s="340"/>
    </row>
    <row r="818" spans="7:15" ht="15">
      <c r="G818" s="232"/>
      <c r="I818" s="232"/>
      <c r="J818" s="340"/>
      <c r="M818" s="340"/>
      <c r="O818" s="340"/>
    </row>
    <row r="819" spans="7:15" ht="15">
      <c r="G819" s="232"/>
      <c r="I819" s="232"/>
      <c r="J819" s="340"/>
      <c r="M819" s="340"/>
      <c r="O819" s="340"/>
    </row>
    <row r="820" spans="7:15" ht="15">
      <c r="G820" s="232"/>
      <c r="I820" s="232"/>
      <c r="J820" s="340"/>
      <c r="M820" s="340"/>
      <c r="O820" s="340"/>
    </row>
    <row r="821" spans="7:15" ht="15">
      <c r="G821" s="232"/>
      <c r="I821" s="232"/>
      <c r="J821" s="340"/>
      <c r="M821" s="340"/>
      <c r="O821" s="340"/>
    </row>
    <row r="822" spans="7:15" ht="15">
      <c r="G822" s="232"/>
      <c r="I822" s="232"/>
      <c r="J822" s="340"/>
      <c r="M822" s="340"/>
      <c r="O822" s="340"/>
    </row>
    <row r="823" spans="7:15" ht="15">
      <c r="G823" s="232"/>
      <c r="I823" s="232"/>
      <c r="J823" s="340"/>
      <c r="M823" s="340"/>
      <c r="O823" s="340"/>
    </row>
    <row r="824" spans="7:15" ht="15">
      <c r="G824" s="232"/>
      <c r="I824" s="232"/>
      <c r="J824" s="340"/>
      <c r="M824" s="340"/>
      <c r="O824" s="340"/>
    </row>
    <row r="825" spans="7:15" ht="15">
      <c r="G825" s="232"/>
      <c r="I825" s="232"/>
      <c r="J825" s="340"/>
      <c r="M825" s="340"/>
      <c r="O825" s="340"/>
    </row>
    <row r="826" spans="7:15" ht="15">
      <c r="G826" s="232"/>
      <c r="I826" s="232"/>
      <c r="J826" s="340"/>
      <c r="M826" s="340"/>
      <c r="O826" s="340"/>
    </row>
    <row r="827" spans="7:15" ht="15">
      <c r="G827" s="232"/>
      <c r="I827" s="232"/>
      <c r="J827" s="340"/>
      <c r="M827" s="340"/>
      <c r="O827" s="340"/>
    </row>
    <row r="828" spans="7:15" ht="15">
      <c r="G828" s="232"/>
      <c r="I828" s="232"/>
      <c r="J828" s="340"/>
      <c r="M828" s="340"/>
      <c r="O828" s="340"/>
    </row>
    <row r="829" spans="7:15" ht="15">
      <c r="G829" s="232"/>
      <c r="I829" s="232"/>
      <c r="J829" s="340"/>
      <c r="M829" s="340"/>
      <c r="O829" s="340"/>
    </row>
    <row r="830" spans="7:15" ht="15">
      <c r="G830" s="232"/>
      <c r="I830" s="232"/>
      <c r="J830" s="340"/>
      <c r="M830" s="340"/>
      <c r="O830" s="340"/>
    </row>
    <row r="831" spans="7:15" ht="15">
      <c r="G831" s="232"/>
      <c r="I831" s="232"/>
      <c r="J831" s="340"/>
      <c r="M831" s="340"/>
      <c r="O831" s="340"/>
    </row>
    <row r="832" spans="7:15" ht="15">
      <c r="G832" s="232"/>
      <c r="I832" s="232"/>
      <c r="J832" s="340"/>
      <c r="M832" s="340"/>
      <c r="O832" s="340"/>
    </row>
    <row r="833" spans="7:15" ht="15">
      <c r="G833" s="232"/>
      <c r="I833" s="232"/>
      <c r="J833" s="340"/>
      <c r="M833" s="340"/>
      <c r="O833" s="340"/>
    </row>
    <row r="834" spans="7:15" ht="15">
      <c r="G834" s="232"/>
      <c r="I834" s="232"/>
      <c r="J834" s="340"/>
      <c r="M834" s="340"/>
      <c r="O834" s="340"/>
    </row>
    <row r="835" spans="7:15" ht="15">
      <c r="G835" s="232"/>
      <c r="I835" s="232"/>
      <c r="J835" s="340"/>
      <c r="M835" s="340"/>
      <c r="O835" s="340"/>
    </row>
    <row r="836" spans="7:15" ht="15">
      <c r="G836" s="232"/>
      <c r="I836" s="232"/>
      <c r="J836" s="340"/>
      <c r="M836" s="340"/>
      <c r="O836" s="340"/>
    </row>
    <row r="837" spans="7:15" ht="15">
      <c r="G837" s="232"/>
      <c r="I837" s="232"/>
      <c r="J837" s="340"/>
      <c r="M837" s="340"/>
      <c r="O837" s="340"/>
    </row>
    <row r="838" spans="7:15" ht="15">
      <c r="G838" s="232"/>
      <c r="I838" s="232"/>
      <c r="J838" s="340"/>
      <c r="M838" s="340"/>
      <c r="O838" s="340"/>
    </row>
    <row r="839" spans="7:15" ht="15">
      <c r="G839" s="232"/>
      <c r="I839" s="232"/>
      <c r="J839" s="340"/>
      <c r="M839" s="340"/>
      <c r="O839" s="340"/>
    </row>
    <row r="840" spans="7:15" ht="15">
      <c r="G840" s="232"/>
      <c r="I840" s="232"/>
      <c r="J840" s="340"/>
      <c r="M840" s="340"/>
      <c r="O840" s="340"/>
    </row>
    <row r="841" spans="7:15" ht="15">
      <c r="G841" s="232"/>
      <c r="I841" s="232"/>
      <c r="J841" s="340"/>
      <c r="M841" s="340"/>
      <c r="O841" s="340"/>
    </row>
    <row r="842" spans="7:15" ht="15">
      <c r="G842" s="232"/>
      <c r="I842" s="232"/>
      <c r="J842" s="340"/>
      <c r="M842" s="340"/>
      <c r="O842" s="340"/>
    </row>
    <row r="843" spans="7:15" ht="15">
      <c r="G843" s="232"/>
      <c r="I843" s="232"/>
      <c r="J843" s="340"/>
      <c r="M843" s="340"/>
      <c r="O843" s="340"/>
    </row>
    <row r="844" spans="7:15" ht="15">
      <c r="G844" s="232"/>
      <c r="I844" s="232"/>
      <c r="J844" s="340"/>
      <c r="M844" s="340"/>
      <c r="O844" s="340"/>
    </row>
    <row r="845" spans="7:15" ht="15">
      <c r="G845" s="232"/>
      <c r="I845" s="232"/>
      <c r="J845" s="340"/>
      <c r="M845" s="340"/>
      <c r="O845" s="340"/>
    </row>
    <row r="846" spans="7:15" ht="15">
      <c r="G846" s="232"/>
      <c r="I846" s="232"/>
      <c r="J846" s="340"/>
      <c r="M846" s="340"/>
      <c r="O846" s="340"/>
    </row>
    <row r="847" spans="7:15" ht="15">
      <c r="G847" s="232"/>
      <c r="I847" s="232"/>
      <c r="J847" s="340"/>
      <c r="M847" s="340"/>
      <c r="O847" s="340"/>
    </row>
    <row r="848" spans="7:15" ht="15">
      <c r="G848" s="232"/>
      <c r="I848" s="232"/>
      <c r="J848" s="340"/>
      <c r="M848" s="340"/>
      <c r="O848" s="340"/>
    </row>
    <row r="849" spans="7:15" ht="15">
      <c r="G849" s="232"/>
      <c r="I849" s="232"/>
      <c r="J849" s="340"/>
      <c r="M849" s="340"/>
      <c r="O849" s="340"/>
    </row>
    <row r="850" spans="7:15" ht="15">
      <c r="G850" s="232"/>
      <c r="I850" s="232"/>
      <c r="J850" s="340"/>
      <c r="M850" s="340"/>
      <c r="O850" s="340"/>
    </row>
    <row r="851" spans="7:15" ht="15">
      <c r="G851" s="232"/>
      <c r="I851" s="232"/>
      <c r="J851" s="340"/>
      <c r="M851" s="340"/>
      <c r="O851" s="340"/>
    </row>
    <row r="852" spans="7:15" ht="15">
      <c r="G852" s="232"/>
      <c r="I852" s="232"/>
      <c r="J852" s="340"/>
      <c r="M852" s="340"/>
      <c r="O852" s="340"/>
    </row>
    <row r="853" spans="7:15" ht="15">
      <c r="G853" s="232"/>
      <c r="I853" s="232"/>
      <c r="J853" s="340"/>
      <c r="M853" s="340"/>
      <c r="O853" s="340"/>
    </row>
    <row r="854" spans="7:15" ht="15">
      <c r="G854" s="232"/>
      <c r="I854" s="232"/>
      <c r="J854" s="340"/>
      <c r="M854" s="340"/>
      <c r="O854" s="340"/>
    </row>
    <row r="855" spans="7:15" ht="15">
      <c r="G855" s="232"/>
      <c r="I855" s="232"/>
      <c r="J855" s="340"/>
      <c r="M855" s="340"/>
      <c r="O855" s="340"/>
    </row>
    <row r="856" spans="7:15" ht="15">
      <c r="G856" s="232"/>
      <c r="I856" s="232"/>
      <c r="J856" s="340"/>
      <c r="M856" s="340"/>
      <c r="O856" s="340"/>
    </row>
    <row r="857" spans="7:15" ht="15">
      <c r="G857" s="232"/>
      <c r="I857" s="232"/>
      <c r="J857" s="340"/>
      <c r="M857" s="340"/>
      <c r="O857" s="340"/>
    </row>
    <row r="858" spans="7:15" ht="15">
      <c r="G858" s="232"/>
      <c r="I858" s="232"/>
      <c r="J858" s="340"/>
      <c r="M858" s="340"/>
      <c r="O858" s="340"/>
    </row>
    <row r="859" spans="7:15" ht="15">
      <c r="G859" s="232"/>
      <c r="I859" s="232"/>
      <c r="J859" s="340"/>
      <c r="M859" s="340"/>
      <c r="O859" s="340"/>
    </row>
    <row r="860" spans="7:15" ht="15">
      <c r="G860" s="232"/>
      <c r="I860" s="232"/>
      <c r="J860" s="340"/>
      <c r="M860" s="340"/>
      <c r="O860" s="340"/>
    </row>
    <row r="861" spans="7:15" ht="15">
      <c r="G861" s="232"/>
      <c r="I861" s="232"/>
      <c r="J861" s="340"/>
      <c r="M861" s="340"/>
      <c r="O861" s="340"/>
    </row>
    <row r="862" spans="7:15" ht="15">
      <c r="G862" s="232"/>
      <c r="I862" s="232"/>
      <c r="J862" s="340"/>
      <c r="M862" s="340"/>
      <c r="O862" s="340"/>
    </row>
    <row r="863" spans="7:15" ht="15">
      <c r="G863" s="232"/>
      <c r="I863" s="232"/>
      <c r="J863" s="340"/>
      <c r="M863" s="340"/>
      <c r="O863" s="340"/>
    </row>
    <row r="864" spans="7:15" ht="15">
      <c r="G864" s="232"/>
      <c r="I864" s="232"/>
      <c r="J864" s="340"/>
      <c r="M864" s="340"/>
      <c r="O864" s="340"/>
    </row>
    <row r="865" spans="7:15" ht="15">
      <c r="G865" s="232"/>
      <c r="I865" s="232"/>
      <c r="J865" s="340"/>
      <c r="M865" s="340"/>
      <c r="O865" s="340"/>
    </row>
    <row r="866" spans="7:15" ht="15">
      <c r="G866" s="232"/>
      <c r="I866" s="232"/>
      <c r="J866" s="340"/>
      <c r="M866" s="340"/>
      <c r="O866" s="340"/>
    </row>
    <row r="867" spans="7:15" ht="15">
      <c r="G867" s="232"/>
      <c r="I867" s="232"/>
      <c r="J867" s="340"/>
      <c r="M867" s="340"/>
      <c r="O867" s="340"/>
    </row>
    <row r="868" spans="7:15" ht="15">
      <c r="G868" s="232"/>
      <c r="I868" s="232"/>
      <c r="J868" s="340"/>
      <c r="M868" s="340"/>
      <c r="O868" s="340"/>
    </row>
    <row r="869" spans="7:15" ht="15">
      <c r="G869" s="232"/>
      <c r="I869" s="232"/>
      <c r="J869" s="340"/>
      <c r="M869" s="340"/>
      <c r="O869" s="340"/>
    </row>
    <row r="870" spans="7:15" ht="15">
      <c r="G870" s="232"/>
      <c r="I870" s="232"/>
      <c r="J870" s="340"/>
      <c r="M870" s="340"/>
      <c r="O870" s="340"/>
    </row>
    <row r="871" spans="7:15" ht="15">
      <c r="G871" s="232"/>
      <c r="I871" s="232"/>
      <c r="J871" s="340"/>
      <c r="M871" s="340"/>
      <c r="O871" s="340"/>
    </row>
    <row r="872" spans="7:15" ht="15">
      <c r="G872" s="232"/>
      <c r="I872" s="232"/>
      <c r="J872" s="340"/>
      <c r="M872" s="340"/>
      <c r="O872" s="340"/>
    </row>
    <row r="873" spans="7:15" ht="15">
      <c r="G873" s="232"/>
      <c r="I873" s="232"/>
      <c r="J873" s="340"/>
      <c r="M873" s="340"/>
      <c r="O873" s="340"/>
    </row>
    <row r="874" spans="7:15" ht="15">
      <c r="G874" s="232"/>
      <c r="I874" s="232"/>
      <c r="J874" s="340"/>
      <c r="M874" s="340"/>
      <c r="O874" s="340"/>
    </row>
    <row r="875" spans="7:15" ht="15">
      <c r="G875" s="232"/>
      <c r="I875" s="232"/>
      <c r="J875" s="340"/>
      <c r="M875" s="340"/>
      <c r="O875" s="340"/>
    </row>
    <row r="876" spans="7:15" ht="15">
      <c r="G876" s="232"/>
      <c r="I876" s="232"/>
      <c r="J876" s="340"/>
      <c r="M876" s="340"/>
      <c r="O876" s="340"/>
    </row>
    <row r="877" spans="7:15" ht="15">
      <c r="G877" s="232"/>
      <c r="I877" s="232"/>
      <c r="J877" s="340"/>
      <c r="M877" s="340"/>
      <c r="O877" s="340"/>
    </row>
    <row r="878" spans="7:15" ht="15">
      <c r="G878" s="232"/>
      <c r="I878" s="232"/>
      <c r="J878" s="340"/>
      <c r="M878" s="340"/>
      <c r="O878" s="340"/>
    </row>
    <row r="879" spans="7:15" ht="15">
      <c r="G879" s="232"/>
      <c r="I879" s="232"/>
      <c r="J879" s="340"/>
      <c r="M879" s="340"/>
      <c r="O879" s="340"/>
    </row>
    <row r="880" spans="7:15" ht="15">
      <c r="G880" s="232"/>
      <c r="I880" s="232"/>
      <c r="J880" s="340"/>
      <c r="M880" s="340"/>
      <c r="O880" s="340"/>
    </row>
    <row r="881" spans="7:15" ht="15">
      <c r="G881" s="232"/>
      <c r="I881" s="232"/>
      <c r="J881" s="340"/>
      <c r="M881" s="340"/>
      <c r="O881" s="340"/>
    </row>
    <row r="882" spans="7:15" ht="15">
      <c r="G882" s="232"/>
      <c r="I882" s="232"/>
      <c r="J882" s="340"/>
      <c r="M882" s="340"/>
      <c r="O882" s="340"/>
    </row>
    <row r="883" spans="7:15" ht="15">
      <c r="G883" s="232"/>
      <c r="I883" s="232"/>
      <c r="J883" s="340"/>
      <c r="M883" s="340"/>
      <c r="O883" s="340"/>
    </row>
    <row r="884" spans="7:15" ht="15">
      <c r="G884" s="232"/>
      <c r="I884" s="232"/>
      <c r="J884" s="340"/>
      <c r="M884" s="340"/>
      <c r="O884" s="340"/>
    </row>
    <row r="885" spans="7:15" ht="15">
      <c r="G885" s="232"/>
      <c r="I885" s="232"/>
      <c r="J885" s="340"/>
      <c r="M885" s="340"/>
      <c r="O885" s="340"/>
    </row>
    <row r="886" spans="7:15" ht="15">
      <c r="G886" s="232"/>
      <c r="I886" s="232"/>
      <c r="J886" s="340"/>
      <c r="M886" s="340"/>
      <c r="O886" s="340"/>
    </row>
    <row r="887" spans="7:15" ht="15">
      <c r="G887" s="232"/>
      <c r="I887" s="232"/>
      <c r="J887" s="340"/>
      <c r="M887" s="340"/>
      <c r="O887" s="340"/>
    </row>
    <row r="888" spans="7:15" ht="15">
      <c r="G888" s="232"/>
      <c r="I888" s="232"/>
      <c r="J888" s="340"/>
      <c r="M888" s="340"/>
      <c r="O888" s="340"/>
    </row>
    <row r="889" spans="7:15" ht="15">
      <c r="G889" s="232"/>
      <c r="I889" s="232"/>
      <c r="J889" s="340"/>
      <c r="M889" s="340"/>
      <c r="O889" s="340"/>
    </row>
    <row r="890" spans="7:15" ht="15">
      <c r="G890" s="232"/>
      <c r="I890" s="232"/>
      <c r="J890" s="340"/>
      <c r="M890" s="340"/>
      <c r="O890" s="340"/>
    </row>
    <row r="891" spans="7:15" ht="15">
      <c r="G891" s="232"/>
      <c r="I891" s="232"/>
      <c r="J891" s="340"/>
      <c r="M891" s="340"/>
      <c r="O891" s="340"/>
    </row>
    <row r="892" spans="7:15" ht="15">
      <c r="G892" s="232"/>
      <c r="I892" s="232"/>
      <c r="J892" s="340"/>
      <c r="M892" s="340"/>
      <c r="O892" s="340"/>
    </row>
    <row r="893" spans="7:15" ht="15">
      <c r="G893" s="232"/>
      <c r="I893" s="232"/>
      <c r="J893" s="340"/>
      <c r="M893" s="340"/>
      <c r="O893" s="340"/>
    </row>
    <row r="894" spans="7:15" ht="15">
      <c r="G894" s="232"/>
      <c r="I894" s="232"/>
      <c r="J894" s="340"/>
      <c r="M894" s="340"/>
      <c r="O894" s="340"/>
    </row>
  </sheetData>
  <sheetProtection/>
  <mergeCells count="17">
    <mergeCell ref="B6:F6"/>
    <mergeCell ref="J5:J7"/>
    <mergeCell ref="K5:K7"/>
    <mergeCell ref="L5:L7"/>
    <mergeCell ref="M5:M7"/>
    <mergeCell ref="N5:N7"/>
    <mergeCell ref="I5:I7"/>
    <mergeCell ref="O5:O7"/>
    <mergeCell ref="E1:I1"/>
    <mergeCell ref="M1:Q1"/>
    <mergeCell ref="E2:K2"/>
    <mergeCell ref="M2:O2"/>
    <mergeCell ref="A3:N3"/>
    <mergeCell ref="A5:A7"/>
    <mergeCell ref="B5:F5"/>
    <mergeCell ref="G5:G7"/>
    <mergeCell ref="H5:H7"/>
  </mergeCells>
  <printOptions/>
  <pageMargins left="0.5905511811023623" right="0" top="0.1968503937007874" bottom="0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2011-12-28T09:06:29Z</cp:lastPrinted>
  <dcterms:created xsi:type="dcterms:W3CDTF">1996-10-08T23:32:33Z</dcterms:created>
  <dcterms:modified xsi:type="dcterms:W3CDTF">2011-12-28T09:13:59Z</dcterms:modified>
  <cp:category/>
  <cp:version/>
  <cp:contentType/>
  <cp:contentStatus/>
</cp:coreProperties>
</file>