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65" windowWidth="18195" windowHeight="9435" activeTab="4"/>
  </bookViews>
  <sheets>
    <sheet name="прил 6 дох" sheetId="27" r:id="rId1"/>
    <sheet name="прил 10 МП 19г" sheetId="11" r:id="rId2"/>
    <sheet name="прил 12 разд-19г" sheetId="12" r:id="rId3"/>
    <sheet name="прил 14 КЦСР 19" sheetId="24" r:id="rId4"/>
    <sheet name="прил 16  вед стр 19г" sheetId="26" r:id="rId5"/>
    <sheet name="прил 20 дор фонд (19г)" sheetId="23" r:id="rId6"/>
    <sheet name="22 СП-2019" sheetId="18" r:id="rId7"/>
    <sheet name="Лист1" sheetId="15" r:id="rId8"/>
  </sheets>
  <definedNames>
    <definedName name="_xlnm._FilterDatabase" localSheetId="3" hidden="1">'прил 14 КЦСР 19'!$A$7:$I$359</definedName>
    <definedName name="_xlnm._FilterDatabase" localSheetId="4" hidden="1">'прил 16  вед стр 19г'!$A$6:$K$569</definedName>
    <definedName name="_xlnm._FilterDatabase" localSheetId="0" hidden="1">'прил 6 дох'!$A$10:$WVP$177</definedName>
    <definedName name="В11" localSheetId="6">#REF!</definedName>
    <definedName name="В11" localSheetId="1">#REF!</definedName>
    <definedName name="В11" localSheetId="2">#REF!</definedName>
    <definedName name="В11" localSheetId="3">#REF!</definedName>
    <definedName name="В11" localSheetId="4">#REF!</definedName>
    <definedName name="В11" localSheetId="5">#REF!</definedName>
    <definedName name="В11">#REF!</definedName>
    <definedName name="_xlnm.Print_Titles" localSheetId="3">'прил 14 КЦСР 19'!$8:$8</definedName>
    <definedName name="_xlnm.Print_Titles" localSheetId="4">'прил 16  вед стр 19г'!$7:$7</definedName>
    <definedName name="_xlnm.Print_Titles" localSheetId="0">'прил 6 дох'!$11:$11</definedName>
    <definedName name="_xlnm.Print_Area" localSheetId="6">'22 СП-2019'!$C$1:$P$25</definedName>
    <definedName name="_xlnm.Print_Area" localSheetId="1">'прил 10 МП 19г'!$A$1:$E$13</definedName>
    <definedName name="_xlnm.Print_Area" localSheetId="2">'прил 12 разд-19г'!$A$1:$F$67</definedName>
    <definedName name="_xlnm.Print_Area" localSheetId="3">'прил 14 КЦСР 19'!$A$1:$F$357</definedName>
    <definedName name="_xlnm.Print_Area" localSheetId="4">'прил 16  вед стр 19г'!$A$1:$I$506</definedName>
    <definedName name="_xlnm.Print_Area" localSheetId="5">'прил 20 дор фонд (19г)'!$A$1:$N$15</definedName>
    <definedName name="_xlnm.Print_Area" localSheetId="0">'прил 6 дох'!$A$2:$K$182</definedName>
    <definedName name="_xlnm.Print_Area">#REF!</definedName>
    <definedName name="п" localSheetId="6">#REF!</definedName>
    <definedName name="п" localSheetId="1">#REF!</definedName>
    <definedName name="п" localSheetId="2">#REF!</definedName>
    <definedName name="п" localSheetId="3">#REF!</definedName>
    <definedName name="п" localSheetId="4">#REF!</definedName>
    <definedName name="п" localSheetId="5">#REF!</definedName>
    <definedName name="п">#REF!</definedName>
    <definedName name="Прил16дляраб" localSheetId="6">#REF!</definedName>
    <definedName name="Прил16дляраб" localSheetId="1">#REF!</definedName>
    <definedName name="Прил16дляраб" localSheetId="2">#REF!</definedName>
    <definedName name="Прил16дляраб" localSheetId="3">#REF!</definedName>
    <definedName name="Прил16дляраб" localSheetId="5">#REF!</definedName>
    <definedName name="Прил16дляраб">#REF!</definedName>
  </definedNames>
  <calcPr calcId="145621"/>
</workbook>
</file>

<file path=xl/calcChain.xml><?xml version="1.0" encoding="utf-8"?>
<calcChain xmlns="http://schemas.openxmlformats.org/spreadsheetml/2006/main">
  <c r="F14" i="27" l="1"/>
  <c r="F13" i="27" s="1"/>
  <c r="C16" i="27"/>
  <c r="C15" i="27" s="1"/>
  <c r="E16" i="27"/>
  <c r="E15" i="27" s="1"/>
  <c r="G16" i="27"/>
  <c r="I16" i="27"/>
  <c r="K16" i="27"/>
  <c r="D17" i="27"/>
  <c r="G17" i="27"/>
  <c r="K17" i="27"/>
  <c r="D18" i="27"/>
  <c r="G18" i="27"/>
  <c r="I18" i="27"/>
  <c r="K18" i="27"/>
  <c r="D19" i="27"/>
  <c r="G19" i="27"/>
  <c r="I19" i="27"/>
  <c r="K19" i="27"/>
  <c r="D20" i="27"/>
  <c r="G20" i="27"/>
  <c r="I20" i="27"/>
  <c r="K20" i="27"/>
  <c r="C22" i="27"/>
  <c r="C21" i="27" s="1"/>
  <c r="E22" i="27"/>
  <c r="E21" i="27" s="1"/>
  <c r="G22" i="27"/>
  <c r="I22" i="27"/>
  <c r="K22" i="27"/>
  <c r="D23" i="27"/>
  <c r="G23" i="27"/>
  <c r="I23" i="27"/>
  <c r="K23" i="27"/>
  <c r="D24" i="27"/>
  <c r="G24" i="27"/>
  <c r="I24" i="27"/>
  <c r="K24" i="27"/>
  <c r="D25" i="27"/>
  <c r="G25" i="27"/>
  <c r="I25" i="27"/>
  <c r="K25" i="27"/>
  <c r="C27" i="27"/>
  <c r="C26" i="27" s="1"/>
  <c r="E27" i="27"/>
  <c r="E26" i="27" s="1"/>
  <c r="G27" i="27"/>
  <c r="I27" i="27"/>
  <c r="K27" i="27"/>
  <c r="D28" i="27"/>
  <c r="G28" i="27"/>
  <c r="I28" i="27"/>
  <c r="K28" i="27"/>
  <c r="D29" i="27"/>
  <c r="G29" i="27"/>
  <c r="I29" i="27"/>
  <c r="K29" i="27"/>
  <c r="D30" i="27"/>
  <c r="G30" i="27"/>
  <c r="I30" i="27"/>
  <c r="K30" i="27"/>
  <c r="C31" i="27"/>
  <c r="E31" i="27"/>
  <c r="D31" i="27" s="1"/>
  <c r="G31" i="27"/>
  <c r="I31" i="27"/>
  <c r="K31" i="27"/>
  <c r="D32" i="27"/>
  <c r="G32" i="27"/>
  <c r="I32" i="27"/>
  <c r="K32" i="27"/>
  <c r="C33" i="27"/>
  <c r="E33" i="27"/>
  <c r="D33" i="27" s="1"/>
  <c r="G33" i="27"/>
  <c r="I33" i="27"/>
  <c r="K33" i="27"/>
  <c r="D34" i="27"/>
  <c r="G34" i="27"/>
  <c r="I34" i="27"/>
  <c r="K34" i="27"/>
  <c r="C35" i="27"/>
  <c r="E35" i="27"/>
  <c r="D35" i="27" s="1"/>
  <c r="G35" i="27"/>
  <c r="I35" i="27"/>
  <c r="K35" i="27"/>
  <c r="D36" i="27"/>
  <c r="G36" i="27"/>
  <c r="I36" i="27"/>
  <c r="K36" i="27"/>
  <c r="C38" i="27"/>
  <c r="C37" i="27" s="1"/>
  <c r="E38" i="27"/>
  <c r="E37" i="27" s="1"/>
  <c r="G38" i="27"/>
  <c r="I38" i="27"/>
  <c r="K38" i="27"/>
  <c r="D39" i="27"/>
  <c r="G39" i="27"/>
  <c r="I39" i="27"/>
  <c r="K39" i="27"/>
  <c r="D40" i="27"/>
  <c r="G40" i="27"/>
  <c r="I40" i="27"/>
  <c r="K40" i="27"/>
  <c r="C42" i="27"/>
  <c r="C41" i="27" s="1"/>
  <c r="E42" i="27"/>
  <c r="E41" i="27" s="1"/>
  <c r="G42" i="27"/>
  <c r="I42" i="27"/>
  <c r="K42" i="27"/>
  <c r="D43" i="27"/>
  <c r="G43" i="27"/>
  <c r="I43" i="27"/>
  <c r="K43" i="27"/>
  <c r="C45" i="27"/>
  <c r="C44" i="27" s="1"/>
  <c r="E45" i="27"/>
  <c r="E44" i="27" s="1"/>
  <c r="G45" i="27"/>
  <c r="I45" i="27"/>
  <c r="K45" i="27"/>
  <c r="D46" i="27"/>
  <c r="G46" i="27"/>
  <c r="I46" i="27"/>
  <c r="K46" i="27"/>
  <c r="D47" i="27"/>
  <c r="G47" i="27"/>
  <c r="I47" i="27"/>
  <c r="K47" i="27"/>
  <c r="D48" i="27"/>
  <c r="G48" i="27"/>
  <c r="I48" i="27"/>
  <c r="K48" i="27"/>
  <c r="D49" i="27"/>
  <c r="G49" i="27"/>
  <c r="I49" i="27"/>
  <c r="K49" i="27"/>
  <c r="C50" i="27"/>
  <c r="D50" i="27"/>
  <c r="G50" i="27"/>
  <c r="I50" i="27"/>
  <c r="K50" i="27"/>
  <c r="D51" i="27"/>
  <c r="G51" i="27"/>
  <c r="I51" i="27"/>
  <c r="K51" i="27"/>
  <c r="D52" i="27"/>
  <c r="G52" i="27"/>
  <c r="I52" i="27"/>
  <c r="K52" i="27"/>
  <c r="D53" i="27"/>
  <c r="G53" i="27"/>
  <c r="I53" i="27"/>
  <c r="K53" i="27"/>
  <c r="D54" i="27"/>
  <c r="G54" i="27"/>
  <c r="I54" i="27"/>
  <c r="K54" i="27"/>
  <c r="D55" i="27"/>
  <c r="G55" i="27"/>
  <c r="I55" i="27"/>
  <c r="K55" i="27"/>
  <c r="D56" i="27"/>
  <c r="G56" i="27"/>
  <c r="I56" i="27"/>
  <c r="K56" i="27"/>
  <c r="C59" i="27"/>
  <c r="E59" i="27"/>
  <c r="G59" i="27"/>
  <c r="I59" i="27"/>
  <c r="K59" i="27"/>
  <c r="D60" i="27"/>
  <c r="G60" i="27"/>
  <c r="I60" i="27"/>
  <c r="K60" i="27"/>
  <c r="C62" i="27"/>
  <c r="E63" i="27"/>
  <c r="G63" i="27"/>
  <c r="I63" i="27"/>
  <c r="K63" i="27"/>
  <c r="C64" i="27"/>
  <c r="C61" i="27" s="1"/>
  <c r="E64" i="27"/>
  <c r="D64" i="27" s="1"/>
  <c r="G64" i="27"/>
  <c r="I64" i="27"/>
  <c r="K64" i="27"/>
  <c r="D65" i="27"/>
  <c r="G65" i="27"/>
  <c r="I65" i="27"/>
  <c r="K65" i="27"/>
  <c r="C67" i="27"/>
  <c r="C66" i="27" s="1"/>
  <c r="E67" i="27"/>
  <c r="E66" i="27" s="1"/>
  <c r="G67" i="27"/>
  <c r="I67" i="27"/>
  <c r="K67" i="27"/>
  <c r="D68" i="27"/>
  <c r="G68" i="27"/>
  <c r="I68" i="27"/>
  <c r="K68" i="27"/>
  <c r="D69" i="27"/>
  <c r="G69" i="27"/>
  <c r="I69" i="27"/>
  <c r="K69" i="27"/>
  <c r="D70" i="27"/>
  <c r="G70" i="27"/>
  <c r="I70" i="27"/>
  <c r="K70" i="27"/>
  <c r="D71" i="27"/>
  <c r="G71" i="27"/>
  <c r="I71" i="27"/>
  <c r="K71" i="27"/>
  <c r="C73" i="27"/>
  <c r="C72" i="27" s="1"/>
  <c r="E73" i="27"/>
  <c r="E72" i="27" s="1"/>
  <c r="G73" i="27"/>
  <c r="I73" i="27"/>
  <c r="K73" i="27"/>
  <c r="C74" i="27"/>
  <c r="E74" i="27"/>
  <c r="D74" i="27" s="1"/>
  <c r="G74" i="27"/>
  <c r="I74" i="27"/>
  <c r="K74" i="27"/>
  <c r="D75" i="27"/>
  <c r="G75" i="27"/>
  <c r="I75" i="27"/>
  <c r="K75" i="27"/>
  <c r="C78" i="27"/>
  <c r="E78" i="27"/>
  <c r="E77" i="27" s="1"/>
  <c r="G78" i="27"/>
  <c r="I78" i="27"/>
  <c r="K78" i="27"/>
  <c r="D79" i="27"/>
  <c r="G79" i="27"/>
  <c r="I79" i="27"/>
  <c r="K79" i="27"/>
  <c r="C81" i="27"/>
  <c r="E81" i="27"/>
  <c r="E80" i="27" s="1"/>
  <c r="G81" i="27"/>
  <c r="I81" i="27"/>
  <c r="K81" i="27"/>
  <c r="D82" i="27"/>
  <c r="G82" i="27"/>
  <c r="I82" i="27"/>
  <c r="K82" i="27"/>
  <c r="D83" i="27"/>
  <c r="G83" i="27"/>
  <c r="I83" i="27"/>
  <c r="K83" i="27"/>
  <c r="D84" i="27"/>
  <c r="G84" i="27"/>
  <c r="I84" i="27"/>
  <c r="K84" i="27"/>
  <c r="C86" i="27"/>
  <c r="C85" i="27" s="1"/>
  <c r="E86" i="27"/>
  <c r="E85" i="27" s="1"/>
  <c r="G86" i="27"/>
  <c r="I86" i="27"/>
  <c r="K86" i="27"/>
  <c r="D87" i="27"/>
  <c r="G87" i="27"/>
  <c r="I87" i="27"/>
  <c r="K87" i="27"/>
  <c r="E89" i="27"/>
  <c r="E88" i="27" s="1"/>
  <c r="G89" i="27"/>
  <c r="I89" i="27"/>
  <c r="K89" i="27"/>
  <c r="D90" i="27"/>
  <c r="G90" i="27"/>
  <c r="I90" i="27"/>
  <c r="K90" i="27"/>
  <c r="D91" i="27"/>
  <c r="G91" i="27"/>
  <c r="I91" i="27"/>
  <c r="K91" i="27"/>
  <c r="D92" i="27"/>
  <c r="G92" i="27"/>
  <c r="I92" i="27"/>
  <c r="K92" i="27"/>
  <c r="D93" i="27"/>
  <c r="G93" i="27"/>
  <c r="I93" i="27"/>
  <c r="K93" i="27"/>
  <c r="D94" i="27"/>
  <c r="G94" i="27"/>
  <c r="I94" i="27"/>
  <c r="K94" i="27"/>
  <c r="D95" i="27"/>
  <c r="G95" i="27"/>
  <c r="I95" i="27"/>
  <c r="K95" i="27"/>
  <c r="D96" i="27"/>
  <c r="G96" i="27"/>
  <c r="I96" i="27"/>
  <c r="K96" i="27"/>
  <c r="D97" i="27"/>
  <c r="G97" i="27"/>
  <c r="I97" i="27"/>
  <c r="K97" i="27"/>
  <c r="D98" i="27"/>
  <c r="G98" i="27"/>
  <c r="I98" i="27"/>
  <c r="K98" i="27"/>
  <c r="D99" i="27"/>
  <c r="G99" i="27"/>
  <c r="I99" i="27"/>
  <c r="K99" i="27"/>
  <c r="D100" i="27"/>
  <c r="G100" i="27"/>
  <c r="I100" i="27"/>
  <c r="K100" i="27"/>
  <c r="D101" i="27"/>
  <c r="G101" i="27"/>
  <c r="I101" i="27"/>
  <c r="K101" i="27"/>
  <c r="C102" i="27"/>
  <c r="C88" i="27" s="1"/>
  <c r="E102" i="27"/>
  <c r="D102" i="27" s="1"/>
  <c r="G102" i="27"/>
  <c r="I102" i="27"/>
  <c r="K102" i="27"/>
  <c r="D103" i="27"/>
  <c r="G103" i="27"/>
  <c r="I103" i="27"/>
  <c r="K103" i="27"/>
  <c r="D104" i="27"/>
  <c r="G104" i="27"/>
  <c r="I104" i="27"/>
  <c r="K104" i="27"/>
  <c r="D105" i="27"/>
  <c r="G105" i="27"/>
  <c r="I105" i="27"/>
  <c r="K105" i="27"/>
  <c r="D106" i="27"/>
  <c r="G106" i="27"/>
  <c r="I106" i="27"/>
  <c r="K106" i="27"/>
  <c r="D107" i="27"/>
  <c r="G107" i="27"/>
  <c r="I107" i="27"/>
  <c r="K107" i="27"/>
  <c r="C108" i="27"/>
  <c r="E108" i="27"/>
  <c r="D108" i="27" s="1"/>
  <c r="G108" i="27"/>
  <c r="I108" i="27"/>
  <c r="K108" i="27"/>
  <c r="D109" i="27"/>
  <c r="G109" i="27"/>
  <c r="I109" i="27"/>
  <c r="K109" i="27"/>
  <c r="F112" i="27"/>
  <c r="E113" i="27"/>
  <c r="E112" i="27" s="1"/>
  <c r="G113" i="27"/>
  <c r="I113" i="27"/>
  <c r="K113" i="27"/>
  <c r="D114" i="27"/>
  <c r="G114" i="27"/>
  <c r="I114" i="27"/>
  <c r="K114" i="27"/>
  <c r="C115" i="27"/>
  <c r="C112" i="27" s="1"/>
  <c r="E115" i="27"/>
  <c r="D115" i="27" s="1"/>
  <c r="I115" i="27"/>
  <c r="K115" i="27"/>
  <c r="D116" i="27"/>
  <c r="I116" i="27"/>
  <c r="K116" i="27"/>
  <c r="C117" i="27"/>
  <c r="E117" i="27"/>
  <c r="D117" i="27" s="1"/>
  <c r="I117" i="27"/>
  <c r="K117" i="27"/>
  <c r="D118" i="27"/>
  <c r="I118" i="27"/>
  <c r="K118" i="27"/>
  <c r="G119" i="27"/>
  <c r="I119" i="27"/>
  <c r="K119" i="27"/>
  <c r="I121" i="27"/>
  <c r="K121" i="27"/>
  <c r="I122" i="27"/>
  <c r="K122" i="27"/>
  <c r="D123" i="27"/>
  <c r="G123" i="27"/>
  <c r="H123" i="27"/>
  <c r="I123" i="27"/>
  <c r="K123" i="27"/>
  <c r="F124" i="27"/>
  <c r="G124" i="27"/>
  <c r="I124" i="27"/>
  <c r="K124" i="27"/>
  <c r="G125" i="27"/>
  <c r="I125" i="27"/>
  <c r="K125" i="27"/>
  <c r="G126" i="27"/>
  <c r="I126" i="27"/>
  <c r="K126" i="27"/>
  <c r="G127" i="27"/>
  <c r="I127" i="27"/>
  <c r="K127" i="27"/>
  <c r="G128" i="27"/>
  <c r="H128" i="27"/>
  <c r="I128" i="27"/>
  <c r="K128" i="27"/>
  <c r="E129" i="27"/>
  <c r="G129" i="27"/>
  <c r="G130" i="27"/>
  <c r="H130" i="27"/>
  <c r="H129" i="27" s="1"/>
  <c r="I129" i="27" s="1"/>
  <c r="K129" i="27" s="1"/>
  <c r="I130" i="27"/>
  <c r="K130" i="27"/>
  <c r="G131" i="27"/>
  <c r="I131" i="27"/>
  <c r="K131" i="27"/>
  <c r="G132" i="27"/>
  <c r="I132" i="27"/>
  <c r="K132" i="27"/>
  <c r="G133" i="27"/>
  <c r="I133" i="27"/>
  <c r="G134" i="27"/>
  <c r="H134" i="27"/>
  <c r="I134" i="27"/>
  <c r="K134" i="27"/>
  <c r="I135" i="27"/>
  <c r="K135" i="27"/>
  <c r="C137" i="27"/>
  <c r="C136" i="27" s="1"/>
  <c r="E137" i="27"/>
  <c r="E136" i="27" s="1"/>
  <c r="F137" i="27"/>
  <c r="F136" i="27" s="1"/>
  <c r="F120" i="27" s="1"/>
  <c r="H137" i="27"/>
  <c r="H136" i="27" s="1"/>
  <c r="J137" i="27"/>
  <c r="J136" i="27" s="1"/>
  <c r="D138" i="27"/>
  <c r="D137" i="27" s="1"/>
  <c r="D136" i="27" s="1"/>
  <c r="G138" i="27"/>
  <c r="I138" i="27"/>
  <c r="K138" i="27"/>
  <c r="L137" i="27" s="1"/>
  <c r="G139" i="27"/>
  <c r="I139" i="27"/>
  <c r="K139" i="27"/>
  <c r="D140" i="27"/>
  <c r="G140" i="27"/>
  <c r="I140" i="27"/>
  <c r="K140" i="27"/>
  <c r="D141" i="27"/>
  <c r="G141" i="27"/>
  <c r="I141" i="27"/>
  <c r="K141" i="27"/>
  <c r="D142" i="27"/>
  <c r="G142" i="27"/>
  <c r="G137" i="27" s="1"/>
  <c r="I142" i="27"/>
  <c r="K142" i="27"/>
  <c r="D143" i="27"/>
  <c r="G143" i="27"/>
  <c r="I143" i="27"/>
  <c r="K143" i="27"/>
  <c r="D144" i="27"/>
  <c r="G144" i="27"/>
  <c r="I144" i="27"/>
  <c r="K144" i="27"/>
  <c r="G145" i="27"/>
  <c r="I145" i="27"/>
  <c r="K145" i="27"/>
  <c r="D146" i="27"/>
  <c r="G146" i="27"/>
  <c r="I146" i="27"/>
  <c r="K146" i="27"/>
  <c r="K147" i="27"/>
  <c r="K148" i="27"/>
  <c r="C151" i="27"/>
  <c r="C150" i="27" s="1"/>
  <c r="E151" i="27"/>
  <c r="E150" i="27" s="1"/>
  <c r="F151" i="27"/>
  <c r="F150" i="27" s="1"/>
  <c r="F149" i="27" s="1"/>
  <c r="J151" i="27"/>
  <c r="J150" i="27" s="1"/>
  <c r="J149" i="27" s="1"/>
  <c r="D152" i="27"/>
  <c r="D151" i="27" s="1"/>
  <c r="D150" i="27" s="1"/>
  <c r="G152" i="27"/>
  <c r="G151" i="27" s="1"/>
  <c r="I152" i="27"/>
  <c r="K152" i="27"/>
  <c r="D153" i="27"/>
  <c r="G153" i="27"/>
  <c r="I153" i="27"/>
  <c r="K153" i="27"/>
  <c r="D154" i="27"/>
  <c r="G154" i="27"/>
  <c r="I154" i="27"/>
  <c r="K154" i="27"/>
  <c r="D155" i="27"/>
  <c r="G155" i="27"/>
  <c r="I155" i="27"/>
  <c r="K155" i="27"/>
  <c r="D156" i="27"/>
  <c r="G156" i="27"/>
  <c r="I156" i="27"/>
  <c r="K156" i="27"/>
  <c r="D157" i="27"/>
  <c r="G157" i="27"/>
  <c r="I157" i="27"/>
  <c r="K157" i="27"/>
  <c r="D158" i="27"/>
  <c r="G158" i="27"/>
  <c r="I158" i="27"/>
  <c r="K158" i="27"/>
  <c r="D159" i="27"/>
  <c r="G159" i="27"/>
  <c r="I159" i="27"/>
  <c r="K159" i="27"/>
  <c r="D160" i="27"/>
  <c r="G160" i="27"/>
  <c r="I160" i="27"/>
  <c r="K160" i="27"/>
  <c r="D161" i="27"/>
  <c r="G161" i="27"/>
  <c r="I161" i="27"/>
  <c r="K161" i="27"/>
  <c r="D162" i="27"/>
  <c r="G162" i="27"/>
  <c r="I162" i="27"/>
  <c r="K162" i="27"/>
  <c r="D163" i="27"/>
  <c r="G163" i="27"/>
  <c r="I163" i="27"/>
  <c r="K163" i="27"/>
  <c r="D164" i="27"/>
  <c r="G164" i="27"/>
  <c r="I164" i="27"/>
  <c r="K164" i="27"/>
  <c r="C165" i="27"/>
  <c r="E165" i="27"/>
  <c r="D165" i="27" s="1"/>
  <c r="G165" i="27"/>
  <c r="I165" i="27"/>
  <c r="K165" i="27"/>
  <c r="D166" i="27"/>
  <c r="G166" i="27"/>
  <c r="I166" i="27"/>
  <c r="K166" i="27"/>
  <c r="C167" i="27"/>
  <c r="C149" i="27" s="1"/>
  <c r="E167" i="27"/>
  <c r="E149" i="27" s="1"/>
  <c r="G167" i="27"/>
  <c r="I167" i="27"/>
  <c r="K167" i="27"/>
  <c r="D168" i="27"/>
  <c r="G168" i="27"/>
  <c r="I168" i="27"/>
  <c r="K168" i="27"/>
  <c r="C169" i="27"/>
  <c r="D169" i="27"/>
  <c r="G169" i="27"/>
  <c r="I169" i="27"/>
  <c r="K169" i="27"/>
  <c r="D170" i="27"/>
  <c r="G170" i="27"/>
  <c r="I170" i="27"/>
  <c r="K170" i="27"/>
  <c r="E171" i="27"/>
  <c r="D171" i="27" s="1"/>
  <c r="G171" i="27"/>
  <c r="I171" i="27"/>
  <c r="K171" i="27"/>
  <c r="D172" i="27"/>
  <c r="G172" i="27"/>
  <c r="I172" i="27"/>
  <c r="K172" i="27"/>
  <c r="E173" i="27"/>
  <c r="D173" i="27" s="1"/>
  <c r="G173" i="27"/>
  <c r="I173" i="27"/>
  <c r="K173" i="27"/>
  <c r="D174" i="27"/>
  <c r="G174" i="27"/>
  <c r="I174" i="27"/>
  <c r="K174" i="27"/>
  <c r="H175" i="27"/>
  <c r="E176" i="27"/>
  <c r="E175" i="27" s="1"/>
  <c r="G176" i="27"/>
  <c r="I176" i="27"/>
  <c r="K176" i="27"/>
  <c r="D177" i="27"/>
  <c r="G177" i="27"/>
  <c r="I177" i="27"/>
  <c r="K177" i="27"/>
  <c r="I179" i="27"/>
  <c r="K179" i="27"/>
  <c r="H180" i="27"/>
  <c r="H178" i="27" s="1"/>
  <c r="I178" i="27" s="1"/>
  <c r="K178" i="27" s="1"/>
  <c r="I180" i="27"/>
  <c r="K180" i="27"/>
  <c r="F181" i="27"/>
  <c r="G181" i="27"/>
  <c r="H181" i="27"/>
  <c r="I181" i="27"/>
  <c r="K181" i="27"/>
  <c r="F182" i="27"/>
  <c r="G182" i="27"/>
  <c r="I182" i="27"/>
  <c r="K182" i="27"/>
  <c r="D175" i="27" l="1"/>
  <c r="G175" i="27"/>
  <c r="I175" i="27" s="1"/>
  <c r="K175" i="27" s="1"/>
  <c r="G150" i="27"/>
  <c r="I150" i="27" s="1"/>
  <c r="K150" i="27" s="1"/>
  <c r="I151" i="27"/>
  <c r="K151" i="27" s="1"/>
  <c r="G136" i="27"/>
  <c r="I136" i="27" s="1"/>
  <c r="K136" i="27" s="1"/>
  <c r="I137" i="27"/>
  <c r="K137" i="27" s="1"/>
  <c r="G120" i="27"/>
  <c r="H120" i="27"/>
  <c r="H111" i="27" s="1"/>
  <c r="H110" i="27" s="1"/>
  <c r="H12" i="27" s="1"/>
  <c r="D120" i="27"/>
  <c r="J133" i="27" s="1"/>
  <c r="L120" i="27"/>
  <c r="C111" i="27"/>
  <c r="C110" i="27" s="1"/>
  <c r="E111" i="27"/>
  <c r="E110" i="27" s="1"/>
  <c r="D112" i="27"/>
  <c r="G112" i="27"/>
  <c r="F111" i="27"/>
  <c r="F110" i="27" s="1"/>
  <c r="D88" i="27"/>
  <c r="G88" i="27"/>
  <c r="I88" i="27" s="1"/>
  <c r="K88" i="27" s="1"/>
  <c r="D85" i="27"/>
  <c r="G85" i="27"/>
  <c r="I85" i="27" s="1"/>
  <c r="K85" i="27" s="1"/>
  <c r="D80" i="27"/>
  <c r="G80" i="27"/>
  <c r="I80" i="27" s="1"/>
  <c r="K80" i="27" s="1"/>
  <c r="E76" i="27"/>
  <c r="D77" i="27"/>
  <c r="G77" i="27"/>
  <c r="I77" i="27" s="1"/>
  <c r="K77" i="27" s="1"/>
  <c r="D72" i="27"/>
  <c r="G72" i="27"/>
  <c r="I72" i="27" s="1"/>
  <c r="K72" i="27" s="1"/>
  <c r="D66" i="27"/>
  <c r="G66" i="27"/>
  <c r="I66" i="27" s="1"/>
  <c r="K66" i="27" s="1"/>
  <c r="D176" i="27"/>
  <c r="D167" i="27"/>
  <c r="D149" i="27" s="1"/>
  <c r="D113" i="27"/>
  <c r="D89" i="27"/>
  <c r="D86" i="27"/>
  <c r="D81" i="27"/>
  <c r="D78" i="27"/>
  <c r="D73" i="27"/>
  <c r="D67" i="27"/>
  <c r="E61" i="27"/>
  <c r="D63" i="27"/>
  <c r="E62" i="27"/>
  <c r="E58" i="27"/>
  <c r="C58" i="27"/>
  <c r="C57" i="27" s="1"/>
  <c r="D44" i="27"/>
  <c r="G44" i="27"/>
  <c r="I44" i="27" s="1"/>
  <c r="K44" i="27" s="1"/>
  <c r="D41" i="27"/>
  <c r="G41" i="27"/>
  <c r="I41" i="27" s="1"/>
  <c r="K41" i="27" s="1"/>
  <c r="D37" i="27"/>
  <c r="G37" i="27"/>
  <c r="I37" i="27" s="1"/>
  <c r="K37" i="27" s="1"/>
  <c r="D26" i="27"/>
  <c r="G26" i="27"/>
  <c r="I26" i="27" s="1"/>
  <c r="K26" i="27" s="1"/>
  <c r="D21" i="27"/>
  <c r="G21" i="27"/>
  <c r="I21" i="27" s="1"/>
  <c r="K21" i="27" s="1"/>
  <c r="E14" i="27"/>
  <c r="D15" i="27"/>
  <c r="D14" i="27" s="1"/>
  <c r="G15" i="27"/>
  <c r="C14" i="27"/>
  <c r="C13" i="27" s="1"/>
  <c r="C12" i="27" s="1"/>
  <c r="F12" i="27"/>
  <c r="D59" i="27"/>
  <c r="D45" i="27"/>
  <c r="D42" i="27"/>
  <c r="D38" i="27"/>
  <c r="D27" i="27"/>
  <c r="D22" i="27"/>
  <c r="D16" i="27"/>
  <c r="H301" i="26"/>
  <c r="I20" i="18"/>
  <c r="P21" i="18"/>
  <c r="F68" i="12"/>
  <c r="E66" i="12"/>
  <c r="F66" i="12"/>
  <c r="D66" i="12"/>
  <c r="H608" i="26"/>
  <c r="I608" i="26"/>
  <c r="G608" i="26"/>
  <c r="E52" i="12"/>
  <c r="F52" i="12"/>
  <c r="D52" i="12"/>
  <c r="D50" i="12"/>
  <c r="E64" i="12"/>
  <c r="F64" i="12"/>
  <c r="E65" i="12"/>
  <c r="F65" i="12"/>
  <c r="D65" i="12"/>
  <c r="D64" i="12"/>
  <c r="E62" i="12"/>
  <c r="F62" i="12"/>
  <c r="D62" i="12"/>
  <c r="E60" i="12"/>
  <c r="F60" i="12"/>
  <c r="D60" i="12"/>
  <c r="E57" i="12"/>
  <c r="F57" i="12"/>
  <c r="D57" i="12"/>
  <c r="D54" i="12"/>
  <c r="E54" i="12"/>
  <c r="F54" i="12"/>
  <c r="D55" i="12"/>
  <c r="E55" i="12"/>
  <c r="F55" i="12"/>
  <c r="E53" i="12"/>
  <c r="F53" i="12"/>
  <c r="D53" i="12"/>
  <c r="E51" i="12"/>
  <c r="F51" i="12"/>
  <c r="D51" i="12"/>
  <c r="E49" i="12"/>
  <c r="F49" i="12"/>
  <c r="D49" i="12"/>
  <c r="E43" i="12"/>
  <c r="F43" i="12"/>
  <c r="E44" i="12"/>
  <c r="F44" i="12"/>
  <c r="D44" i="12"/>
  <c r="D43" i="12"/>
  <c r="E36" i="12"/>
  <c r="F36" i="12"/>
  <c r="E37" i="12"/>
  <c r="F37" i="12"/>
  <c r="E38" i="12"/>
  <c r="F38" i="12"/>
  <c r="E39" i="12"/>
  <c r="F39" i="12"/>
  <c r="E40" i="12"/>
  <c r="F40" i="12"/>
  <c r="E41" i="12"/>
  <c r="F41" i="12"/>
  <c r="D37" i="12"/>
  <c r="D38" i="12"/>
  <c r="D39" i="12"/>
  <c r="D40" i="12"/>
  <c r="D41" i="12"/>
  <c r="D36" i="12"/>
  <c r="E30" i="12"/>
  <c r="F30" i="12"/>
  <c r="E31" i="12"/>
  <c r="F31" i="12"/>
  <c r="E32" i="12"/>
  <c r="F32" i="12"/>
  <c r="D32" i="12"/>
  <c r="D31" i="12"/>
  <c r="D30" i="12"/>
  <c r="E26" i="12"/>
  <c r="F26" i="12"/>
  <c r="E28" i="12"/>
  <c r="F28" i="12"/>
  <c r="D28" i="12"/>
  <c r="D27" i="12"/>
  <c r="D26" i="12"/>
  <c r="E21" i="12"/>
  <c r="F21" i="12"/>
  <c r="E22" i="12"/>
  <c r="F22" i="12"/>
  <c r="E23" i="12"/>
  <c r="F23" i="12"/>
  <c r="D23" i="12"/>
  <c r="D22" i="12"/>
  <c r="D21" i="12"/>
  <c r="E18" i="12"/>
  <c r="F18" i="12"/>
  <c r="D18" i="12"/>
  <c r="E14" i="12"/>
  <c r="F14" i="12"/>
  <c r="D14" i="12"/>
  <c r="D8" i="12"/>
  <c r="E9" i="12"/>
  <c r="F9" i="12"/>
  <c r="E10" i="12"/>
  <c r="F10" i="12"/>
  <c r="E12" i="12"/>
  <c r="F12" i="12"/>
  <c r="E13" i="12"/>
  <c r="F13" i="12"/>
  <c r="E15" i="12"/>
  <c r="F15" i="12"/>
  <c r="E16" i="12"/>
  <c r="F16" i="12"/>
  <c r="D16" i="12"/>
  <c r="D15" i="12"/>
  <c r="D13" i="12"/>
  <c r="D12" i="12"/>
  <c r="D11" i="12"/>
  <c r="D10" i="12"/>
  <c r="D9" i="12"/>
  <c r="E14" i="11"/>
  <c r="D7" i="11"/>
  <c r="E7" i="11"/>
  <c r="D8" i="11"/>
  <c r="E8" i="11"/>
  <c r="D10" i="11"/>
  <c r="E10" i="11"/>
  <c r="D11" i="11"/>
  <c r="E11" i="11"/>
  <c r="D12" i="11"/>
  <c r="E12" i="11"/>
  <c r="C12" i="11"/>
  <c r="C11" i="11"/>
  <c r="C10" i="11"/>
  <c r="C9" i="11"/>
  <c r="C8" i="11"/>
  <c r="C7" i="11"/>
  <c r="C6" i="11"/>
  <c r="D609" i="26"/>
  <c r="C609" i="26"/>
  <c r="D607" i="26"/>
  <c r="C607" i="26"/>
  <c r="D606" i="26"/>
  <c r="C606" i="26"/>
  <c r="I595" i="26"/>
  <c r="H595" i="26"/>
  <c r="G595" i="26"/>
  <c r="D594" i="26"/>
  <c r="C594" i="26"/>
  <c r="D588" i="26"/>
  <c r="C588" i="26"/>
  <c r="D585" i="26"/>
  <c r="C585" i="26"/>
  <c r="D580" i="26"/>
  <c r="C580" i="26"/>
  <c r="J506" i="26"/>
  <c r="I505" i="26"/>
  <c r="I504" i="26"/>
  <c r="I503" i="26"/>
  <c r="H503" i="26"/>
  <c r="G503" i="26"/>
  <c r="I502" i="26"/>
  <c r="H502" i="26"/>
  <c r="G502" i="26"/>
  <c r="I501" i="26"/>
  <c r="H501" i="26"/>
  <c r="G501" i="26"/>
  <c r="I500" i="26"/>
  <c r="H500" i="26"/>
  <c r="G500" i="26"/>
  <c r="I499" i="26"/>
  <c r="H499" i="26"/>
  <c r="G499" i="26"/>
  <c r="I498" i="26"/>
  <c r="I497" i="26"/>
  <c r="H497" i="26"/>
  <c r="G497" i="26"/>
  <c r="I496" i="26"/>
  <c r="H496" i="26"/>
  <c r="G496" i="26"/>
  <c r="I495" i="26"/>
  <c r="H495" i="26"/>
  <c r="G495" i="26"/>
  <c r="I494" i="26"/>
  <c r="I556" i="26" s="1"/>
  <c r="H494" i="26"/>
  <c r="H556" i="26" s="1"/>
  <c r="G494" i="26"/>
  <c r="G556" i="26" s="1"/>
  <c r="I493" i="26"/>
  <c r="H493" i="26"/>
  <c r="G493" i="26"/>
  <c r="J492" i="26"/>
  <c r="I492" i="26"/>
  <c r="I491" i="26"/>
  <c r="H491" i="26"/>
  <c r="G491" i="26"/>
  <c r="J490" i="26"/>
  <c r="I490" i="26"/>
  <c r="H489" i="26"/>
  <c r="G489" i="26"/>
  <c r="I489" i="26" s="1"/>
  <c r="J488" i="26"/>
  <c r="I488" i="26"/>
  <c r="I487" i="26"/>
  <c r="H486" i="26"/>
  <c r="G486" i="26"/>
  <c r="I486" i="26" s="1"/>
  <c r="J485" i="26"/>
  <c r="I485" i="26"/>
  <c r="H484" i="26"/>
  <c r="G484" i="26"/>
  <c r="I484" i="26" s="1"/>
  <c r="H483" i="26"/>
  <c r="G483" i="26"/>
  <c r="I483" i="26" s="1"/>
  <c r="H482" i="26"/>
  <c r="H577" i="26" s="1"/>
  <c r="G482" i="26"/>
  <c r="G577" i="26" s="1"/>
  <c r="D577" i="26" s="1"/>
  <c r="J481" i="26"/>
  <c r="I481" i="26"/>
  <c r="I480" i="26"/>
  <c r="H480" i="26"/>
  <c r="G480" i="26"/>
  <c r="J479" i="26"/>
  <c r="I479" i="26"/>
  <c r="I478" i="26"/>
  <c r="H478" i="26"/>
  <c r="G478" i="26"/>
  <c r="I477" i="26"/>
  <c r="H477" i="26"/>
  <c r="G477" i="26"/>
  <c r="I476" i="26"/>
  <c r="I576" i="26" s="1"/>
  <c r="H476" i="26"/>
  <c r="H576" i="26" s="1"/>
  <c r="G476" i="26"/>
  <c r="G576" i="26" s="1"/>
  <c r="H475" i="26"/>
  <c r="H545" i="26" s="1"/>
  <c r="G475" i="26"/>
  <c r="G545" i="26" s="1"/>
  <c r="I474" i="26"/>
  <c r="I473" i="26"/>
  <c r="H473" i="26"/>
  <c r="G473" i="26"/>
  <c r="I472" i="26"/>
  <c r="H472" i="26"/>
  <c r="G472" i="26"/>
  <c r="I471" i="26"/>
  <c r="I470" i="26"/>
  <c r="H470" i="26"/>
  <c r="G470" i="26"/>
  <c r="I469" i="26"/>
  <c r="I468" i="26"/>
  <c r="H468" i="26"/>
  <c r="G468" i="26"/>
  <c r="I467" i="26"/>
  <c r="I466" i="26"/>
  <c r="H466" i="26"/>
  <c r="G466" i="26"/>
  <c r="I465" i="26"/>
  <c r="I464" i="26"/>
  <c r="H464" i="26"/>
  <c r="G464" i="26"/>
  <c r="I463" i="26"/>
  <c r="H463" i="26"/>
  <c r="G463" i="26"/>
  <c r="H462" i="26"/>
  <c r="I462" i="26" s="1"/>
  <c r="I461" i="26" s="1"/>
  <c r="H461" i="26"/>
  <c r="G461" i="26"/>
  <c r="H460" i="26"/>
  <c r="I460" i="26" s="1"/>
  <c r="I459" i="26" s="1"/>
  <c r="H459" i="26"/>
  <c r="G459" i="26"/>
  <c r="I458" i="26"/>
  <c r="I457" i="26"/>
  <c r="H457" i="26"/>
  <c r="G457" i="26"/>
  <c r="H456" i="26"/>
  <c r="I456" i="26" s="1"/>
  <c r="I455" i="26" s="1"/>
  <c r="I454" i="26" s="1"/>
  <c r="I453" i="26" s="1"/>
  <c r="I452" i="26" s="1"/>
  <c r="H455" i="26"/>
  <c r="G455" i="26"/>
  <c r="H454" i="26"/>
  <c r="G454" i="26"/>
  <c r="H453" i="26"/>
  <c r="G453" i="26"/>
  <c r="H452" i="26"/>
  <c r="G452" i="26"/>
  <c r="H451" i="26"/>
  <c r="G451" i="26"/>
  <c r="I450" i="26"/>
  <c r="I449" i="26"/>
  <c r="I448" i="26"/>
  <c r="H448" i="26"/>
  <c r="G448" i="26"/>
  <c r="I447" i="26"/>
  <c r="H447" i="26"/>
  <c r="G447" i="26"/>
  <c r="I446" i="26"/>
  <c r="H446" i="26"/>
  <c r="G446" i="26"/>
  <c r="I445" i="26"/>
  <c r="H445" i="26"/>
  <c r="G445" i="26"/>
  <c r="I444" i="26"/>
  <c r="I443" i="26"/>
  <c r="H443" i="26"/>
  <c r="G443" i="26"/>
  <c r="I442" i="26"/>
  <c r="I441" i="26"/>
  <c r="H441" i="26"/>
  <c r="G441" i="26"/>
  <c r="I440" i="26"/>
  <c r="H440" i="26"/>
  <c r="G440" i="26"/>
  <c r="I439" i="26"/>
  <c r="H439" i="26"/>
  <c r="G439" i="26"/>
  <c r="I438" i="26"/>
  <c r="H438" i="26"/>
  <c r="G438" i="26"/>
  <c r="I437" i="26"/>
  <c r="H437" i="26"/>
  <c r="G437" i="26"/>
  <c r="H436" i="26"/>
  <c r="G436" i="26"/>
  <c r="I435" i="26"/>
  <c r="I434" i="26"/>
  <c r="H434" i="26"/>
  <c r="G434" i="26"/>
  <c r="I433" i="26"/>
  <c r="H433" i="26"/>
  <c r="G433" i="26"/>
  <c r="I432" i="26"/>
  <c r="H432" i="26"/>
  <c r="G432" i="26"/>
  <c r="I431" i="26"/>
  <c r="H431" i="26"/>
  <c r="G431" i="26"/>
  <c r="I430" i="26"/>
  <c r="H430" i="26"/>
  <c r="G430" i="26"/>
  <c r="I429" i="26"/>
  <c r="I428" i="26"/>
  <c r="H428" i="26"/>
  <c r="G428" i="26"/>
  <c r="I427" i="26"/>
  <c r="H427" i="26"/>
  <c r="G427" i="26"/>
  <c r="I426" i="26"/>
  <c r="H426" i="26"/>
  <c r="G426" i="26"/>
  <c r="I425" i="26"/>
  <c r="I561" i="26" s="1"/>
  <c r="H425" i="26"/>
  <c r="H561" i="26" s="1"/>
  <c r="G425" i="26"/>
  <c r="G561" i="26" s="1"/>
  <c r="I424" i="26"/>
  <c r="I560" i="26" s="1"/>
  <c r="H424" i="26"/>
  <c r="H560" i="26" s="1"/>
  <c r="G424" i="26"/>
  <c r="G560" i="26" s="1"/>
  <c r="I423" i="26"/>
  <c r="I422" i="26"/>
  <c r="H422" i="26"/>
  <c r="G422" i="26"/>
  <c r="I421" i="26"/>
  <c r="I420" i="26"/>
  <c r="H420" i="26"/>
  <c r="G420" i="26"/>
  <c r="I419" i="26"/>
  <c r="H419" i="26"/>
  <c r="G419" i="26"/>
  <c r="I418" i="26"/>
  <c r="I417" i="26"/>
  <c r="H417" i="26"/>
  <c r="G417" i="26"/>
  <c r="I416" i="26"/>
  <c r="I415" i="26"/>
  <c r="H415" i="26"/>
  <c r="G415" i="26"/>
  <c r="I414" i="26"/>
  <c r="H414" i="26"/>
  <c r="G414" i="26"/>
  <c r="I413" i="26"/>
  <c r="H413" i="26"/>
  <c r="G413" i="26"/>
  <c r="I412" i="26"/>
  <c r="I411" i="26"/>
  <c r="H411" i="26"/>
  <c r="G411" i="26"/>
  <c r="I410" i="26"/>
  <c r="H410" i="26"/>
  <c r="G410" i="26"/>
  <c r="I409" i="26"/>
  <c r="H409" i="26"/>
  <c r="G409" i="26"/>
  <c r="H408" i="26"/>
  <c r="I408" i="26" s="1"/>
  <c r="I407" i="26" s="1"/>
  <c r="I406" i="26" s="1"/>
  <c r="I405" i="26" s="1"/>
  <c r="I404" i="26" s="1"/>
  <c r="H407" i="26"/>
  <c r="G407" i="26"/>
  <c r="H406" i="26"/>
  <c r="G406" i="26"/>
  <c r="H405" i="26"/>
  <c r="G405" i="26"/>
  <c r="H404" i="26"/>
  <c r="H554" i="26" s="1"/>
  <c r="G404" i="26"/>
  <c r="G554" i="26" s="1"/>
  <c r="I403" i="26"/>
  <c r="I402" i="26"/>
  <c r="H402" i="26"/>
  <c r="G402" i="26"/>
  <c r="I401" i="26"/>
  <c r="H401" i="26"/>
  <c r="G401" i="26"/>
  <c r="I400" i="26"/>
  <c r="H400" i="26"/>
  <c r="G400" i="26"/>
  <c r="I399" i="26"/>
  <c r="I552" i="26" s="1"/>
  <c r="H399" i="26"/>
  <c r="H552" i="26" s="1"/>
  <c r="G399" i="26"/>
  <c r="G552" i="26" s="1"/>
  <c r="H398" i="26"/>
  <c r="G398" i="26"/>
  <c r="J397" i="26"/>
  <c r="I397" i="26"/>
  <c r="I396" i="26"/>
  <c r="H396" i="26"/>
  <c r="G396" i="26"/>
  <c r="I395" i="26"/>
  <c r="H395" i="26"/>
  <c r="G395" i="26"/>
  <c r="I394" i="26"/>
  <c r="H394" i="26"/>
  <c r="G394" i="26"/>
  <c r="I393" i="26"/>
  <c r="H393" i="26"/>
  <c r="G393" i="26"/>
  <c r="I392" i="26"/>
  <c r="H392" i="26"/>
  <c r="G392" i="26"/>
  <c r="I391" i="26"/>
  <c r="I390" i="26"/>
  <c r="H390" i="26"/>
  <c r="G390" i="26"/>
  <c r="H389" i="26"/>
  <c r="I389" i="26" s="1"/>
  <c r="I388" i="26" s="1"/>
  <c r="I387" i="26" s="1"/>
  <c r="I386" i="26" s="1"/>
  <c r="I385" i="26" s="1"/>
  <c r="I377" i="26" s="1"/>
  <c r="H388" i="26"/>
  <c r="G388" i="26"/>
  <c r="H387" i="26"/>
  <c r="G387" i="26"/>
  <c r="H386" i="26"/>
  <c r="G386" i="26"/>
  <c r="H385" i="26"/>
  <c r="G385" i="26"/>
  <c r="I384" i="26"/>
  <c r="I383" i="26"/>
  <c r="H383" i="26"/>
  <c r="G383" i="26"/>
  <c r="I382" i="26"/>
  <c r="I381" i="26"/>
  <c r="H381" i="26"/>
  <c r="G381" i="26"/>
  <c r="I380" i="26"/>
  <c r="H380" i="26"/>
  <c r="G380" i="26"/>
  <c r="I379" i="26"/>
  <c r="H379" i="26"/>
  <c r="G379" i="26"/>
  <c r="I378" i="26"/>
  <c r="H378" i="26"/>
  <c r="G378" i="26"/>
  <c r="H377" i="26"/>
  <c r="G377" i="26"/>
  <c r="I376" i="26"/>
  <c r="I375" i="26"/>
  <c r="H375" i="26"/>
  <c r="G375" i="26"/>
  <c r="I374" i="26"/>
  <c r="H374" i="26"/>
  <c r="G374" i="26"/>
  <c r="I373" i="26"/>
  <c r="H373" i="26"/>
  <c r="G373" i="26"/>
  <c r="I372" i="26"/>
  <c r="H372" i="26"/>
  <c r="G372" i="26"/>
  <c r="I371" i="26"/>
  <c r="I370" i="26"/>
  <c r="H370" i="26"/>
  <c r="G370" i="26"/>
  <c r="I369" i="26"/>
  <c r="I368" i="26"/>
  <c r="H368" i="26"/>
  <c r="G368" i="26"/>
  <c r="I367" i="26"/>
  <c r="H366" i="26"/>
  <c r="I366" i="26" s="1"/>
  <c r="I365" i="26" s="1"/>
  <c r="I364" i="26" s="1"/>
  <c r="I363" i="26" s="1"/>
  <c r="H365" i="26"/>
  <c r="G365" i="26"/>
  <c r="H364" i="26"/>
  <c r="G364" i="26"/>
  <c r="H363" i="26"/>
  <c r="G363" i="26"/>
  <c r="I362" i="26"/>
  <c r="I361" i="26"/>
  <c r="H361" i="26"/>
  <c r="G361" i="26"/>
  <c r="I360" i="26"/>
  <c r="I359" i="26"/>
  <c r="H359" i="26"/>
  <c r="G359" i="26"/>
  <c r="I358" i="26"/>
  <c r="H358" i="26"/>
  <c r="G358" i="26"/>
  <c r="I357" i="26"/>
  <c r="I356" i="26"/>
  <c r="H356" i="26"/>
  <c r="G356" i="26"/>
  <c r="I355" i="26"/>
  <c r="I354" i="26"/>
  <c r="I353" i="26"/>
  <c r="H353" i="26"/>
  <c r="G353" i="26"/>
  <c r="I352" i="26"/>
  <c r="I351" i="26"/>
  <c r="I350" i="26"/>
  <c r="H350" i="26"/>
  <c r="G350" i="26"/>
  <c r="I349" i="26"/>
  <c r="H349" i="26"/>
  <c r="G349" i="26"/>
  <c r="I348" i="26"/>
  <c r="H347" i="26"/>
  <c r="I347" i="26" s="1"/>
  <c r="I346" i="26" s="1"/>
  <c r="I342" i="26" s="1"/>
  <c r="I341" i="26" s="1"/>
  <c r="H346" i="26"/>
  <c r="G346" i="26"/>
  <c r="I345" i="26"/>
  <c r="I344" i="26"/>
  <c r="I343" i="26"/>
  <c r="H343" i="26"/>
  <c r="G343" i="26"/>
  <c r="H342" i="26"/>
  <c r="G342" i="26"/>
  <c r="H341" i="26"/>
  <c r="G341" i="26"/>
  <c r="H340" i="26"/>
  <c r="I340" i="26" s="1"/>
  <c r="I339" i="26" s="1"/>
  <c r="I338" i="26" s="1"/>
  <c r="I337" i="26" s="1"/>
  <c r="I336" i="26" s="1"/>
  <c r="H339" i="26"/>
  <c r="G339" i="26"/>
  <c r="H338" i="26"/>
  <c r="G338" i="26"/>
  <c r="H337" i="26"/>
  <c r="G337" i="26"/>
  <c r="H336" i="26"/>
  <c r="G336" i="26"/>
  <c r="I335" i="26"/>
  <c r="I334" i="26"/>
  <c r="H334" i="26"/>
  <c r="G334" i="26"/>
  <c r="I333" i="26"/>
  <c r="H333" i="26"/>
  <c r="G333" i="26"/>
  <c r="I332" i="26"/>
  <c r="H332" i="26"/>
  <c r="G332" i="26"/>
  <c r="I331" i="26"/>
  <c r="I531" i="26" s="1"/>
  <c r="H331" i="26"/>
  <c r="H531" i="26" s="1"/>
  <c r="G331" i="26"/>
  <c r="G531" i="26" s="1"/>
  <c r="H330" i="26"/>
  <c r="G330" i="26"/>
  <c r="I329" i="26"/>
  <c r="I328" i="26"/>
  <c r="H328" i="26"/>
  <c r="G328" i="26"/>
  <c r="I327" i="26"/>
  <c r="H327" i="26"/>
  <c r="G327" i="26"/>
  <c r="I326" i="26"/>
  <c r="H326" i="26"/>
  <c r="G326" i="26"/>
  <c r="J325" i="26"/>
  <c r="I325" i="26"/>
  <c r="I324" i="26"/>
  <c r="I323" i="26"/>
  <c r="H323" i="26"/>
  <c r="G323" i="26"/>
  <c r="I322" i="26"/>
  <c r="H322" i="26"/>
  <c r="G322" i="26"/>
  <c r="I321" i="26"/>
  <c r="H321" i="26"/>
  <c r="H603" i="26" s="1"/>
  <c r="G321" i="26"/>
  <c r="G603" i="26" s="1"/>
  <c r="D603" i="26" s="1"/>
  <c r="J320" i="26"/>
  <c r="I320" i="26"/>
  <c r="I319" i="26"/>
  <c r="H319" i="26"/>
  <c r="G319" i="26"/>
  <c r="J318" i="26"/>
  <c r="I318" i="26"/>
  <c r="J317" i="26"/>
  <c r="I317" i="26"/>
  <c r="I316" i="26"/>
  <c r="H316" i="26"/>
  <c r="G316" i="26"/>
  <c r="J315" i="26"/>
  <c r="I315" i="26"/>
  <c r="I314" i="26"/>
  <c r="H314" i="26"/>
  <c r="G314" i="26"/>
  <c r="I313" i="26"/>
  <c r="H313" i="26"/>
  <c r="G313" i="26"/>
  <c r="I312" i="26"/>
  <c r="I602" i="26" s="1"/>
  <c r="H312" i="26"/>
  <c r="H602" i="26" s="1"/>
  <c r="G312" i="26"/>
  <c r="G602" i="26" s="1"/>
  <c r="I311" i="26"/>
  <c r="I310" i="26"/>
  <c r="H310" i="26"/>
  <c r="G310" i="26"/>
  <c r="I309" i="26"/>
  <c r="H309" i="26"/>
  <c r="G309" i="26"/>
  <c r="I308" i="26"/>
  <c r="I307" i="26"/>
  <c r="H307" i="26"/>
  <c r="G307" i="26"/>
  <c r="I306" i="26"/>
  <c r="H306" i="26"/>
  <c r="G306" i="26"/>
  <c r="I305" i="26"/>
  <c r="I574" i="26" s="1"/>
  <c r="H305" i="26"/>
  <c r="H574" i="26" s="1"/>
  <c r="G305" i="26"/>
  <c r="G574" i="26" s="1"/>
  <c r="D574" i="26" s="1"/>
  <c r="I304" i="26"/>
  <c r="H304" i="26"/>
  <c r="G304" i="26"/>
  <c r="I303" i="26"/>
  <c r="I302" i="26"/>
  <c r="H302" i="26"/>
  <c r="G302" i="26"/>
  <c r="I301" i="26"/>
  <c r="I300" i="26"/>
  <c r="H300" i="26"/>
  <c r="G300" i="26"/>
  <c r="I299" i="26"/>
  <c r="H299" i="26"/>
  <c r="G299" i="26"/>
  <c r="I298" i="26"/>
  <c r="H298" i="26"/>
  <c r="G298" i="26"/>
  <c r="I297" i="26"/>
  <c r="H297" i="26"/>
  <c r="G297" i="26"/>
  <c r="I296" i="26"/>
  <c r="I295" i="26"/>
  <c r="H295" i="26"/>
  <c r="G295" i="26"/>
  <c r="I294" i="26"/>
  <c r="I293" i="26"/>
  <c r="H293" i="26"/>
  <c r="G293" i="26"/>
  <c r="I292" i="26"/>
  <c r="I291" i="26"/>
  <c r="I290" i="26"/>
  <c r="H290" i="26"/>
  <c r="G290" i="26"/>
  <c r="I289" i="26"/>
  <c r="H289" i="26"/>
  <c r="G289" i="26"/>
  <c r="I288" i="26"/>
  <c r="H288" i="26"/>
  <c r="H572" i="26" s="1"/>
  <c r="G288" i="26"/>
  <c r="G572" i="26" s="1"/>
  <c r="D572" i="26" s="1"/>
  <c r="I287" i="26"/>
  <c r="I527" i="26" s="1"/>
  <c r="H287" i="26"/>
  <c r="H527" i="26" s="1"/>
  <c r="G287" i="26"/>
  <c r="G527" i="26" s="1"/>
  <c r="I286" i="26"/>
  <c r="H286" i="26"/>
  <c r="G286" i="26"/>
  <c r="I285" i="26"/>
  <c r="I284" i="26"/>
  <c r="H284" i="26"/>
  <c r="G284" i="26"/>
  <c r="I283" i="26"/>
  <c r="H283" i="26"/>
  <c r="G283" i="26"/>
  <c r="I282" i="26"/>
  <c r="I281" i="26"/>
  <c r="H281" i="26"/>
  <c r="G281" i="26"/>
  <c r="I280" i="26"/>
  <c r="H280" i="26"/>
  <c r="G280" i="26"/>
  <c r="I279" i="26"/>
  <c r="H279" i="26"/>
  <c r="G279" i="26"/>
  <c r="I278" i="26"/>
  <c r="I524" i="26" s="1"/>
  <c r="H278" i="26"/>
  <c r="H524" i="26" s="1"/>
  <c r="G278" i="26"/>
  <c r="G524" i="26" s="1"/>
  <c r="J277" i="26"/>
  <c r="I277" i="26"/>
  <c r="I276" i="26"/>
  <c r="H276" i="26"/>
  <c r="G276" i="26"/>
  <c r="H275" i="26"/>
  <c r="I275" i="26" s="1"/>
  <c r="I274" i="26" s="1"/>
  <c r="I273" i="26" s="1"/>
  <c r="H274" i="26"/>
  <c r="G274" i="26"/>
  <c r="H273" i="26"/>
  <c r="G273" i="26"/>
  <c r="J272" i="26"/>
  <c r="I272" i="26"/>
  <c r="I271" i="26"/>
  <c r="H271" i="26"/>
  <c r="G271" i="26"/>
  <c r="I270" i="26"/>
  <c r="I269" i="26"/>
  <c r="I268" i="26"/>
  <c r="H268" i="26"/>
  <c r="G268" i="26"/>
  <c r="J267" i="26"/>
  <c r="G267" i="26"/>
  <c r="I267" i="26" s="1"/>
  <c r="I266" i="26" s="1"/>
  <c r="I265" i="26" s="1"/>
  <c r="I264" i="26" s="1"/>
  <c r="H266" i="26"/>
  <c r="G266" i="26"/>
  <c r="H265" i="26"/>
  <c r="G265" i="26"/>
  <c r="H264" i="26"/>
  <c r="H587" i="26" s="1"/>
  <c r="G264" i="26"/>
  <c r="G587" i="26" s="1"/>
  <c r="H263" i="26"/>
  <c r="H522" i="26" s="1"/>
  <c r="G263" i="26"/>
  <c r="G522" i="26" s="1"/>
  <c r="H262" i="26"/>
  <c r="G262" i="26"/>
  <c r="I261" i="26"/>
  <c r="I260" i="26"/>
  <c r="H260" i="26"/>
  <c r="G260" i="26"/>
  <c r="I259" i="26"/>
  <c r="H259" i="26"/>
  <c r="G259" i="26"/>
  <c r="I258" i="26"/>
  <c r="I592" i="26" s="1"/>
  <c r="H258" i="26"/>
  <c r="H592" i="26" s="1"/>
  <c r="G258" i="26"/>
  <c r="G592" i="26" s="1"/>
  <c r="D592" i="26" s="1"/>
  <c r="I257" i="26"/>
  <c r="I256" i="26"/>
  <c r="H256" i="26"/>
  <c r="G256" i="26"/>
  <c r="I255" i="26"/>
  <c r="H255" i="26"/>
  <c r="G255" i="26"/>
  <c r="I254" i="26"/>
  <c r="H254" i="26"/>
  <c r="G254" i="26"/>
  <c r="J253" i="26"/>
  <c r="G253" i="26"/>
  <c r="I253" i="26" s="1"/>
  <c r="I252" i="26" s="1"/>
  <c r="I249" i="26" s="1"/>
  <c r="I248" i="26" s="1"/>
  <c r="H252" i="26"/>
  <c r="G252" i="26"/>
  <c r="I251" i="26"/>
  <c r="I250" i="26"/>
  <c r="H250" i="26"/>
  <c r="G250" i="26"/>
  <c r="H249" i="26"/>
  <c r="G249" i="26"/>
  <c r="H248" i="26"/>
  <c r="G248" i="26"/>
  <c r="J247" i="26"/>
  <c r="I247" i="26"/>
  <c r="J246" i="26"/>
  <c r="G246" i="26"/>
  <c r="I246" i="26" s="1"/>
  <c r="I245" i="26" s="1"/>
  <c r="I244" i="26" s="1"/>
  <c r="I243" i="26" s="1"/>
  <c r="H245" i="26"/>
  <c r="G245" i="26"/>
  <c r="H244" i="26"/>
  <c r="G244" i="26"/>
  <c r="H243" i="26"/>
  <c r="H578" i="26" s="1"/>
  <c r="G243" i="26"/>
  <c r="G578" i="26" s="1"/>
  <c r="D578" i="26" s="1"/>
  <c r="I242" i="26"/>
  <c r="I241" i="26"/>
  <c r="H241" i="26"/>
  <c r="G241" i="26"/>
  <c r="I240" i="26"/>
  <c r="H240" i="26"/>
  <c r="G240" i="26"/>
  <c r="I239" i="26"/>
  <c r="I573" i="26" s="1"/>
  <c r="H239" i="26"/>
  <c r="H573" i="26" s="1"/>
  <c r="G239" i="26"/>
  <c r="G573" i="26" s="1"/>
  <c r="D573" i="26" s="1"/>
  <c r="H238" i="26"/>
  <c r="H517" i="26" s="1"/>
  <c r="G238" i="26"/>
  <c r="G517" i="26" s="1"/>
  <c r="H237" i="26"/>
  <c r="I237" i="26" s="1"/>
  <c r="I236" i="26" s="1"/>
  <c r="I235" i="26" s="1"/>
  <c r="I515" i="26" s="1"/>
  <c r="H236" i="26"/>
  <c r="G236" i="26"/>
  <c r="H235" i="26"/>
  <c r="H515" i="26" s="1"/>
  <c r="G235" i="26"/>
  <c r="G515" i="26" s="1"/>
  <c r="J234" i="26"/>
  <c r="I234" i="26"/>
  <c r="I233" i="26"/>
  <c r="H233" i="26"/>
  <c r="G233" i="26"/>
  <c r="I232" i="26"/>
  <c r="H232" i="26"/>
  <c r="G232" i="26"/>
  <c r="I231" i="26"/>
  <c r="H231" i="26"/>
  <c r="G231" i="26"/>
  <c r="I230" i="26"/>
  <c r="I229" i="26"/>
  <c r="H229" i="26"/>
  <c r="G229" i="26"/>
  <c r="I228" i="26"/>
  <c r="H228" i="26"/>
  <c r="G228" i="26"/>
  <c r="I227" i="26"/>
  <c r="H227" i="26"/>
  <c r="G227" i="26"/>
  <c r="I226" i="26"/>
  <c r="I513" i="26" s="1"/>
  <c r="H226" i="26"/>
  <c r="H513" i="26" s="1"/>
  <c r="G226" i="26"/>
  <c r="G513" i="26" s="1"/>
  <c r="J225" i="26"/>
  <c r="I225" i="26"/>
  <c r="J224" i="26"/>
  <c r="H224" i="26"/>
  <c r="G224" i="26"/>
  <c r="I224" i="26" s="1"/>
  <c r="I223" i="26" s="1"/>
  <c r="I222" i="26" s="1"/>
  <c r="I221" i="26" s="1"/>
  <c r="H223" i="26"/>
  <c r="G223" i="26"/>
  <c r="H222" i="26"/>
  <c r="G222" i="26"/>
  <c r="H221" i="26"/>
  <c r="G221" i="26"/>
  <c r="J220" i="26"/>
  <c r="G220" i="26"/>
  <c r="I220" i="26" s="1"/>
  <c r="I219" i="26" s="1"/>
  <c r="I218" i="26" s="1"/>
  <c r="I217" i="26" s="1"/>
  <c r="H219" i="26"/>
  <c r="G219" i="26"/>
  <c r="H218" i="26"/>
  <c r="G218" i="26"/>
  <c r="H217" i="26"/>
  <c r="H579" i="26" s="1"/>
  <c r="G217" i="26"/>
  <c r="G579" i="26" s="1"/>
  <c r="D579" i="26" s="1"/>
  <c r="J216" i="26"/>
  <c r="I216" i="26"/>
  <c r="I215" i="26"/>
  <c r="H215" i="26"/>
  <c r="G215" i="26"/>
  <c r="I214" i="26"/>
  <c r="I213" i="26"/>
  <c r="I212" i="26"/>
  <c r="H212" i="26"/>
  <c r="G212" i="26"/>
  <c r="J211" i="26"/>
  <c r="I211" i="26"/>
  <c r="I210" i="26"/>
  <c r="H210" i="26"/>
  <c r="G210" i="26"/>
  <c r="I209" i="26"/>
  <c r="H209" i="26"/>
  <c r="G209" i="26"/>
  <c r="I208" i="26"/>
  <c r="I571" i="26" s="1"/>
  <c r="H208" i="26"/>
  <c r="H571" i="26" s="1"/>
  <c r="H575" i="26" s="1"/>
  <c r="G208" i="26"/>
  <c r="G571" i="26" s="1"/>
  <c r="H207" i="26"/>
  <c r="H512" i="26" s="1"/>
  <c r="E11" i="12" s="1"/>
  <c r="G207" i="26"/>
  <c r="G512" i="26" s="1"/>
  <c r="J206" i="26"/>
  <c r="I206" i="26"/>
  <c r="I205" i="26"/>
  <c r="H205" i="26"/>
  <c r="G205" i="26"/>
  <c r="I204" i="26"/>
  <c r="H204" i="26"/>
  <c r="G204" i="26"/>
  <c r="J203" i="26"/>
  <c r="I203" i="26"/>
  <c r="I202" i="26"/>
  <c r="H202" i="26"/>
  <c r="G202" i="26"/>
  <c r="I201" i="26"/>
  <c r="I511" i="26" s="1"/>
  <c r="H201" i="26"/>
  <c r="H511" i="26" s="1"/>
  <c r="G201" i="26"/>
  <c r="G511" i="26" s="1"/>
  <c r="J200" i="26"/>
  <c r="I200" i="26"/>
  <c r="I199" i="26"/>
  <c r="H199" i="26"/>
  <c r="G199" i="26"/>
  <c r="I198" i="26"/>
  <c r="I510" i="26" s="1"/>
  <c r="H198" i="26"/>
  <c r="H510" i="26" s="1"/>
  <c r="G198" i="26"/>
  <c r="G510" i="26" s="1"/>
  <c r="H197" i="26"/>
  <c r="G197" i="26"/>
  <c r="H196" i="26"/>
  <c r="G196" i="26"/>
  <c r="I195" i="26"/>
  <c r="I194" i="26"/>
  <c r="H194" i="26"/>
  <c r="G194" i="26"/>
  <c r="I193" i="26"/>
  <c r="I192" i="26"/>
  <c r="H192" i="26"/>
  <c r="G192" i="26"/>
  <c r="I191" i="26"/>
  <c r="H191" i="26"/>
  <c r="G191" i="26"/>
  <c r="I190" i="26"/>
  <c r="H190" i="26"/>
  <c r="G190" i="26"/>
  <c r="I189" i="26"/>
  <c r="I566" i="26" s="1"/>
  <c r="H189" i="26"/>
  <c r="H566" i="26" s="1"/>
  <c r="G189" i="26"/>
  <c r="G566" i="26" s="1"/>
  <c r="I188" i="26"/>
  <c r="I187" i="26"/>
  <c r="H187" i="26"/>
  <c r="G187" i="26"/>
  <c r="I186" i="26"/>
  <c r="I185" i="26"/>
  <c r="H185" i="26"/>
  <c r="G185" i="26"/>
  <c r="I184" i="26"/>
  <c r="H184" i="26"/>
  <c r="G184" i="26"/>
  <c r="I183" i="26"/>
  <c r="H183" i="26"/>
  <c r="G183" i="26"/>
  <c r="I182" i="26"/>
  <c r="I565" i="26" s="1"/>
  <c r="H182" i="26"/>
  <c r="H565" i="26" s="1"/>
  <c r="G182" i="26"/>
  <c r="G565" i="26" s="1"/>
  <c r="I181" i="26"/>
  <c r="I564" i="26" s="1"/>
  <c r="H181" i="26"/>
  <c r="H564" i="26" s="1"/>
  <c r="G181" i="26"/>
  <c r="G564" i="26" s="1"/>
  <c r="I180" i="26"/>
  <c r="I179" i="26"/>
  <c r="H179" i="26"/>
  <c r="G179" i="26"/>
  <c r="I178" i="26"/>
  <c r="H178" i="26"/>
  <c r="G178" i="26"/>
  <c r="I177" i="26"/>
  <c r="H177" i="26"/>
  <c r="G177" i="26"/>
  <c r="I176" i="26"/>
  <c r="H176" i="26"/>
  <c r="G176" i="26"/>
  <c r="I175" i="26"/>
  <c r="H175" i="26"/>
  <c r="G175" i="26"/>
  <c r="I174" i="26"/>
  <c r="I173" i="26"/>
  <c r="H173" i="26"/>
  <c r="G173" i="26"/>
  <c r="I172" i="26"/>
  <c r="H172" i="26"/>
  <c r="G172" i="26"/>
  <c r="I171" i="26"/>
  <c r="H171" i="26"/>
  <c r="G171" i="26"/>
  <c r="I170" i="26"/>
  <c r="H170" i="26"/>
  <c r="G170" i="26"/>
  <c r="I169" i="26"/>
  <c r="H169" i="26"/>
  <c r="G169" i="26"/>
  <c r="I168" i="26"/>
  <c r="H167" i="26"/>
  <c r="G167" i="26"/>
  <c r="I167" i="26" s="1"/>
  <c r="I162" i="26" s="1"/>
  <c r="I166" i="26"/>
  <c r="I165" i="26"/>
  <c r="H165" i="26"/>
  <c r="G165" i="26"/>
  <c r="I164" i="26"/>
  <c r="H164" i="26"/>
  <c r="G164" i="26"/>
  <c r="I163" i="26"/>
  <c r="H163" i="26"/>
  <c r="G163" i="26"/>
  <c r="H162" i="26"/>
  <c r="G162" i="26"/>
  <c r="H161" i="26"/>
  <c r="I161" i="26" s="1"/>
  <c r="H160" i="26"/>
  <c r="G160" i="26"/>
  <c r="I160" i="26" s="1"/>
  <c r="H159" i="26"/>
  <c r="G159" i="26"/>
  <c r="I159" i="26" s="1"/>
  <c r="H158" i="26"/>
  <c r="G158" i="26"/>
  <c r="I158" i="26" s="1"/>
  <c r="H157" i="26"/>
  <c r="G157" i="26"/>
  <c r="I157" i="26" s="1"/>
  <c r="I156" i="26" s="1"/>
  <c r="H156" i="26"/>
  <c r="G156" i="26"/>
  <c r="I155" i="26"/>
  <c r="I154" i="26"/>
  <c r="H154" i="26"/>
  <c r="G154" i="26"/>
  <c r="I153" i="26"/>
  <c r="H153" i="26"/>
  <c r="G153" i="26"/>
  <c r="I152" i="26"/>
  <c r="H152" i="26"/>
  <c r="G152" i="26"/>
  <c r="I151" i="26"/>
  <c r="H151" i="26"/>
  <c r="G151" i="26"/>
  <c r="I150" i="26"/>
  <c r="H149" i="26"/>
  <c r="G149" i="26"/>
  <c r="I149" i="26" s="1"/>
  <c r="I144" i="26" s="1"/>
  <c r="I143" i="26" s="1"/>
  <c r="I125" i="26" s="1"/>
  <c r="I148" i="26"/>
  <c r="I147" i="26"/>
  <c r="H147" i="26"/>
  <c r="G147" i="26"/>
  <c r="I146" i="26"/>
  <c r="H146" i="26"/>
  <c r="G146" i="26"/>
  <c r="I145" i="26"/>
  <c r="H145" i="26"/>
  <c r="G145" i="26"/>
  <c r="H144" i="26"/>
  <c r="G144" i="26"/>
  <c r="H143" i="26"/>
  <c r="G143" i="26"/>
  <c r="I142" i="26"/>
  <c r="I141" i="26"/>
  <c r="H141" i="26"/>
  <c r="G141" i="26"/>
  <c r="I140" i="26"/>
  <c r="H140" i="26"/>
  <c r="G140" i="26"/>
  <c r="I139" i="26"/>
  <c r="H139" i="26"/>
  <c r="G139" i="26"/>
  <c r="I138" i="26"/>
  <c r="I137" i="26"/>
  <c r="H137" i="26"/>
  <c r="G137" i="26"/>
  <c r="I136" i="26"/>
  <c r="H136" i="26"/>
  <c r="G136" i="26"/>
  <c r="I135" i="26"/>
  <c r="H135" i="26"/>
  <c r="G135" i="26"/>
  <c r="I134" i="26"/>
  <c r="I523" i="26" s="1"/>
  <c r="H134" i="26"/>
  <c r="H523" i="26" s="1"/>
  <c r="G134" i="26"/>
  <c r="G523" i="26" s="1"/>
  <c r="I133" i="26"/>
  <c r="I132" i="26"/>
  <c r="H132" i="26"/>
  <c r="G132" i="26"/>
  <c r="I131" i="26"/>
  <c r="I130" i="26"/>
  <c r="H130" i="26"/>
  <c r="G130" i="26"/>
  <c r="I129" i="26"/>
  <c r="H129" i="26"/>
  <c r="G129" i="26"/>
  <c r="I128" i="26"/>
  <c r="H128" i="26"/>
  <c r="G128" i="26"/>
  <c r="I127" i="26"/>
  <c r="H127" i="26"/>
  <c r="G127" i="26"/>
  <c r="I126" i="26"/>
  <c r="H126" i="26"/>
  <c r="G126" i="26"/>
  <c r="H125" i="26"/>
  <c r="G125" i="26"/>
  <c r="I124" i="26"/>
  <c r="I123" i="26"/>
  <c r="H123" i="26"/>
  <c r="G123" i="26"/>
  <c r="I122" i="26"/>
  <c r="H122" i="26"/>
  <c r="G122" i="26"/>
  <c r="I121" i="26"/>
  <c r="H121" i="26"/>
  <c r="H584" i="26" s="1"/>
  <c r="G121" i="26"/>
  <c r="G584" i="26" s="1"/>
  <c r="D584" i="26" s="1"/>
  <c r="I120" i="26"/>
  <c r="I563" i="26" s="1"/>
  <c r="H120" i="26"/>
  <c r="H563" i="26" s="1"/>
  <c r="G120" i="26"/>
  <c r="G563" i="26" s="1"/>
  <c r="I119" i="26"/>
  <c r="I562" i="26" s="1"/>
  <c r="H119" i="26"/>
  <c r="H562" i="26" s="1"/>
  <c r="G119" i="26"/>
  <c r="G562" i="26" s="1"/>
  <c r="H118" i="26"/>
  <c r="I118" i="26" s="1"/>
  <c r="I117" i="26" s="1"/>
  <c r="I116" i="26" s="1"/>
  <c r="H117" i="26"/>
  <c r="G117" i="26"/>
  <c r="H116" i="26"/>
  <c r="G116" i="26"/>
  <c r="H115" i="26"/>
  <c r="H516" i="26" s="1"/>
  <c r="G115" i="26"/>
  <c r="G516" i="26" s="1"/>
  <c r="J114" i="26"/>
  <c r="I114" i="26"/>
  <c r="I113" i="26"/>
  <c r="I112" i="26"/>
  <c r="H112" i="26"/>
  <c r="G112" i="26"/>
  <c r="J111" i="26"/>
  <c r="I111" i="26"/>
  <c r="I110" i="26"/>
  <c r="H110" i="26"/>
  <c r="G110" i="26"/>
  <c r="I109" i="26"/>
  <c r="H109" i="26"/>
  <c r="G109" i="26"/>
  <c r="I108" i="26"/>
  <c r="I583" i="26" s="1"/>
  <c r="H108" i="26"/>
  <c r="H583" i="26" s="1"/>
  <c r="H586" i="26" s="1"/>
  <c r="G108" i="26"/>
  <c r="G583" i="26" s="1"/>
  <c r="I107" i="26"/>
  <c r="I514" i="26" s="1"/>
  <c r="H107" i="26"/>
  <c r="H514" i="26" s="1"/>
  <c r="G107" i="26"/>
  <c r="G514" i="26" s="1"/>
  <c r="H106" i="26"/>
  <c r="H509" i="26" s="1"/>
  <c r="G106" i="26"/>
  <c r="G509" i="26" s="1"/>
  <c r="H105" i="26"/>
  <c r="G105" i="26"/>
  <c r="J104" i="26"/>
  <c r="I104" i="26"/>
  <c r="G103" i="26"/>
  <c r="I103" i="26" s="1"/>
  <c r="I102" i="26" s="1"/>
  <c r="I101" i="26" s="1"/>
  <c r="I100" i="26" s="1"/>
  <c r="I99" i="26" s="1"/>
  <c r="H102" i="26"/>
  <c r="G102" i="26"/>
  <c r="H101" i="26"/>
  <c r="G101" i="26"/>
  <c r="H100" i="26"/>
  <c r="G100" i="26"/>
  <c r="H99" i="26"/>
  <c r="H555" i="26" s="1"/>
  <c r="G99" i="26"/>
  <c r="G555" i="26" s="1"/>
  <c r="H98" i="26"/>
  <c r="H551" i="26" s="1"/>
  <c r="G98" i="26"/>
  <c r="G551" i="26" s="1"/>
  <c r="J97" i="26"/>
  <c r="I97" i="26"/>
  <c r="I96" i="26"/>
  <c r="H96" i="26"/>
  <c r="G96" i="26"/>
  <c r="J95" i="26"/>
  <c r="G95" i="26"/>
  <c r="I95" i="26" s="1"/>
  <c r="I94" i="26" s="1"/>
  <c r="I88" i="26" s="1"/>
  <c r="I598" i="26" s="1"/>
  <c r="C598" i="26" s="1"/>
  <c r="H94" i="26"/>
  <c r="G94" i="26"/>
  <c r="J93" i="26"/>
  <c r="I93" i="26"/>
  <c r="I92" i="26"/>
  <c r="H92" i="26"/>
  <c r="G92" i="26"/>
  <c r="J91" i="26"/>
  <c r="I91" i="26"/>
  <c r="I90" i="26"/>
  <c r="H90" i="26"/>
  <c r="G90" i="26"/>
  <c r="I89" i="26"/>
  <c r="H89" i="26"/>
  <c r="G89" i="26"/>
  <c r="H88" i="26"/>
  <c r="H598" i="26" s="1"/>
  <c r="G88" i="26"/>
  <c r="G598" i="26" s="1"/>
  <c r="D598" i="26" s="1"/>
  <c r="J87" i="26"/>
  <c r="I87" i="26"/>
  <c r="I86" i="26"/>
  <c r="H86" i="26"/>
  <c r="G86" i="26"/>
  <c r="I85" i="26"/>
  <c r="H84" i="26"/>
  <c r="I84" i="26" s="1"/>
  <c r="I83" i="26" s="1"/>
  <c r="I80" i="26" s="1"/>
  <c r="I79" i="26" s="1"/>
  <c r="H83" i="26"/>
  <c r="G83" i="26"/>
  <c r="J82" i="26"/>
  <c r="I82" i="26"/>
  <c r="I81" i="26"/>
  <c r="H81" i="26"/>
  <c r="G81" i="26"/>
  <c r="H80" i="26"/>
  <c r="G80" i="26"/>
  <c r="H79" i="26"/>
  <c r="H597" i="26" s="1"/>
  <c r="G79" i="26"/>
  <c r="G597" i="26" s="1"/>
  <c r="D597" i="26" s="1"/>
  <c r="J78" i="26"/>
  <c r="I78" i="26"/>
  <c r="I77" i="26"/>
  <c r="H77" i="26"/>
  <c r="G77" i="26"/>
  <c r="I76" i="26"/>
  <c r="H76" i="26"/>
  <c r="G76" i="26"/>
  <c r="I75" i="26"/>
  <c r="I596" i="26" s="1"/>
  <c r="H75" i="26"/>
  <c r="H596" i="26" s="1"/>
  <c r="G75" i="26"/>
  <c r="G596" i="26" s="1"/>
  <c r="H74" i="26"/>
  <c r="H542" i="26" s="1"/>
  <c r="G74" i="26"/>
  <c r="G542" i="26" s="1"/>
  <c r="I73" i="26"/>
  <c r="I72" i="26"/>
  <c r="I71" i="26"/>
  <c r="H71" i="26"/>
  <c r="G71" i="26"/>
  <c r="I70" i="26"/>
  <c r="H70" i="26"/>
  <c r="G70" i="26"/>
  <c r="I69" i="26"/>
  <c r="H69" i="26"/>
  <c r="G69" i="26"/>
  <c r="I68" i="26"/>
  <c r="I541" i="26" s="1"/>
  <c r="H68" i="26"/>
  <c r="H541" i="26" s="1"/>
  <c r="G68" i="26"/>
  <c r="G541" i="26" s="1"/>
  <c r="I67" i="26"/>
  <c r="I66" i="26"/>
  <c r="H66" i="26"/>
  <c r="G66" i="26"/>
  <c r="I65" i="26"/>
  <c r="I64" i="26"/>
  <c r="H64" i="26"/>
  <c r="G64" i="26"/>
  <c r="I63" i="26"/>
  <c r="I62" i="26"/>
  <c r="H62" i="26"/>
  <c r="G62" i="26"/>
  <c r="I61" i="26"/>
  <c r="H61" i="26"/>
  <c r="G61" i="26"/>
  <c r="J60" i="26"/>
  <c r="I60" i="26"/>
  <c r="I59" i="26"/>
  <c r="H59" i="26"/>
  <c r="G59" i="26"/>
  <c r="J58" i="26"/>
  <c r="H58" i="26"/>
  <c r="I58" i="26" s="1"/>
  <c r="I57" i="26" s="1"/>
  <c r="H57" i="26"/>
  <c r="G57" i="26"/>
  <c r="J56" i="26"/>
  <c r="H56" i="26"/>
  <c r="I56" i="26" s="1"/>
  <c r="I55" i="26" s="1"/>
  <c r="H55" i="26"/>
  <c r="G55" i="26"/>
  <c r="J54" i="26"/>
  <c r="H54" i="26"/>
  <c r="I54" i="26" s="1"/>
  <c r="I53" i="26" s="1"/>
  <c r="I52" i="26" s="1"/>
  <c r="I51" i="26" s="1"/>
  <c r="H53" i="26"/>
  <c r="G53" i="26"/>
  <c r="H52" i="26"/>
  <c r="G52" i="26"/>
  <c r="H51" i="26"/>
  <c r="H600" i="26" s="1"/>
  <c r="G51" i="26"/>
  <c r="G600" i="26" s="1"/>
  <c r="D600" i="26" s="1"/>
  <c r="H50" i="26"/>
  <c r="H539" i="26" s="1"/>
  <c r="G50" i="26"/>
  <c r="G539" i="26" s="1"/>
  <c r="I49" i="26"/>
  <c r="I48" i="26"/>
  <c r="H48" i="26"/>
  <c r="G48" i="26"/>
  <c r="I47" i="26"/>
  <c r="I46" i="26"/>
  <c r="H46" i="26"/>
  <c r="G46" i="26"/>
  <c r="I45" i="26"/>
  <c r="H45" i="26"/>
  <c r="G45" i="26"/>
  <c r="I44" i="26"/>
  <c r="I43" i="26"/>
  <c r="H43" i="26"/>
  <c r="G43" i="26"/>
  <c r="I42" i="26"/>
  <c r="I41" i="26"/>
  <c r="H41" i="26"/>
  <c r="G41" i="26"/>
  <c r="H40" i="26"/>
  <c r="I40" i="26" s="1"/>
  <c r="I39" i="26" s="1"/>
  <c r="H39" i="26"/>
  <c r="G39" i="26"/>
  <c r="G38" i="26"/>
  <c r="I38" i="26" s="1"/>
  <c r="I37" i="26" s="1"/>
  <c r="H37" i="26"/>
  <c r="G37" i="26"/>
  <c r="H36" i="26"/>
  <c r="I36" i="26" s="1"/>
  <c r="I35" i="26" s="1"/>
  <c r="H35" i="26"/>
  <c r="G35" i="26"/>
  <c r="I34" i="26"/>
  <c r="I33" i="26"/>
  <c r="H33" i="26"/>
  <c r="G33" i="26"/>
  <c r="J32" i="26"/>
  <c r="I32" i="26"/>
  <c r="I31" i="26"/>
  <c r="H31" i="26"/>
  <c r="G31" i="26"/>
  <c r="K30" i="26"/>
  <c r="J30" i="26"/>
  <c r="H30" i="26"/>
  <c r="I30" i="26" s="1"/>
  <c r="I29" i="26" s="1"/>
  <c r="I28" i="26" s="1"/>
  <c r="I27" i="26" s="1"/>
  <c r="I26" i="26" s="1"/>
  <c r="H29" i="26"/>
  <c r="G29" i="26"/>
  <c r="H28" i="26"/>
  <c r="G28" i="26"/>
  <c r="H27" i="26"/>
  <c r="G27" i="26"/>
  <c r="H26" i="26"/>
  <c r="H538" i="26" s="1"/>
  <c r="G26" i="26"/>
  <c r="G538" i="26" s="1"/>
  <c r="I25" i="26"/>
  <c r="I24" i="26"/>
  <c r="H24" i="26"/>
  <c r="G24" i="26"/>
  <c r="I23" i="26"/>
  <c r="H23" i="26"/>
  <c r="G23" i="26"/>
  <c r="J22" i="26"/>
  <c r="G22" i="26"/>
  <c r="I22" i="26" s="1"/>
  <c r="I21" i="26" s="1"/>
  <c r="H21" i="26"/>
  <c r="G21" i="26"/>
  <c r="J20" i="26"/>
  <c r="H20" i="26"/>
  <c r="G20" i="26"/>
  <c r="I20" i="26" s="1"/>
  <c r="I19" i="26" s="1"/>
  <c r="H19" i="26"/>
  <c r="G19" i="26"/>
  <c r="I18" i="26"/>
  <c r="I17" i="26"/>
  <c r="H17" i="26"/>
  <c r="G17" i="26"/>
  <c r="J16" i="26"/>
  <c r="I16" i="26"/>
  <c r="I15" i="26"/>
  <c r="H15" i="26"/>
  <c r="G15" i="26"/>
  <c r="J14" i="26"/>
  <c r="H14" i="26"/>
  <c r="I14" i="26" s="1"/>
  <c r="I13" i="26" s="1"/>
  <c r="I12" i="26" s="1"/>
  <c r="I11" i="26" s="1"/>
  <c r="H13" i="26"/>
  <c r="G13" i="26"/>
  <c r="H12" i="26"/>
  <c r="G12" i="26"/>
  <c r="H11" i="26"/>
  <c r="H599" i="26" s="1"/>
  <c r="G11" i="26"/>
  <c r="G599" i="26" s="1"/>
  <c r="D599" i="26" s="1"/>
  <c r="H10" i="26"/>
  <c r="H537" i="26" s="1"/>
  <c r="H536" i="26" s="1"/>
  <c r="G10" i="26"/>
  <c r="G537" i="26" s="1"/>
  <c r="G536" i="26" s="1"/>
  <c r="H9" i="26"/>
  <c r="G9" i="26"/>
  <c r="H8" i="26"/>
  <c r="H506" i="26" s="1"/>
  <c r="G8" i="26"/>
  <c r="G506" i="26" s="1"/>
  <c r="F390" i="24"/>
  <c r="E390" i="24"/>
  <c r="D390" i="24"/>
  <c r="F377" i="24"/>
  <c r="E377" i="24"/>
  <c r="D377" i="24"/>
  <c r="F358" i="24"/>
  <c r="F356" i="24"/>
  <c r="F355" i="24"/>
  <c r="E355" i="24"/>
  <c r="D355" i="24"/>
  <c r="F354" i="24"/>
  <c r="E354" i="24"/>
  <c r="D354" i="24"/>
  <c r="F353" i="24"/>
  <c r="F352" i="24"/>
  <c r="E352" i="24"/>
  <c r="D352" i="24"/>
  <c r="F351" i="24"/>
  <c r="E351" i="24"/>
  <c r="D351" i="24"/>
  <c r="F350" i="24"/>
  <c r="F349" i="24"/>
  <c r="E349" i="24"/>
  <c r="D349" i="24"/>
  <c r="F348" i="24"/>
  <c r="F347" i="24"/>
  <c r="E347" i="24"/>
  <c r="D347" i="24"/>
  <c r="E346" i="24"/>
  <c r="F346" i="24" s="1"/>
  <c r="F345" i="24" s="1"/>
  <c r="E345" i="24"/>
  <c r="D345" i="24"/>
  <c r="F344" i="24"/>
  <c r="F343" i="24"/>
  <c r="E343" i="24"/>
  <c r="D343" i="24"/>
  <c r="F342" i="24"/>
  <c r="F341" i="24"/>
  <c r="E340" i="24"/>
  <c r="F340" i="24" s="1"/>
  <c r="F337" i="24" s="1"/>
  <c r="F339" i="24"/>
  <c r="F338" i="24"/>
  <c r="E337" i="24"/>
  <c r="E403" i="24" s="1"/>
  <c r="D337" i="24"/>
  <c r="D403" i="24" s="1"/>
  <c r="E336" i="24"/>
  <c r="D336" i="24"/>
  <c r="F335" i="24"/>
  <c r="F334" i="24"/>
  <c r="E334" i="24"/>
  <c r="D334" i="24"/>
  <c r="F333" i="24"/>
  <c r="F332" i="24"/>
  <c r="E332" i="24"/>
  <c r="D332" i="24"/>
  <c r="F331" i="24"/>
  <c r="F330" i="24"/>
  <c r="E330" i="24"/>
  <c r="D330" i="24"/>
  <c r="F329" i="24"/>
  <c r="E329" i="24"/>
  <c r="D329" i="24"/>
  <c r="F328" i="24"/>
  <c r="F327" i="24"/>
  <c r="F326" i="24"/>
  <c r="E326" i="24"/>
  <c r="D326" i="24"/>
  <c r="F325" i="24"/>
  <c r="E325" i="24"/>
  <c r="D325" i="24"/>
  <c r="E324" i="24"/>
  <c r="D324" i="24"/>
  <c r="F324" i="24" s="1"/>
  <c r="F323" i="24" s="1"/>
  <c r="E323" i="24"/>
  <c r="D323" i="24"/>
  <c r="E322" i="24"/>
  <c r="F322" i="24" s="1"/>
  <c r="F321" i="24" s="1"/>
  <c r="E321" i="24"/>
  <c r="D321" i="24"/>
  <c r="F320" i="24"/>
  <c r="F319" i="24"/>
  <c r="E319" i="24"/>
  <c r="D319" i="24"/>
  <c r="E318" i="24"/>
  <c r="F318" i="24" s="1"/>
  <c r="F317" i="24" s="1"/>
  <c r="E317" i="24"/>
  <c r="D317" i="24"/>
  <c r="E316" i="24"/>
  <c r="F316" i="24" s="1"/>
  <c r="F315" i="24" s="1"/>
  <c r="F314" i="24" s="1"/>
  <c r="F313" i="24" s="1"/>
  <c r="F395" i="24" s="1"/>
  <c r="E315" i="24"/>
  <c r="D315" i="24"/>
  <c r="E314" i="24"/>
  <c r="D314" i="24"/>
  <c r="E313" i="24"/>
  <c r="E395" i="24" s="1"/>
  <c r="D313" i="24"/>
  <c r="D395" i="24" s="1"/>
  <c r="F312" i="24"/>
  <c r="F311" i="24"/>
  <c r="E311" i="24"/>
  <c r="D311" i="24"/>
  <c r="F310" i="24"/>
  <c r="E310" i="24"/>
  <c r="D310" i="24"/>
  <c r="F309" i="24"/>
  <c r="F308" i="24"/>
  <c r="E308" i="24"/>
  <c r="D308" i="24"/>
  <c r="F307" i="24"/>
  <c r="F306" i="24"/>
  <c r="F305" i="24"/>
  <c r="E305" i="24"/>
  <c r="D305" i="24"/>
  <c r="F304" i="24"/>
  <c r="E304" i="24"/>
  <c r="D304" i="24"/>
  <c r="F303" i="24"/>
  <c r="F302" i="24"/>
  <c r="E302" i="24"/>
  <c r="D302" i="24"/>
  <c r="F301" i="24"/>
  <c r="F300" i="24"/>
  <c r="E300" i="24"/>
  <c r="D300" i="24"/>
  <c r="F299" i="24"/>
  <c r="F298" i="24"/>
  <c r="E298" i="24"/>
  <c r="D298" i="24"/>
  <c r="F297" i="24"/>
  <c r="F296" i="24"/>
  <c r="F295" i="24"/>
  <c r="F294" i="24"/>
  <c r="E294" i="24"/>
  <c r="D294" i="24"/>
  <c r="F293" i="24"/>
  <c r="E293" i="24"/>
  <c r="D293" i="24"/>
  <c r="F292" i="24"/>
  <c r="F291" i="24"/>
  <c r="F290" i="24"/>
  <c r="E290" i="24"/>
  <c r="D290" i="24"/>
  <c r="D289" i="24"/>
  <c r="F289" i="24" s="1"/>
  <c r="F288" i="24" s="1"/>
  <c r="E288" i="24"/>
  <c r="D288" i="24"/>
  <c r="F287" i="24"/>
  <c r="F286" i="24"/>
  <c r="E286" i="24"/>
  <c r="D286" i="24"/>
  <c r="E285" i="24"/>
  <c r="D285" i="24"/>
  <c r="F285" i="24" s="1"/>
  <c r="F284" i="24" s="1"/>
  <c r="E284" i="24"/>
  <c r="D284" i="24"/>
  <c r="F283" i="24"/>
  <c r="F282" i="24"/>
  <c r="E282" i="24"/>
  <c r="D282" i="24"/>
  <c r="E281" i="24"/>
  <c r="F281" i="24" s="1"/>
  <c r="F280" i="24" s="1"/>
  <c r="E280" i="24"/>
  <c r="D280" i="24"/>
  <c r="D279" i="24"/>
  <c r="F279" i="24" s="1"/>
  <c r="F278" i="24" s="1"/>
  <c r="E278" i="24"/>
  <c r="D278" i="24"/>
  <c r="F277" i="24"/>
  <c r="F276" i="24"/>
  <c r="E276" i="24"/>
  <c r="D276" i="24"/>
  <c r="E275" i="24"/>
  <c r="F275" i="24" s="1"/>
  <c r="F274" i="24" s="1"/>
  <c r="F273" i="24" s="1"/>
  <c r="F272" i="24" s="1"/>
  <c r="F394" i="24" s="1"/>
  <c r="E274" i="24"/>
  <c r="D274" i="24"/>
  <c r="E273" i="24"/>
  <c r="D273" i="24"/>
  <c r="E272" i="24"/>
  <c r="E394" i="24" s="1"/>
  <c r="D272" i="24"/>
  <c r="D394" i="24" s="1"/>
  <c r="F271" i="24"/>
  <c r="F270" i="24"/>
  <c r="E270" i="24"/>
  <c r="D270" i="24"/>
  <c r="D269" i="24"/>
  <c r="F269" i="24" s="1"/>
  <c r="F268" i="24" s="1"/>
  <c r="F262" i="24" s="1"/>
  <c r="F393" i="24" s="1"/>
  <c r="E268" i="24"/>
  <c r="D268" i="24"/>
  <c r="F267" i="24"/>
  <c r="F266" i="24"/>
  <c r="E266" i="24"/>
  <c r="D266" i="24"/>
  <c r="F265" i="24"/>
  <c r="F264" i="24"/>
  <c r="E264" i="24"/>
  <c r="D264" i="24"/>
  <c r="F263" i="24"/>
  <c r="E263" i="24"/>
  <c r="D263" i="24"/>
  <c r="E262" i="24"/>
  <c r="E393" i="24" s="1"/>
  <c r="D262" i="24"/>
  <c r="D393" i="24" s="1"/>
  <c r="F261" i="24"/>
  <c r="F260" i="24"/>
  <c r="E260" i="24"/>
  <c r="D260" i="24"/>
  <c r="F259" i="24"/>
  <c r="F258" i="24"/>
  <c r="F257" i="24"/>
  <c r="E257" i="24"/>
  <c r="D257" i="24"/>
  <c r="F256" i="24"/>
  <c r="F255" i="24"/>
  <c r="E255" i="24"/>
  <c r="D255" i="24"/>
  <c r="F254" i="24"/>
  <c r="E254" i="24"/>
  <c r="D254" i="24"/>
  <c r="F253" i="24"/>
  <c r="F392" i="24" s="1"/>
  <c r="E253" i="24"/>
  <c r="E392" i="24" s="1"/>
  <c r="D253" i="24"/>
  <c r="D392" i="24" s="1"/>
  <c r="F252" i="24"/>
  <c r="F251" i="24"/>
  <c r="E251" i="24"/>
  <c r="D251" i="24"/>
  <c r="F250" i="24"/>
  <c r="F249" i="24"/>
  <c r="E249" i="24"/>
  <c r="D249" i="24"/>
  <c r="F248" i="24"/>
  <c r="E248" i="24"/>
  <c r="D248" i="24"/>
  <c r="F247" i="24"/>
  <c r="F391" i="24" s="1"/>
  <c r="E247" i="24"/>
  <c r="E391" i="24" s="1"/>
  <c r="E396" i="24" s="1"/>
  <c r="D247" i="24"/>
  <c r="D391" i="24" s="1"/>
  <c r="D396" i="24" s="1"/>
  <c r="F246" i="24"/>
  <c r="F245" i="24"/>
  <c r="F244" i="24"/>
  <c r="E244" i="24"/>
  <c r="D244" i="24"/>
  <c r="F243" i="24"/>
  <c r="E243" i="24"/>
  <c r="D243" i="24"/>
  <c r="F242" i="24"/>
  <c r="F399" i="24" s="1"/>
  <c r="E242" i="24"/>
  <c r="E399" i="24" s="1"/>
  <c r="D242" i="24"/>
  <c r="D399" i="24" s="1"/>
  <c r="F241" i="24"/>
  <c r="F240" i="24"/>
  <c r="E240" i="24"/>
  <c r="D240" i="24"/>
  <c r="F239" i="24"/>
  <c r="F238" i="24"/>
  <c r="E238" i="24"/>
  <c r="D238" i="24"/>
  <c r="M237" i="24"/>
  <c r="K237" i="24"/>
  <c r="L237" i="24" s="1"/>
  <c r="H237" i="24"/>
  <c r="I237" i="24" s="1"/>
  <c r="F237" i="24"/>
  <c r="M236" i="24"/>
  <c r="K236" i="24"/>
  <c r="L236" i="24" s="1"/>
  <c r="H236" i="24"/>
  <c r="I236" i="24" s="1"/>
  <c r="F236" i="24"/>
  <c r="F235" i="24"/>
  <c r="E235" i="24"/>
  <c r="D235" i="24"/>
  <c r="F234" i="24"/>
  <c r="E234" i="24"/>
  <c r="D234" i="24"/>
  <c r="F233" i="24"/>
  <c r="F398" i="24" s="1"/>
  <c r="E233" i="24"/>
  <c r="E398" i="24" s="1"/>
  <c r="D233" i="24"/>
  <c r="D398" i="24" s="1"/>
  <c r="F232" i="24"/>
  <c r="F231" i="24"/>
  <c r="E231" i="24"/>
  <c r="D231" i="24"/>
  <c r="F230" i="24"/>
  <c r="F229" i="24"/>
  <c r="F228" i="24"/>
  <c r="E228" i="24"/>
  <c r="D228" i="24"/>
  <c r="F227" i="24"/>
  <c r="F226" i="24"/>
  <c r="E226" i="24"/>
  <c r="D226" i="24"/>
  <c r="F225" i="24"/>
  <c r="E225" i="24"/>
  <c r="D225" i="24"/>
  <c r="F224" i="24"/>
  <c r="F397" i="24" s="1"/>
  <c r="F400" i="24" s="1"/>
  <c r="E224" i="24"/>
  <c r="E397" i="24" s="1"/>
  <c r="E400" i="24" s="1"/>
  <c r="D224" i="24"/>
  <c r="D397" i="24" s="1"/>
  <c r="D400" i="24" s="1"/>
  <c r="F223" i="24"/>
  <c r="F222" i="24"/>
  <c r="E222" i="24"/>
  <c r="D222" i="24"/>
  <c r="F221" i="24"/>
  <c r="E221" i="24"/>
  <c r="D221" i="24"/>
  <c r="F220" i="24"/>
  <c r="F387" i="24" s="1"/>
  <c r="E220" i="24"/>
  <c r="E387" i="24" s="1"/>
  <c r="D220" i="24"/>
  <c r="D387" i="24" s="1"/>
  <c r="F219" i="24"/>
  <c r="F218" i="24"/>
  <c r="E218" i="24"/>
  <c r="D218" i="24"/>
  <c r="F217" i="24"/>
  <c r="F216" i="24"/>
  <c r="F215" i="24"/>
  <c r="E215" i="24"/>
  <c r="D215" i="24"/>
  <c r="F214" i="24"/>
  <c r="E214" i="24"/>
  <c r="D214" i="24"/>
  <c r="F213" i="24"/>
  <c r="F386" i="24" s="1"/>
  <c r="E213" i="24"/>
  <c r="E386" i="24" s="1"/>
  <c r="D213" i="24"/>
  <c r="D386" i="24" s="1"/>
  <c r="F212" i="24"/>
  <c r="F211" i="24"/>
  <c r="E211" i="24"/>
  <c r="D211" i="24"/>
  <c r="F210" i="24"/>
  <c r="F209" i="24"/>
  <c r="E209" i="24"/>
  <c r="D209" i="24"/>
  <c r="F208" i="24"/>
  <c r="F207" i="24"/>
  <c r="F206" i="24"/>
  <c r="E206" i="24"/>
  <c r="D206" i="24"/>
  <c r="F205" i="24"/>
  <c r="E205" i="24"/>
  <c r="D205" i="24"/>
  <c r="F204" i="24"/>
  <c r="F203" i="24"/>
  <c r="F202" i="24"/>
  <c r="F201" i="24"/>
  <c r="E201" i="24"/>
  <c r="D201" i="24"/>
  <c r="F200" i="24"/>
  <c r="F199" i="24"/>
  <c r="F198" i="24"/>
  <c r="E198" i="24"/>
  <c r="D198" i="24"/>
  <c r="F197" i="24"/>
  <c r="E197" i="24"/>
  <c r="D197" i="24"/>
  <c r="F196" i="24"/>
  <c r="F195" i="24"/>
  <c r="E195" i="24"/>
  <c r="D195" i="24"/>
  <c r="F194" i="24"/>
  <c r="F193" i="24"/>
  <c r="F192" i="24"/>
  <c r="E192" i="24"/>
  <c r="D192" i="24"/>
  <c r="F191" i="24"/>
  <c r="F190" i="24"/>
  <c r="F189" i="24"/>
  <c r="E189" i="24"/>
  <c r="D189" i="24"/>
  <c r="F188" i="24"/>
  <c r="E188" i="24"/>
  <c r="D188" i="24"/>
  <c r="F187" i="24"/>
  <c r="F186" i="24"/>
  <c r="E186" i="24"/>
  <c r="D186" i="24"/>
  <c r="F185" i="24"/>
  <c r="E185" i="24"/>
  <c r="D185" i="24"/>
  <c r="F184" i="24"/>
  <c r="F385" i="24" s="1"/>
  <c r="E184" i="24"/>
  <c r="E385" i="24" s="1"/>
  <c r="D184" i="24"/>
  <c r="D385" i="24" s="1"/>
  <c r="F183" i="24"/>
  <c r="F182" i="24"/>
  <c r="F181" i="24"/>
  <c r="E181" i="24"/>
  <c r="D181" i="24"/>
  <c r="E180" i="24"/>
  <c r="F180" i="24" s="1"/>
  <c r="F179" i="24" s="1"/>
  <c r="F178" i="24" s="1"/>
  <c r="E179" i="24"/>
  <c r="D179" i="24"/>
  <c r="E178" i="24"/>
  <c r="D178" i="24"/>
  <c r="F177" i="24"/>
  <c r="E176" i="24"/>
  <c r="D176" i="24"/>
  <c r="F176" i="24" s="1"/>
  <c r="F175" i="24" s="1"/>
  <c r="F174" i="24" s="1"/>
  <c r="E175" i="24"/>
  <c r="D175" i="24"/>
  <c r="E174" i="24"/>
  <c r="D174" i="24"/>
  <c r="F173" i="24"/>
  <c r="F172" i="24"/>
  <c r="E172" i="24"/>
  <c r="D172" i="24"/>
  <c r="F171" i="24"/>
  <c r="F170" i="24"/>
  <c r="E170" i="24"/>
  <c r="D170" i="24"/>
  <c r="F169" i="24"/>
  <c r="E169" i="24"/>
  <c r="D169" i="24"/>
  <c r="F168" i="24"/>
  <c r="F167" i="24"/>
  <c r="E167" i="24"/>
  <c r="D167" i="24"/>
  <c r="F166" i="24"/>
  <c r="F165" i="24"/>
  <c r="E165" i="24"/>
  <c r="D165" i="24"/>
  <c r="F164" i="24"/>
  <c r="E164" i="24"/>
  <c r="D164" i="24"/>
  <c r="E163" i="24"/>
  <c r="E383" i="24" s="1"/>
  <c r="D163" i="24"/>
  <c r="D383" i="24" s="1"/>
  <c r="F162" i="24"/>
  <c r="F161" i="24"/>
  <c r="E161" i="24"/>
  <c r="D161" i="24"/>
  <c r="F160" i="24"/>
  <c r="F159" i="24"/>
  <c r="F158" i="24"/>
  <c r="E158" i="24"/>
  <c r="D158" i="24"/>
  <c r="D157" i="24"/>
  <c r="F157" i="24" s="1"/>
  <c r="F156" i="24" s="1"/>
  <c r="F155" i="24" s="1"/>
  <c r="F154" i="24" s="1"/>
  <c r="F381" i="24" s="1"/>
  <c r="E156" i="24"/>
  <c r="D156" i="24"/>
  <c r="E155" i="24"/>
  <c r="D155" i="24"/>
  <c r="E154" i="24"/>
  <c r="E381" i="24" s="1"/>
  <c r="E388" i="24" s="1"/>
  <c r="D9" i="11" s="1"/>
  <c r="D154" i="24"/>
  <c r="D381" i="24" s="1"/>
  <c r="D388" i="24" s="1"/>
  <c r="F153" i="24"/>
  <c r="F152" i="24"/>
  <c r="E152" i="24"/>
  <c r="D152" i="24"/>
  <c r="F151" i="24"/>
  <c r="E151" i="24"/>
  <c r="D151" i="24"/>
  <c r="F150" i="24"/>
  <c r="F149" i="24"/>
  <c r="E149" i="24"/>
  <c r="D149" i="24"/>
  <c r="F148" i="24"/>
  <c r="F147" i="24"/>
  <c r="E147" i="24"/>
  <c r="D147" i="24"/>
  <c r="D146" i="24"/>
  <c r="F146" i="24" s="1"/>
  <c r="F145" i="24" s="1"/>
  <c r="F134" i="24" s="1"/>
  <c r="F133" i="24" s="1"/>
  <c r="F379" i="24" s="1"/>
  <c r="E145" i="24"/>
  <c r="D145" i="24"/>
  <c r="F144" i="24"/>
  <c r="F143" i="24"/>
  <c r="E143" i="24"/>
  <c r="D143" i="24"/>
  <c r="F142" i="24"/>
  <c r="F141" i="24"/>
  <c r="E141" i="24"/>
  <c r="D141" i="24"/>
  <c r="F140" i="24"/>
  <c r="I139" i="24"/>
  <c r="F139" i="24"/>
  <c r="E139" i="24"/>
  <c r="D139" i="24"/>
  <c r="F138" i="24"/>
  <c r="F137" i="24"/>
  <c r="E137" i="24"/>
  <c r="D137" i="24"/>
  <c r="F136" i="24"/>
  <c r="F135" i="24"/>
  <c r="E135" i="24"/>
  <c r="D135" i="24"/>
  <c r="E134" i="24"/>
  <c r="D134" i="24"/>
  <c r="E133" i="24"/>
  <c r="E379" i="24" s="1"/>
  <c r="D133" i="24"/>
  <c r="D379" i="24" s="1"/>
  <c r="F132" i="24"/>
  <c r="F131" i="24"/>
  <c r="E131" i="24"/>
  <c r="D131" i="24"/>
  <c r="F130" i="24"/>
  <c r="F129" i="24"/>
  <c r="F128" i="24"/>
  <c r="E128" i="24"/>
  <c r="D128" i="24"/>
  <c r="F127" i="24"/>
  <c r="F126" i="24"/>
  <c r="E126" i="24"/>
  <c r="D126" i="24"/>
  <c r="F125" i="24"/>
  <c r="E125" i="24"/>
  <c r="D125" i="24"/>
  <c r="F124" i="24"/>
  <c r="F378" i="24" s="1"/>
  <c r="E124" i="24"/>
  <c r="E378" i="24" s="1"/>
  <c r="E380" i="24" s="1"/>
  <c r="D124" i="24"/>
  <c r="D378" i="24" s="1"/>
  <c r="D380" i="24" s="1"/>
  <c r="F123" i="24"/>
  <c r="F122" i="24"/>
  <c r="F121" i="24"/>
  <c r="E121" i="24"/>
  <c r="D121" i="24"/>
  <c r="F120" i="24"/>
  <c r="E120" i="24"/>
  <c r="D120" i="24"/>
  <c r="F119" i="24"/>
  <c r="F118" i="24"/>
  <c r="E118" i="24"/>
  <c r="D118" i="24"/>
  <c r="F117" i="24"/>
  <c r="F116" i="24"/>
  <c r="F115" i="24"/>
  <c r="E115" i="24"/>
  <c r="D115" i="24"/>
  <c r="F114" i="24"/>
  <c r="E114" i="24"/>
  <c r="D114" i="24"/>
  <c r="F113" i="24"/>
  <c r="F372" i="24" s="1"/>
  <c r="E113" i="24"/>
  <c r="E372" i="24" s="1"/>
  <c r="D113" i="24"/>
  <c r="D372" i="24" s="1"/>
  <c r="F112" i="24"/>
  <c r="F111" i="24"/>
  <c r="E111" i="24"/>
  <c r="D111" i="24"/>
  <c r="F110" i="24"/>
  <c r="F109" i="24"/>
  <c r="E109" i="24"/>
  <c r="D109" i="24"/>
  <c r="F108" i="24"/>
  <c r="E108" i="24"/>
  <c r="D108" i="24"/>
  <c r="F107" i="24"/>
  <c r="F106" i="24"/>
  <c r="E106" i="24"/>
  <c r="D106" i="24"/>
  <c r="F105" i="24"/>
  <c r="F104" i="24"/>
  <c r="E104" i="24"/>
  <c r="D104" i="24"/>
  <c r="D103" i="24"/>
  <c r="F103" i="24" s="1"/>
  <c r="F102" i="24" s="1"/>
  <c r="F99" i="24" s="1"/>
  <c r="F98" i="24" s="1"/>
  <c r="F370" i="24" s="1"/>
  <c r="E102" i="24"/>
  <c r="D102" i="24"/>
  <c r="F101" i="24"/>
  <c r="F100" i="24"/>
  <c r="E100" i="24"/>
  <c r="D100" i="24"/>
  <c r="E99" i="24"/>
  <c r="D99" i="24"/>
  <c r="E98" i="24"/>
  <c r="E370" i="24" s="1"/>
  <c r="D98" i="24"/>
  <c r="D370" i="24" s="1"/>
  <c r="F97" i="24"/>
  <c r="F96" i="24"/>
  <c r="E96" i="24"/>
  <c r="D96" i="24"/>
  <c r="F95" i="24"/>
  <c r="F94" i="24"/>
  <c r="E94" i="24"/>
  <c r="D94" i="24"/>
  <c r="F93" i="24"/>
  <c r="E93" i="24"/>
  <c r="D93" i="24"/>
  <c r="F92" i="24"/>
  <c r="F91" i="24"/>
  <c r="E91" i="24"/>
  <c r="D91" i="24"/>
  <c r="F90" i="24"/>
  <c r="F89" i="24"/>
  <c r="E89" i="24"/>
  <c r="D89" i="24"/>
  <c r="F88" i="24"/>
  <c r="F87" i="24"/>
  <c r="E87" i="24"/>
  <c r="D87" i="24"/>
  <c r="F86" i="24"/>
  <c r="F85" i="24"/>
  <c r="E85" i="24"/>
  <c r="D85" i="24"/>
  <c r="F84" i="24"/>
  <c r="E84" i="24"/>
  <c r="D84" i="24"/>
  <c r="F83" i="24"/>
  <c r="F82" i="24"/>
  <c r="E82" i="24"/>
  <c r="D82" i="24"/>
  <c r="F81" i="24"/>
  <c r="E81" i="24"/>
  <c r="D81" i="24"/>
  <c r="F80" i="24"/>
  <c r="D79" i="24"/>
  <c r="F79" i="24" s="1"/>
  <c r="F78" i="24" s="1"/>
  <c r="F77" i="24" s="1"/>
  <c r="F61" i="24" s="1"/>
  <c r="F369" i="24" s="1"/>
  <c r="E78" i="24"/>
  <c r="D78" i="24"/>
  <c r="E77" i="24"/>
  <c r="D77" i="24"/>
  <c r="F76" i="24"/>
  <c r="F75" i="24"/>
  <c r="E75" i="24"/>
  <c r="D75" i="24"/>
  <c r="F74" i="24"/>
  <c r="F73" i="24"/>
  <c r="F72" i="24"/>
  <c r="F71" i="24"/>
  <c r="E71" i="24"/>
  <c r="D71" i="24"/>
  <c r="F70" i="24"/>
  <c r="F69" i="24"/>
  <c r="E69" i="24"/>
  <c r="D69" i="24"/>
  <c r="F68" i="24"/>
  <c r="F67" i="24"/>
  <c r="E67" i="24"/>
  <c r="D67" i="24"/>
  <c r="F66" i="24"/>
  <c r="F65" i="24"/>
  <c r="E65" i="24"/>
  <c r="D65" i="24"/>
  <c r="F64" i="24"/>
  <c r="F63" i="24"/>
  <c r="E63" i="24"/>
  <c r="D63" i="24"/>
  <c r="F62" i="24"/>
  <c r="E62" i="24"/>
  <c r="D62" i="24"/>
  <c r="E61" i="24"/>
  <c r="E369" i="24" s="1"/>
  <c r="D61" i="24"/>
  <c r="D369" i="24" s="1"/>
  <c r="F60" i="24"/>
  <c r="E59" i="24"/>
  <c r="D59" i="24"/>
  <c r="F59" i="24" s="1"/>
  <c r="F58" i="24"/>
  <c r="F57" i="24"/>
  <c r="E56" i="24"/>
  <c r="D56" i="24"/>
  <c r="F56" i="24" s="1"/>
  <c r="F55" i="24"/>
  <c r="E54" i="24"/>
  <c r="D54" i="24"/>
  <c r="F54" i="24" s="1"/>
  <c r="E53" i="24"/>
  <c r="D53" i="24"/>
  <c r="F53" i="24" s="1"/>
  <c r="E52" i="24"/>
  <c r="E367" i="24" s="1"/>
  <c r="D52" i="24"/>
  <c r="D367" i="24" s="1"/>
  <c r="F51" i="24"/>
  <c r="F50" i="24"/>
  <c r="E50" i="24"/>
  <c r="D50" i="24"/>
  <c r="F49" i="24"/>
  <c r="F48" i="24"/>
  <c r="E48" i="24"/>
  <c r="D48" i="24"/>
  <c r="F47" i="24"/>
  <c r="E47" i="24"/>
  <c r="D47" i="24"/>
  <c r="F46" i="24"/>
  <c r="F366" i="24" s="1"/>
  <c r="E46" i="24"/>
  <c r="E366" i="24" s="1"/>
  <c r="E373" i="24" s="1"/>
  <c r="D46" i="24"/>
  <c r="D366" i="24" s="1"/>
  <c r="D373" i="24" s="1"/>
  <c r="F45" i="24"/>
  <c r="F44" i="24"/>
  <c r="E44" i="24"/>
  <c r="D44" i="24"/>
  <c r="F43" i="24"/>
  <c r="E43" i="24"/>
  <c r="D43" i="24"/>
  <c r="F42" i="24"/>
  <c r="F41" i="24"/>
  <c r="E41" i="24"/>
  <c r="D41" i="24"/>
  <c r="F40" i="24"/>
  <c r="E40" i="24"/>
  <c r="D40" i="24"/>
  <c r="F39" i="24"/>
  <c r="F364" i="24" s="1"/>
  <c r="E39" i="24"/>
  <c r="E364" i="24" s="1"/>
  <c r="D39" i="24"/>
  <c r="D364" i="24" s="1"/>
  <c r="F38" i="24"/>
  <c r="F37" i="24"/>
  <c r="E37" i="24"/>
  <c r="D37" i="24"/>
  <c r="F36" i="24"/>
  <c r="E36" i="24"/>
  <c r="D36" i="24"/>
  <c r="F35" i="24"/>
  <c r="F34" i="24"/>
  <c r="E34" i="24"/>
  <c r="D34" i="24"/>
  <c r="F33" i="24"/>
  <c r="E33" i="24"/>
  <c r="D33" i="24"/>
  <c r="F32" i="24"/>
  <c r="F363" i="24" s="1"/>
  <c r="E32" i="24"/>
  <c r="E363" i="24" s="1"/>
  <c r="D32" i="24"/>
  <c r="D363" i="24" s="1"/>
  <c r="F31" i="24"/>
  <c r="F30" i="24"/>
  <c r="E30" i="24"/>
  <c r="D30" i="24"/>
  <c r="F29" i="24"/>
  <c r="F28" i="24"/>
  <c r="E28" i="24"/>
  <c r="D28" i="24"/>
  <c r="F27" i="24"/>
  <c r="E27" i="24"/>
  <c r="D27" i="24"/>
  <c r="F26" i="24"/>
  <c r="F25" i="24"/>
  <c r="E25" i="24"/>
  <c r="D25" i="24"/>
  <c r="F24" i="24"/>
  <c r="F23" i="24"/>
  <c r="E23" i="24"/>
  <c r="D23" i="24"/>
  <c r="F22" i="24"/>
  <c r="F21" i="24"/>
  <c r="F20" i="24"/>
  <c r="E20" i="24"/>
  <c r="D20" i="24"/>
  <c r="F19" i="24"/>
  <c r="E19" i="24"/>
  <c r="D19" i="24"/>
  <c r="F18" i="24"/>
  <c r="F362" i="24" s="1"/>
  <c r="E18" i="24"/>
  <c r="E362" i="24" s="1"/>
  <c r="D18" i="24"/>
  <c r="D362" i="24" s="1"/>
  <c r="F17" i="24"/>
  <c r="F16" i="24"/>
  <c r="E16" i="24"/>
  <c r="D16" i="24"/>
  <c r="F15" i="24"/>
  <c r="F14" i="24"/>
  <c r="F13" i="24"/>
  <c r="E13" i="24"/>
  <c r="D13" i="24"/>
  <c r="F12" i="24"/>
  <c r="F11" i="24"/>
  <c r="E11" i="24"/>
  <c r="D11" i="24"/>
  <c r="F10" i="24"/>
  <c r="E10" i="24"/>
  <c r="D10" i="24"/>
  <c r="F9" i="24"/>
  <c r="F361" i="24" s="1"/>
  <c r="F365" i="24" s="1"/>
  <c r="E6" i="11" s="1"/>
  <c r="E9" i="24"/>
  <c r="E361" i="24" s="1"/>
  <c r="E365" i="24" s="1"/>
  <c r="E405" i="24" s="1"/>
  <c r="D9" i="24"/>
  <c r="D361" i="24" s="1"/>
  <c r="D365" i="24" s="1"/>
  <c r="D405" i="24" s="1"/>
  <c r="G14" i="27" l="1"/>
  <c r="I15" i="27"/>
  <c r="K15" i="27" s="1"/>
  <c r="E57" i="27"/>
  <c r="D58" i="27"/>
  <c r="G58" i="27"/>
  <c r="I58" i="27" s="1"/>
  <c r="K58" i="27" s="1"/>
  <c r="D62" i="27"/>
  <c r="G62" i="27"/>
  <c r="I62" i="27" s="1"/>
  <c r="K62" i="27" s="1"/>
  <c r="D61" i="27"/>
  <c r="G61" i="27"/>
  <c r="I61" i="27" s="1"/>
  <c r="K61" i="27" s="1"/>
  <c r="D76" i="27"/>
  <c r="G76" i="27"/>
  <c r="I76" i="27" s="1"/>
  <c r="K76" i="27" s="1"/>
  <c r="I112" i="27"/>
  <c r="K112" i="27" s="1"/>
  <c r="D111" i="27"/>
  <c r="D110" i="27" s="1"/>
  <c r="J120" i="27"/>
  <c r="J111" i="27" s="1"/>
  <c r="J110" i="27" s="1"/>
  <c r="J12" i="27" s="1"/>
  <c r="K133" i="27"/>
  <c r="I120" i="27"/>
  <c r="K120" i="27" s="1"/>
  <c r="G149" i="27"/>
  <c r="I149" i="27" s="1"/>
  <c r="K149" i="27" s="1"/>
  <c r="D6" i="11"/>
  <c r="G508" i="26"/>
  <c r="H508" i="26"/>
  <c r="I599" i="26"/>
  <c r="C599" i="26" s="1"/>
  <c r="I10" i="26"/>
  <c r="I537" i="26" s="1"/>
  <c r="I538" i="26"/>
  <c r="I600" i="26"/>
  <c r="C600" i="26" s="1"/>
  <c r="I50" i="26"/>
  <c r="I539" i="26" s="1"/>
  <c r="I597" i="26"/>
  <c r="C597" i="26" s="1"/>
  <c r="I74" i="26"/>
  <c r="I542" i="26" s="1"/>
  <c r="I555" i="26"/>
  <c r="I98" i="26"/>
  <c r="I115" i="26"/>
  <c r="I579" i="26"/>
  <c r="C579" i="26" s="1"/>
  <c r="I207" i="26"/>
  <c r="I578" i="26"/>
  <c r="C578" i="26" s="1"/>
  <c r="I238" i="26"/>
  <c r="I517" i="26" s="1"/>
  <c r="G520" i="26"/>
  <c r="H520" i="26"/>
  <c r="I587" i="26"/>
  <c r="I263" i="26"/>
  <c r="I589" i="26"/>
  <c r="I532" i="26"/>
  <c r="I330" i="26"/>
  <c r="I530" i="26" s="1"/>
  <c r="I554" i="26"/>
  <c r="I398" i="26"/>
  <c r="I544" i="26"/>
  <c r="G601" i="26"/>
  <c r="D596" i="26"/>
  <c r="H601" i="26"/>
  <c r="I601" i="26"/>
  <c r="C596" i="26"/>
  <c r="G586" i="26"/>
  <c r="D586" i="26" s="1"/>
  <c r="D583" i="26"/>
  <c r="C583" i="26"/>
  <c r="I584" i="26"/>
  <c r="C584" i="26" s="1"/>
  <c r="G575" i="26"/>
  <c r="D571" i="26"/>
  <c r="C571" i="26"/>
  <c r="C573" i="26"/>
  <c r="C592" i="26"/>
  <c r="D587" i="26"/>
  <c r="G589" i="26"/>
  <c r="H589" i="26"/>
  <c r="I572" i="26"/>
  <c r="C572" i="26" s="1"/>
  <c r="G528" i="26"/>
  <c r="G525" i="26" s="1"/>
  <c r="H528" i="26"/>
  <c r="I528" i="26"/>
  <c r="G591" i="26"/>
  <c r="H591" i="26"/>
  <c r="I591" i="26"/>
  <c r="G529" i="26"/>
  <c r="H529" i="26"/>
  <c r="I529" i="26"/>
  <c r="C574" i="26"/>
  <c r="D602" i="26"/>
  <c r="C602" i="26"/>
  <c r="I603" i="26"/>
  <c r="C603" i="26" s="1"/>
  <c r="G604" i="26"/>
  <c r="H604" i="26"/>
  <c r="H605" i="26" s="1"/>
  <c r="I604" i="26"/>
  <c r="G530" i="26"/>
  <c r="H530" i="26"/>
  <c r="G590" i="26"/>
  <c r="H590" i="26"/>
  <c r="I590" i="26"/>
  <c r="G532" i="26"/>
  <c r="H532" i="26"/>
  <c r="G533" i="26"/>
  <c r="H533" i="26"/>
  <c r="I533" i="26"/>
  <c r="G543" i="26"/>
  <c r="H543" i="26"/>
  <c r="G544" i="26"/>
  <c r="H544" i="26"/>
  <c r="G582" i="26"/>
  <c r="D576" i="26"/>
  <c r="H582" i="26"/>
  <c r="C576" i="26"/>
  <c r="I482" i="26"/>
  <c r="G558" i="26"/>
  <c r="G557" i="26" s="1"/>
  <c r="H558" i="26"/>
  <c r="H557" i="26" s="1"/>
  <c r="I558" i="26"/>
  <c r="I557" i="26" s="1"/>
  <c r="G581" i="26"/>
  <c r="H581" i="26"/>
  <c r="I581" i="26"/>
  <c r="F163" i="24"/>
  <c r="F383" i="24" s="1"/>
  <c r="F388" i="24" s="1"/>
  <c r="E9" i="11" s="1"/>
  <c r="F403" i="24"/>
  <c r="F336" i="24"/>
  <c r="F52" i="24"/>
  <c r="F367" i="24" s="1"/>
  <c r="F373" i="24" s="1"/>
  <c r="F405" i="24" s="1"/>
  <c r="F380" i="24"/>
  <c r="F396" i="24"/>
  <c r="D357" i="24"/>
  <c r="E357" i="24"/>
  <c r="F357" i="24"/>
  <c r="L111" i="27" l="1"/>
  <c r="M111" i="27" s="1"/>
  <c r="G111" i="27"/>
  <c r="D57" i="27"/>
  <c r="D13" i="27" s="1"/>
  <c r="D12" i="27" s="1"/>
  <c r="G57" i="27"/>
  <c r="I57" i="27" s="1"/>
  <c r="K57" i="27" s="1"/>
  <c r="E13" i="27"/>
  <c r="E12" i="27" s="1"/>
  <c r="G13" i="27"/>
  <c r="I14" i="27"/>
  <c r="K14" i="27" s="1"/>
  <c r="I525" i="26"/>
  <c r="F27" i="12"/>
  <c r="H525" i="26"/>
  <c r="E27" i="12"/>
  <c r="H593" i="26"/>
  <c r="H610" i="26" s="1"/>
  <c r="H611" i="26" s="1"/>
  <c r="H568" i="26"/>
  <c r="H569" i="26" s="1"/>
  <c r="G568" i="26"/>
  <c r="G569" i="26" s="1"/>
  <c r="D581" i="26"/>
  <c r="C581" i="26" s="1"/>
  <c r="I577" i="26"/>
  <c r="I475" i="26"/>
  <c r="D582" i="26"/>
  <c r="D590" i="26"/>
  <c r="C590" i="26" s="1"/>
  <c r="D604" i="26"/>
  <c r="C604" i="26" s="1"/>
  <c r="I605" i="26"/>
  <c r="G605" i="26"/>
  <c r="D605" i="26" s="1"/>
  <c r="D591" i="26"/>
  <c r="C591" i="26" s="1"/>
  <c r="D589" i="26"/>
  <c r="G593" i="26"/>
  <c r="D593" i="26" s="1"/>
  <c r="I575" i="26"/>
  <c r="G610" i="26"/>
  <c r="G611" i="26" s="1"/>
  <c r="D575" i="26"/>
  <c r="D608" i="26"/>
  <c r="I586" i="26"/>
  <c r="C586" i="26" s="1"/>
  <c r="D601" i="26"/>
  <c r="C601" i="26" s="1"/>
  <c r="C589" i="26"/>
  <c r="I522" i="26"/>
  <c r="I520" i="26" s="1"/>
  <c r="I262" i="26"/>
  <c r="I593" i="26"/>
  <c r="C593" i="26" s="1"/>
  <c r="C587" i="26"/>
  <c r="I512" i="26"/>
  <c r="F11" i="12" s="1"/>
  <c r="I197" i="26"/>
  <c r="I196" i="26" s="1"/>
  <c r="I516" i="26"/>
  <c r="I106" i="26"/>
  <c r="C608" i="26"/>
  <c r="I551" i="26"/>
  <c r="I9" i="26"/>
  <c r="I8" i="26" s="1"/>
  <c r="I536" i="26"/>
  <c r="F406" i="24"/>
  <c r="F359" i="24"/>
  <c r="E406" i="24"/>
  <c r="E359" i="24"/>
  <c r="D406" i="24"/>
  <c r="D359" i="24"/>
  <c r="M17" i="18"/>
  <c r="I13" i="27" l="1"/>
  <c r="K13" i="27" s="1"/>
  <c r="G110" i="27"/>
  <c r="I110" i="27" s="1"/>
  <c r="K110" i="27" s="1"/>
  <c r="I111" i="27"/>
  <c r="K111" i="27" s="1"/>
  <c r="L110" i="27" s="1"/>
  <c r="I509" i="26"/>
  <c r="I105" i="26"/>
  <c r="C575" i="26"/>
  <c r="C605" i="26"/>
  <c r="I545" i="26"/>
  <c r="I451" i="26"/>
  <c r="C577" i="26"/>
  <c r="I582" i="26"/>
  <c r="C582" i="26" s="1"/>
  <c r="L13" i="27" l="1"/>
  <c r="G12" i="27"/>
  <c r="I12" i="27" s="1"/>
  <c r="K12" i="27" s="1"/>
  <c r="I543" i="26"/>
  <c r="I436" i="26"/>
  <c r="I506" i="26" s="1"/>
  <c r="I610" i="26"/>
  <c r="I568" i="26"/>
  <c r="H17" i="18"/>
  <c r="I17" i="18"/>
  <c r="K17" i="18"/>
  <c r="J17" i="18"/>
  <c r="L17" i="18"/>
  <c r="O17" i="18"/>
  <c r="N17" i="18"/>
  <c r="H18" i="18"/>
  <c r="I18" i="18"/>
  <c r="J18" i="18"/>
  <c r="K18" i="18"/>
  <c r="L18" i="18"/>
  <c r="M18" i="18"/>
  <c r="N18" i="18"/>
  <c r="O18" i="18"/>
  <c r="P18" i="18"/>
  <c r="G18" i="18"/>
  <c r="I611" i="26" l="1"/>
  <c r="I569" i="26"/>
  <c r="I508" i="26"/>
  <c r="J507" i="26"/>
  <c r="L19" i="18"/>
  <c r="H14" i="18" l="1"/>
  <c r="I14" i="18"/>
  <c r="J14" i="18"/>
  <c r="K14" i="18"/>
  <c r="L14" i="18"/>
  <c r="M14" i="18"/>
  <c r="N14" i="18"/>
  <c r="O14" i="18"/>
  <c r="G14" i="18"/>
  <c r="F17" i="18"/>
  <c r="G10" i="23" l="1"/>
  <c r="C10" i="23"/>
  <c r="N10" i="23"/>
  <c r="K10" i="23" l="1"/>
  <c r="D7" i="23" l="1"/>
  <c r="E7" i="23" s="1"/>
  <c r="F7" i="23" s="1"/>
  <c r="G7" i="23" s="1"/>
  <c r="H7" i="23" s="1"/>
  <c r="I7" i="23" s="1"/>
  <c r="J7" i="23" s="1"/>
  <c r="K7" i="23" s="1"/>
  <c r="L7" i="23" s="1"/>
  <c r="M7" i="23" s="1"/>
  <c r="N7" i="23" s="1"/>
  <c r="F16" i="18" l="1"/>
  <c r="P15" i="18"/>
  <c r="P14" i="18" s="1"/>
  <c r="F14" i="18" l="1"/>
  <c r="F15" i="18"/>
  <c r="N11" i="23" l="1"/>
  <c r="N12" i="23"/>
  <c r="N13" i="23"/>
  <c r="N14" i="23"/>
  <c r="N15" i="23"/>
  <c r="N9" i="23"/>
  <c r="G15" i="23"/>
  <c r="G14" i="23"/>
  <c r="G13" i="23"/>
  <c r="G12" i="23"/>
  <c r="G11" i="23"/>
  <c r="G9" i="23"/>
  <c r="G8" i="23" s="1"/>
  <c r="J8" i="23"/>
  <c r="I8" i="23"/>
  <c r="H8" i="23"/>
  <c r="K15" i="23"/>
  <c r="C15" i="23"/>
  <c r="K14" i="23"/>
  <c r="C14" i="23"/>
  <c r="K13" i="23"/>
  <c r="C13" i="23"/>
  <c r="K12" i="23"/>
  <c r="C12" i="23"/>
  <c r="K11" i="23"/>
  <c r="C11" i="23"/>
  <c r="A11" i="23"/>
  <c r="A12" i="23" s="1"/>
  <c r="A13" i="23" s="1"/>
  <c r="K9" i="23"/>
  <c r="C9" i="23"/>
  <c r="N8" i="23"/>
  <c r="M8" i="23"/>
  <c r="L8" i="23"/>
  <c r="K8" i="23"/>
  <c r="F8" i="23"/>
  <c r="E8" i="23"/>
  <c r="D8" i="23"/>
  <c r="C8" i="23"/>
  <c r="F24" i="18" l="1"/>
  <c r="F23" i="18"/>
  <c r="F22" i="18"/>
  <c r="F21" i="18"/>
  <c r="F20" i="18"/>
  <c r="F19" i="18"/>
  <c r="F18" i="18"/>
  <c r="F13" i="18"/>
  <c r="F12" i="18"/>
  <c r="P11" i="18"/>
  <c r="O11" i="18"/>
  <c r="N11" i="18"/>
  <c r="M11" i="18"/>
  <c r="L11" i="18"/>
  <c r="K11" i="18"/>
  <c r="J11" i="18"/>
  <c r="I11" i="18"/>
  <c r="H11" i="18"/>
  <c r="G11" i="18"/>
  <c r="G10" i="18" s="1"/>
  <c r="F11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F9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P7" i="18"/>
  <c r="P25" i="18" s="1"/>
  <c r="O7" i="18"/>
  <c r="O25" i="18" s="1"/>
  <c r="N7" i="18"/>
  <c r="N25" i="18" s="1"/>
  <c r="M7" i="18"/>
  <c r="M25" i="18" s="1"/>
  <c r="L7" i="18"/>
  <c r="L25" i="18" s="1"/>
  <c r="K7" i="18"/>
  <c r="K25" i="18" s="1"/>
  <c r="J7" i="18"/>
  <c r="J25" i="18" s="1"/>
  <c r="I7" i="18"/>
  <c r="I25" i="18" s="1"/>
  <c r="H7" i="18"/>
  <c r="H25" i="18" s="1"/>
  <c r="G7" i="18"/>
  <c r="G25" i="18" s="1"/>
  <c r="F7" i="18"/>
  <c r="H6" i="18"/>
  <c r="I6" i="18" s="1"/>
  <c r="J6" i="18" s="1"/>
  <c r="K6" i="18" s="1"/>
  <c r="L6" i="18" s="1"/>
  <c r="M6" i="18" s="1"/>
  <c r="N6" i="18" s="1"/>
  <c r="O6" i="18" s="1"/>
  <c r="F10" i="18" l="1"/>
  <c r="F25" i="18" s="1"/>
  <c r="F59" i="12" l="1"/>
  <c r="E59" i="12"/>
  <c r="E45" i="12"/>
  <c r="E63" i="12"/>
  <c r="F17" i="12"/>
  <c r="E17" i="12"/>
  <c r="F61" i="12"/>
  <c r="E61" i="12"/>
  <c r="E50" i="12" l="1"/>
  <c r="E56" i="12"/>
  <c r="E19" i="12" l="1"/>
  <c r="E42" i="12"/>
  <c r="E8" i="12"/>
  <c r="E24" i="12" l="1"/>
  <c r="E35" i="12"/>
  <c r="E29" i="12"/>
  <c r="E67" i="12" s="1"/>
  <c r="E69" i="12" s="1"/>
  <c r="D13" i="11" l="1"/>
  <c r="D15" i="11" s="1"/>
  <c r="E13" i="11" l="1"/>
  <c r="E15" i="11" s="1"/>
  <c r="C13" i="11" l="1"/>
  <c r="C15" i="11" s="1"/>
  <c r="F42" i="12" l="1"/>
  <c r="F45" i="12"/>
  <c r="D17" i="12"/>
  <c r="D56" i="12" l="1"/>
  <c r="D61" i="12"/>
  <c r="D63" i="12"/>
  <c r="F24" i="12" l="1"/>
  <c r="F8" i="12"/>
  <c r="F63" i="12"/>
  <c r="F56" i="12"/>
  <c r="D45" i="12"/>
  <c r="F19" i="12" l="1"/>
  <c r="F50" i="12"/>
  <c r="D29" i="12" l="1"/>
  <c r="F29" i="12"/>
  <c r="D59" i="12"/>
  <c r="D24" i="12" l="1"/>
  <c r="F35" i="12"/>
  <c r="F67" i="12" s="1"/>
  <c r="F69" i="12" s="1"/>
  <c r="D35" i="12" l="1"/>
  <c r="D19" i="12" l="1"/>
  <c r="D42" i="12"/>
  <c r="D67" i="12" l="1"/>
  <c r="D69" i="12" s="1"/>
</calcChain>
</file>

<file path=xl/comments1.xml><?xml version="1.0" encoding="utf-8"?>
<comments xmlns="http://schemas.openxmlformats.org/spreadsheetml/2006/main">
  <authors>
    <author>Автор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<sst xmlns="http://schemas.openxmlformats.org/spreadsheetml/2006/main" count="4289" uniqueCount="977">
  <si>
    <t>9900000000</t>
  </si>
  <si>
    <t>0400000000</t>
  </si>
  <si>
    <t>0300000000</t>
  </si>
  <si>
    <t>0200000000</t>
  </si>
  <si>
    <t>0100000000</t>
  </si>
  <si>
    <t>500</t>
  </si>
  <si>
    <t>03</t>
  </si>
  <si>
    <t>14</t>
  </si>
  <si>
    <t>Межбюджетные трансферты</t>
  </si>
  <si>
    <t>Прочие межбюджетные трансферты общего характера</t>
  </si>
  <si>
    <t>0310100000</t>
  </si>
  <si>
    <t xml:space="preserve">Основное мероприятие Обеспечение сбалансированности и устойчивости местного бюджета муниципального образования "Онгудайский район" </t>
  </si>
  <si>
    <t>0310000000</t>
  </si>
  <si>
    <t xml:space="preserve"> Прочие межбюджетные трансферты общего характера. 
</t>
  </si>
  <si>
    <t>03101 45900</t>
  </si>
  <si>
    <t>01</t>
  </si>
  <si>
    <t>0310120000</t>
  </si>
  <si>
    <t>Дотации на выравнивание бюджетной обеспеченности из муниципального  фонда финансовой поддержки сельских поселений</t>
  </si>
  <si>
    <t xml:space="preserve">Дотации на выравнивание бюджетной обеспеченности субъектов РФ и муниципальных образований </t>
  </si>
  <si>
    <t>00</t>
  </si>
  <si>
    <t>Межбюджетные трансферты бюджетам субъектов РФ и муниципальных образований общего характера</t>
  </si>
  <si>
    <t>700</t>
  </si>
  <si>
    <t>Обслуживание государственного (муниципального) долга</t>
  </si>
  <si>
    <t>0310110000</t>
  </si>
  <si>
    <t>13</t>
  </si>
  <si>
    <t>Обслуживание внутреннего государственного и муниципального долга</t>
  </si>
  <si>
    <t>600</t>
  </si>
  <si>
    <t>02</t>
  </si>
  <si>
    <t>12</t>
  </si>
  <si>
    <t>Предоставление субсидий бюджетным, автономным учреждениям и иным некоммерческим организациям</t>
  </si>
  <si>
    <t xml:space="preserve">Основное мероприятие Обеспечение доступности информации для населения на территории МО  "Онгудайский район" </t>
  </si>
  <si>
    <t>0120000000</t>
  </si>
  <si>
    <t>Периодическая печать и издательства</t>
  </si>
  <si>
    <t>Средства массовой информации</t>
  </si>
  <si>
    <t>100</t>
  </si>
  <si>
    <t>02101Л0000</t>
  </si>
  <si>
    <t>05</t>
  </si>
  <si>
    <t>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</si>
  <si>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</si>
  <si>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0210110000</t>
  </si>
  <si>
    <t xml:space="preserve">Основное мероприятие Развитие культуры в муниципальном образовании "Онгудайский район" </t>
  </si>
  <si>
    <t>0210000000</t>
  </si>
  <si>
    <t>Другие вопросы в области физической культуры и спорта.</t>
  </si>
  <si>
    <t>300</t>
  </si>
  <si>
    <t>990000Ш500</t>
  </si>
  <si>
    <t>Социальное обеспечение и иные выплаты населению</t>
  </si>
  <si>
    <t>Резервный фонд местной администрации</t>
  </si>
  <si>
    <t>Закупка товаров, работ и услуг для обеспечения государственных (муниципальных) нужд</t>
  </si>
  <si>
    <t>Основное мероприятие Развитие физической культуры, спорта  и формирование здорового образа жизни в муниципальном образовании "Онгудайский район"</t>
  </si>
  <si>
    <t xml:space="preserve">Физическая культура </t>
  </si>
  <si>
    <t>Физическая культура и спорт</t>
  </si>
  <si>
    <t>200</t>
  </si>
  <si>
    <t>0220110000</t>
  </si>
  <si>
    <t>06</t>
  </si>
  <si>
    <t>10</t>
  </si>
  <si>
    <t>Основное мероприятие Социальная защита населения  в муниципальном образовании "Онгудайский район"</t>
  </si>
  <si>
    <t>0220143400</t>
  </si>
  <si>
    <t>0220000000</t>
  </si>
  <si>
    <t>Другие вопросы в области социальной политики</t>
  </si>
  <si>
    <t>04</t>
  </si>
  <si>
    <t>0230000000</t>
  </si>
  <si>
    <t>Охрана семьи и детства</t>
  </si>
  <si>
    <t>0220151350</t>
  </si>
  <si>
    <t>0110000000</t>
  </si>
  <si>
    <t>Социальное обеспечение населения</t>
  </si>
  <si>
    <t>Пенсионное обеспечение</t>
  </si>
  <si>
    <t>Социальная политика</t>
  </si>
  <si>
    <t>09</t>
  </si>
  <si>
    <t>Другие вопросы в области здравоохранения</t>
  </si>
  <si>
    <t>400</t>
  </si>
  <si>
    <t>Капитальные вложения в объекты государственной (муниципальной) собственности</t>
  </si>
  <si>
    <t>Стационарная медицинская помощь</t>
  </si>
  <si>
    <t>08</t>
  </si>
  <si>
    <t xml:space="preserve">Иные бюджетные ассигнования
</t>
  </si>
  <si>
    <t>Расходы на выплаты по оплате труда работников   Отдела культуры  МО "Онгудайский район"</t>
  </si>
  <si>
    <t>020А110000</t>
  </si>
  <si>
    <t>Другие вопросы в области культуры, кинематографии</t>
  </si>
  <si>
    <t>Культура</t>
  </si>
  <si>
    <t>Культура и кинематография</t>
  </si>
  <si>
    <t>07</t>
  </si>
  <si>
    <t>800</t>
  </si>
  <si>
    <t>Расходы на обеспечение функций    Отдела образования МО "Онгудайский район"</t>
  </si>
  <si>
    <t>Расходы на выплаты по оплате труда работников   Отдела образования МО "Онгудайский район"</t>
  </si>
  <si>
    <t>Другие вопросы в области образования</t>
  </si>
  <si>
    <t>Молодежная политика и оздоровление детей</t>
  </si>
  <si>
    <t xml:space="preserve">Основное мероприятие Развитие дополнительного образования </t>
  </si>
  <si>
    <t xml:space="preserve">Совершенствование организации питания в   организованных детских коллективах Онгудайского района
</t>
  </si>
  <si>
    <t xml:space="preserve">Основное мероприятие Устойчивое развитие сельских территорий  </t>
  </si>
  <si>
    <t>Общее образование</t>
  </si>
  <si>
    <t>Дошкольное образование</t>
  </si>
  <si>
    <t xml:space="preserve">Образование </t>
  </si>
  <si>
    <t>0420000000</t>
  </si>
  <si>
    <t>Благоустрой ство</t>
  </si>
  <si>
    <t>0420241900</t>
  </si>
  <si>
    <t>Основное мероприятие: Обеспечение населения муниципального образования "Онгудайским район" качественной питьевой водой</t>
  </si>
  <si>
    <t>0410000000</t>
  </si>
  <si>
    <t xml:space="preserve">Основное мероприятие Формирование эффективной системы управления и распоряжения муниципальным имуществом муниципального образования "Онгудайский район" </t>
  </si>
  <si>
    <t>0320000000</t>
  </si>
  <si>
    <t>Коммунальное хозяйство</t>
  </si>
  <si>
    <t>Жилищное хозяйство</t>
  </si>
  <si>
    <t>Жилищно-коммунальное хозяйство</t>
  </si>
  <si>
    <t>Основное мероприятие территориальное планирование  в муниципальном образовании "Онгудайский район"</t>
  </si>
  <si>
    <t>0130110000</t>
  </si>
  <si>
    <t>0130000000</t>
  </si>
  <si>
    <t>Другие вопросы в области  национальной экономики</t>
  </si>
  <si>
    <t>Дорожное хояйство (дорожные фонды)</t>
  </si>
  <si>
    <t>0110140300</t>
  </si>
  <si>
    <t>0110140100</t>
  </si>
  <si>
    <t>0110110000</t>
  </si>
  <si>
    <t>Основное мероприятие Развитие  агропромышленного комплекса территории  муниципального образования "Онгудайский район"</t>
  </si>
  <si>
    <t>Сельское хозяйство и рыболовство</t>
  </si>
  <si>
    <t>Национальная экономика</t>
  </si>
  <si>
    <t>0410142400</t>
  </si>
  <si>
    <t xml:space="preserve">Основное мероприятие"Профилактика правонарушений и обеспечение безопасности и правопорядка в муниципальном образовании "Онгудайский район" </t>
  </si>
  <si>
    <t>0410110000</t>
  </si>
  <si>
    <t>Основное мероприятиеКомплексные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</si>
  <si>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Другие вопросы в области национальной безопасности и правоохранительной деятельности</t>
  </si>
  <si>
    <t xml:space="preserve"> Основное мероприятие Повышение уровня готовности аварийно-спасательной  службы муниципального образования к реагированию  на возникновение ЧС природного и техногенного характера
</t>
  </si>
  <si>
    <t>040К110190</t>
  </si>
  <si>
    <t>040К100110</t>
  </si>
  <si>
    <t>040К100100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</si>
  <si>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</si>
  <si>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Национальная безопасность и правоохранительная деятельность</t>
  </si>
  <si>
    <t>Национальная оборона</t>
  </si>
  <si>
    <t xml:space="preserve"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</si>
  <si>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0210244900</t>
  </si>
  <si>
    <t>0120142900</t>
  </si>
  <si>
    <t xml:space="preserve">Субвенции на осуществление государственных полномочий по лицензированию розничной продажи алкогольной продукции 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</si>
  <si>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</si>
  <si>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</si>
  <si>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</si>
  <si>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990А000310</t>
  </si>
  <si>
    <t>Расходы на выплаты по оплате труда работников Контрольно-счетной палаты МО "Онгудайский район"</t>
  </si>
  <si>
    <t>990А000300</t>
  </si>
  <si>
    <t>Непрограммные направления деятельности Контрольно-счетной палаты МО "Онгудайский район"</t>
  </si>
  <si>
    <t xml:space="preserve">Основное мероприятие Повышение качества финансового менеджмента главных распорядителей бюджета муниципального образования "Онгудайский район" Республики Алтай </t>
  </si>
  <si>
    <t>030А192110</t>
  </si>
  <si>
    <t>Расходы на обеспечение функций    Управления по экономике и финансам МО "Онгудайский район"</t>
  </si>
  <si>
    <t>Расходы на выплаты по оплате труда работников  Управления по экономике и финансам МО "Онгудайский район"</t>
  </si>
  <si>
    <t>030А192000</t>
  </si>
  <si>
    <t>Обеспечение деятельности  финансовых, налоговых и таможенных  органов и органов финансового надзора</t>
  </si>
  <si>
    <t>010А100190</t>
  </si>
  <si>
    <t>Расходы на обеспечение функций    Администрации МО "Онгудайский район"</t>
  </si>
  <si>
    <t>010А100110</t>
  </si>
  <si>
    <t>Расходы на выплаты по оплате труда работников   Администрации МО "Онгудайский район"</t>
  </si>
  <si>
    <t>010А100000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</si>
  <si>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</si>
  <si>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990А000410</t>
  </si>
  <si>
    <t>Расходы на выплаты по оплате труда работниковСовета депутатов МО "Онгудайский район"</t>
  </si>
  <si>
    <t>990А000400</t>
  </si>
  <si>
    <t>Непрограммные направления деятельности Совета депутатов МО "Онгудайский район"</t>
  </si>
  <si>
    <t>990А000200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</si>
  <si>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</si>
  <si>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</si>
  <si>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990А000100</t>
  </si>
  <si>
    <t xml:space="preserve">Высшее должностное лицо муниципального образования 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</si>
  <si>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</si>
  <si>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</si>
  <si>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Целевая статья</t>
  </si>
  <si>
    <t>Подраздел</t>
  </si>
  <si>
    <t>Раздел</t>
  </si>
  <si>
    <t>(тыс.рублей)</t>
  </si>
  <si>
    <t>ВСЕГО РАСХОДОВ</t>
  </si>
  <si>
    <t>Прочие 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</si>
  <si>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РФ и муниципальных образований</t>
  </si>
  <si>
    <t>1400</t>
  </si>
  <si>
    <t xml:space="preserve">Межбюджетные трансферты бюджетам субъектов РФ и муниципальных образований </t>
  </si>
  <si>
    <t>1300</t>
  </si>
  <si>
    <t>Обслуживание государственного и муниципального долга</t>
  </si>
  <si>
    <t>1200</t>
  </si>
  <si>
    <t>Физическая культура</t>
  </si>
  <si>
    <t>1100</t>
  </si>
  <si>
    <t>Охрана семьи  и детства</t>
  </si>
  <si>
    <t>Социальное обеспечение население</t>
  </si>
  <si>
    <t>Социальное обслуживание населения</t>
  </si>
  <si>
    <t>1000</t>
  </si>
  <si>
    <t>Скорая медицинская помощь</t>
  </si>
  <si>
    <t>Амбулаторная помощь</t>
  </si>
  <si>
    <t>0900</t>
  </si>
  <si>
    <t xml:space="preserve">Здравоохранение </t>
  </si>
  <si>
    <t xml:space="preserve">Другие вопросы в области культуры, кинематографии </t>
  </si>
  <si>
    <t>0800</t>
  </si>
  <si>
    <t xml:space="preserve">Культура и кинематография </t>
  </si>
  <si>
    <t>Профессиональная подготовка, переподготовка и повышение квалификации</t>
  </si>
  <si>
    <t>0700</t>
  </si>
  <si>
    <t>Образование</t>
  </si>
  <si>
    <t>Охрана объектов  растительного и животного мира и среды их обитания</t>
  </si>
  <si>
    <t>0600</t>
  </si>
  <si>
    <t>Охрана окружающей среды</t>
  </si>
  <si>
    <t>Благоустройство</t>
  </si>
  <si>
    <t>0500</t>
  </si>
  <si>
    <t>Жилищно- коммунальное хозяйство</t>
  </si>
  <si>
    <t>Другие вопросы в области национальной экономики</t>
  </si>
  <si>
    <t>Дорожное хозяйство ( дорожные фонды)</t>
  </si>
  <si>
    <t>Общеэкономические вопросы</t>
  </si>
  <si>
    <t>0400</t>
  </si>
  <si>
    <t>Защита населения  и территории от  чрезвычайных ситуаций природного  и техногенного характера, гражданская оборона</t>
  </si>
  <si>
    <t>Органы внутренних дел</t>
  </si>
  <si>
    <t>0300</t>
  </si>
  <si>
    <t>Мобилизационная и вневойсковая подготовка</t>
  </si>
  <si>
    <t>0200</t>
  </si>
  <si>
    <t>Обеспечение деятельности финансовых,органов финансового (финансово-бюджетного) надзора</t>
  </si>
  <si>
    <t>Судебная система</t>
  </si>
  <si>
    <t>Функционирование местных администраций</t>
  </si>
  <si>
    <t>Функционирование представительных органов муниципальных образований</t>
  </si>
  <si>
    <t>Функционирование высшего должностного лица муниципального образования</t>
  </si>
  <si>
    <t>0100</t>
  </si>
  <si>
    <t>Раздел, подраздел</t>
  </si>
  <si>
    <t>Наименование показателя</t>
  </si>
  <si>
    <t>РАСПРЕДЕЛЕНИЕ</t>
  </si>
  <si>
    <t xml:space="preserve">Всего </t>
  </si>
  <si>
    <t>810</t>
  </si>
  <si>
    <t>Основное мероприятие Поддержка малого и среднего предпринимательства на территории МО "Онгудайский  район"</t>
  </si>
  <si>
    <t>092</t>
  </si>
  <si>
    <t>Ощегосударственные вопросы</t>
  </si>
  <si>
    <t>074</t>
  </si>
  <si>
    <t xml:space="preserve">Предоставление муниципальных  услуг в  муниципальных образовательных организациях   дошкольного образования в муниципальном образовании "Онгудайский район" </t>
  </si>
  <si>
    <t>Вид расхода</t>
  </si>
  <si>
    <t>Ведомства</t>
  </si>
  <si>
    <t xml:space="preserve">Коды бюджетной классификации </t>
  </si>
  <si>
    <t xml:space="preserve">Наименование </t>
  </si>
  <si>
    <t>Итого</t>
  </si>
  <si>
    <t>Наименование муниципальной  программы</t>
  </si>
  <si>
    <t>Код МП</t>
  </si>
  <si>
    <t>Условно-утверждаемые расходы</t>
  </si>
  <si>
    <t>99</t>
  </si>
  <si>
    <t>0310210000</t>
  </si>
  <si>
    <t>Расходы на выплаты по оплате труда работников   МКУ ГОЧС</t>
  </si>
  <si>
    <t>Расходы на обеспечение функций   МКУ ГО ЧС</t>
  </si>
  <si>
    <t>Основное мероприятие Отходы  в муниципальном образовании "Онгудайский район"</t>
  </si>
  <si>
    <t xml:space="preserve">Муниципальная программа "Развитие экономического потенциала и предпринимательства  МО  "Онгудайский район" </t>
  </si>
  <si>
    <t xml:space="preserve">Муниципальная программа" Социальное развитие муниципального образования  "Онгудайский район" </t>
  </si>
  <si>
    <t>Муниципальная программа "Развитие систем жизнеобеспечения и повышение безопасности населения муниципального образования "Онгудайский  район"</t>
  </si>
  <si>
    <t>Выплата ежемесячной надбавки к заработной плате педагогическим работникам, отнесенным к категории молодых специалистов</t>
  </si>
  <si>
    <t>040К100000</t>
  </si>
  <si>
    <t>Расходы на выплаты по оплате труда работников МКУ "Отдел капитального строительства муниципального образования "Онгудайский район"</t>
  </si>
  <si>
    <t>Расходы на обеспечение функций   МКУ "Отдел капитального строительства муниципального образования "Онгудайский район"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</si>
  <si>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</si>
  <si>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</si>
  <si>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Основное мероприятие Развитие библиотечного обслуживания в муниципальном образовании"Онгудайский район"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</si>
  <si>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</si>
  <si>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Основное мероприятие Повышение эффективности использования муниципального жилого фонда</t>
  </si>
  <si>
    <t>Дополнительное  образование детей</t>
  </si>
  <si>
    <t>0500000000</t>
  </si>
  <si>
    <t>Администpация муниципального обpазования "Онгудайский pайон"</t>
  </si>
  <si>
    <t>Управление по экономике и финансам администрации муниципального образования "Онгудайский район"</t>
  </si>
  <si>
    <t>Отдел культуры, спорта и туризма администрации района (аймака) муниципального образования "Онгудайский район"</t>
  </si>
  <si>
    <t>Отдел образования Администрации района (аймака) муниципального образования "Онгудайский район"</t>
  </si>
  <si>
    <t>030А192190</t>
  </si>
  <si>
    <t>Основное мероприятие Оказание дополнительных мер социальной поддержки отдельным категориям  граждан муниципального образования "Онгудайский район"</t>
  </si>
  <si>
    <t>Изменения +,-</t>
  </si>
  <si>
    <t>Изменения:+,-</t>
  </si>
  <si>
    <t>Основное мероприятие: Материально–техническое обеспечение  управления Отдела образования МО "Онгудайский район"</t>
  </si>
  <si>
    <t>Основное мероприятие: Материально–техническое обеспечение централизованного обслуживания  Отдела образования МО "Онгудайский район"</t>
  </si>
  <si>
    <t>Основное мерпориятие: Материально-техническое обеспечение Управления по экономике и финансам МО "Онгудайский район"</t>
  </si>
  <si>
    <t>030А192100</t>
  </si>
  <si>
    <t>0310200000</t>
  </si>
  <si>
    <t>Повышение качества финансового менеджмента главных распорядителей</t>
  </si>
  <si>
    <t>990000Ш000</t>
  </si>
  <si>
    <t>0310140000</t>
  </si>
  <si>
    <t>Основное мерпориятие: Материально-техническое обеспечение Администрации МО "Онгудайский район"</t>
  </si>
  <si>
    <t xml:space="preserve">Обеспечивающая подпрограмма "Повышение эффективности управления в Администрации МО "Онгудайский район"Муниципальная программа "Развитие экономического потенциала и предпринимательства муниципального образования "Онгудайский район" </t>
  </si>
  <si>
    <t>010А100100</t>
  </si>
  <si>
    <t xml:space="preserve">Подпрограмма "Развитие систем социальной поддержки населения "муниципальной программы" Социальное развитие муниципального образования  «Онгудайский район» </t>
  </si>
  <si>
    <t>0220100000</t>
  </si>
  <si>
    <t>Основное мероприятие  «Защита от жестокого обращения и профилактика насилия детей»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</si>
  <si>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</t>
  </si>
  <si>
    <t>0420100000</t>
  </si>
  <si>
    <t xml:space="preserve">Подпрограмма "Развитие конкурентоспособной экономики" муницпального образования "Онгудайский район" муниципальной программы "Развитие экономического потенциала и предпринимательства  МО  "Онгудайский район" </t>
  </si>
  <si>
    <t xml:space="preserve">Подпрограмма "Создание условий для развития инвестиционного, инновационного, информационного и имиджевого потенциала"муниципальной программы "Развитие экономического потенциала и предпринимательства  МО  "Онгудайский район" </t>
  </si>
  <si>
    <t>Основное мероприятие Внедрение стандарта деятельности органов местного самоуправления по обеспечению благоприятного инвестиционного климата в муниципальном образовании "Онгудайский район"</t>
  </si>
  <si>
    <t>0120100000</t>
  </si>
  <si>
    <t>0210200000</t>
  </si>
  <si>
    <t>Подпрограмма " Обеспечение безопасности населения 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</si>
  <si>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мероприятие: Комплексные меры по противодействию терроризму   и незаконному обороту  и потреблению  наркотических средств, психотропных веществ и их прекурсоров в муниципальном образовании "Онгудайский район</t>
  </si>
  <si>
    <t>0410100000</t>
  </si>
  <si>
    <t>Основное мероприятие:Материально – техническое обеспечение МКУ  "Отдел капитального строительства муниципального образования "Онгудайский район</t>
  </si>
  <si>
    <t>0410800000</t>
  </si>
  <si>
    <t xml:space="preserve">Проведение агротехнических мероприятий в рамках основного мепоприятия </t>
  </si>
  <si>
    <t>0410200000</t>
  </si>
  <si>
    <t>0410210000</t>
  </si>
  <si>
    <t>Информационно-пропагандистское сопровождение деятельности в сфере обеспечения общественной безопасности и профилактики правонарушений</t>
  </si>
  <si>
    <t>0110100000</t>
  </si>
  <si>
    <t xml:space="preserve"> Развитие малых форм хозяйствования и кооперации на селе </t>
  </si>
  <si>
    <t xml:space="preserve">Подпрограмма "Развитие малого и среднего предпринимательства" муниципальной программы  "Развитие экономического потенциала и предпринимательства  МО  "Онгудайский район" </t>
  </si>
  <si>
    <t>0130100000</t>
  </si>
  <si>
    <t>Проведение мероприятий в рамках основного мероприятия "Поддержка малого и среднего предпринимательства на территории МО "Онгудайский  район"</t>
  </si>
  <si>
    <t>0130200000</t>
  </si>
  <si>
    <t>0130220000</t>
  </si>
  <si>
    <t>Основное мероприятие : Формирование внешней  среды малого и среднего предпринимательства на территории МО "Онгудайский район"</t>
  </si>
  <si>
    <t>Оказание информационно-консультативной поддержки предпринимательства;</t>
  </si>
  <si>
    <t xml:space="preserve">Обеспечивающая подпрограмма  Материально – техническое обеспечение МКУ  "Отдел капитального строительства муниципального образования "Онгудайский район" муниципальной программы "Развитие систем жизнеобеспечения и повышение безопасности населения муниципального образования «Онгудайский  район" </t>
  </si>
  <si>
    <t xml:space="preserve"> Формирование эффективной системы управления и распоряжения муниципальным имуществом муниципального образования "Онгудайский район" </t>
  </si>
  <si>
    <t>Территориальное планирование  в муниципальном образовании "Онгудайский район"</t>
  </si>
  <si>
    <t>Повышение эффективности использования муниципального жилого фонда</t>
  </si>
  <si>
    <t>0110200000</t>
  </si>
  <si>
    <t>Программа производственного контроля за соблюдением  санитарных правил и выполнением санитарно-противоэпидемических и профилактических мероприятий</t>
  </si>
  <si>
    <t>0420110000</t>
  </si>
  <si>
    <t>Основное мероприятие "Организация теплоснабжения населения муниципального образования "Онгудайский район"</t>
  </si>
  <si>
    <t>0420200000</t>
  </si>
  <si>
    <t>0420600000</t>
  </si>
  <si>
    <t>0420610000</t>
  </si>
  <si>
    <t xml:space="preserve">Мероприятия по утилизации отходов в муниципальном образовании "Онгудайский район" </t>
  </si>
  <si>
    <t xml:space="preserve">Подпрограмма "Развитие систем социальной поддержки населения "муниципальной  программы " Социальное развитие муниципального образования  «Онгудайский район» </t>
  </si>
  <si>
    <t>0220200000</t>
  </si>
  <si>
    <t>Доплата к пенсии отдельным категориям  граждан муниципального образования "Онгудайский район"</t>
  </si>
  <si>
    <t>0220220000</t>
  </si>
  <si>
    <t>Основное мероприятие :Устойчивое развитие сельских территорий</t>
  </si>
  <si>
    <t>0210100000</t>
  </si>
  <si>
    <t>0220240000</t>
  </si>
  <si>
    <t>Оказание материальной поддержки, оказавшихся в трудной жизненной ситуации отдельным категориям  граждан муниципального образования "Онгудайский район"</t>
  </si>
  <si>
    <t>0120200000</t>
  </si>
  <si>
    <t xml:space="preserve">Обеспечение доступности информации для населения на территории МО  "Онгудайский район" </t>
  </si>
  <si>
    <t>0120210000</t>
  </si>
  <si>
    <t xml:space="preserve">Реализация молодежной политики муниципального образования "Онгудайский район" </t>
  </si>
  <si>
    <t xml:space="preserve"> Развитие культуры в муниципальном образовании "Онгудайский район" </t>
  </si>
  <si>
    <t>0210600000</t>
  </si>
  <si>
    <t>0210610000</t>
  </si>
  <si>
    <t>Развитие библиотечного обслуживания в муниципальном образовании"Онгудайский район"</t>
  </si>
  <si>
    <t xml:space="preserve">Обеспечивающая подпрограмма «Повышение эффективности муниципального  управления в Отделе культуры, спорта,молодежной политики и туризма администрации МО «Онгудайский район» муниципальной программы " Социальное развитие муниципального образования  «Онгудайский район» 
</t>
  </si>
  <si>
    <t>Основное мероприятие :Материально–техническое обеспечение Отдела культуры МО "Онгудайский район"</t>
  </si>
  <si>
    <t>Обеспечение деятельности  Отдела по методическому и, бухгалтерскому  и хозяйственному обслуживанию учреждений культуры муниципального образования "Онгудайский район"</t>
  </si>
  <si>
    <t>Провдение мероприятий в  рамках социальной защиты  населения  в муниципальном образовании "Онгудайский район"</t>
  </si>
  <si>
    <t>Популяризация  здорового образа жизни</t>
  </si>
  <si>
    <t>010А10000</t>
  </si>
  <si>
    <t>0510000000</t>
  </si>
  <si>
    <t>УУР</t>
  </si>
  <si>
    <t>Обеспечение  деятельности  МКУ "Централизованная бухгалтерия"</t>
  </si>
  <si>
    <t>Основное направление Архивное дело в рамках подпрограммы "Развитие культуры" муниципальной программы МО "Онгудайский район" "Социальное развитие"</t>
  </si>
  <si>
    <t>Непрограммная деятельность</t>
  </si>
  <si>
    <t>Обеспечивающая подпрограмма  Материально – техническое обеспечение МКУ ГОЧС муниципальной программы "Развитие систем жизнеобеспечения и повышение безопасности населения муниципального образования "Онгудайский  район"</t>
  </si>
  <si>
    <t>Основное мероприятие:Материально – техническое обеспечение МКУ ГОЧС</t>
  </si>
  <si>
    <t xml:space="preserve">Основное мероприятие: Материально–техническое обеспечение  МКУ "Централизованная бухгалтерия" 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</si>
  <si>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</si>
  <si>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 государственных полномочий Республики Алтай, связанных с организацией и обеспечением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</si>
  <si>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</si>
  <si>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</si>
  <si>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</si>
  <si>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</si>
  <si>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</si>
  <si>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Субвенции на осуществление государственных полномочий Республики Алтай в сфере обращения с безнадзорными собаками и кошками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</si>
  <si>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</si>
  <si>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</t>
  </si>
  <si>
    <t>Расходы на выплаты по оплате труда работников МКУ Централизованная бухгалтерия за счет  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</si>
  <si>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бюджетам поселений</t>
  </si>
  <si>
    <t>990000П000</t>
  </si>
  <si>
    <t>Финансовый резерв на обеспечение расходных обязательств муниципального образования "Онгудайский район"в части повышения фонда оплаты труда</t>
  </si>
  <si>
    <t>Уточненный план 2019г</t>
  </si>
  <si>
    <t>Меры по противодействию коррупции в границах муниципального района</t>
  </si>
  <si>
    <t>Субсидии на осуществление энергосберегающих технических мероприятий на системах теплоснабжения и водоотведения и модернизацииоборудования на объектах, участвующих в предоставл.коммун.услуг</t>
  </si>
  <si>
    <t>Коды бюджетной классификации</t>
  </si>
  <si>
    <t>(тыс. рублей)</t>
  </si>
  <si>
    <t>Всего</t>
  </si>
  <si>
    <t>Подпрограмма  "Развитие дошкольного и общего образования" муниципальной программы" «Развитие образования в муниципальном образовании «Онгудайский район»</t>
  </si>
  <si>
    <t>Основное мероприятие Развитие системы содержания и обучения детей в общеобразовательных организациях образования в муниципальном образовании "Онгудайский район"</t>
  </si>
  <si>
    <t>Выплата заработной платы прочему персоналу общеобразовательных организаций  образования в муниципальном образовании "Онгудайский район"</t>
  </si>
  <si>
    <t>Субсидии на софинансирование мероприятий, направленных на обеспечение горячим питанием учащихся муниципальных общеобразовательных организаций в Республике Алтай из малообеспеченных семей</t>
  </si>
  <si>
    <t>Основное мероприятие Субсидии на софинансирование расходных обязательств, возникающих при реализации мероприятий, направленных на развитие образования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</si>
  <si>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</si>
  <si>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 "Развитие системы дополнительного образования детей"  муниципальной программы" «Развитие образования в муниципальном образовании «Онгудайский район»</t>
  </si>
  <si>
    <t xml:space="preserve">Развитие дополнительного образования детей в сфере физической культуры и спорта </t>
  </si>
  <si>
    <t xml:space="preserve">Развитие дополнительного образования детей в  центрах детского творчества </t>
  </si>
  <si>
    <t>Основное мероприятие «Организация отдыха, оздоровленияи занятости детей»</t>
  </si>
  <si>
    <t>Обеспечивающая подпрограмма Повышение эффективности  муниципального управления 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</si>
  <si>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Централизованное обслуживание Отдела образования Администрации района (аймака) МО «Онгудайский  район»  муниципальной программы" «Развитие образования в муниципальном образовании «Онгудайский район»</t>
  </si>
  <si>
    <t>Обеспечивающая подпрограмма МКУ "Централизованная бухгалтерия" Отдела образования Администрации района (аймака) муниципального образования "Онгудайский район"  муниципальной программы" «Развитие образования в муниципальном образовании «Онгудайский район»</t>
  </si>
  <si>
    <t xml:space="preserve">Расходы на выплаты по оплате труда работников МКУ  "Централизованная бухгалтерия"  </t>
  </si>
  <si>
    <t xml:space="preserve">Обеспечивающая подпрограмма «Создание условий реализации муниципальной программы муниципального образования «Управление муниципальными финансами в муниципальном образовании «Онгудайский район» </t>
  </si>
  <si>
    <t>030А100000</t>
  </si>
  <si>
    <t>Подпрограмма "Повышение эффективности бюджетных расходов в муниципальном образовании «Онгудайский район»</t>
  </si>
  <si>
    <t>Подпрограмма "Повышение эффективности бюджетных расходов в муниципальном образовании «Онгудайский район» муниципальной программы «Управление муниципальными финансами в муниципальном образовании  «Онгудайский район»</t>
  </si>
  <si>
    <t xml:space="preserve">Обслуживание государственного (муниципального) долга </t>
  </si>
  <si>
    <t>Подпрограмма  "Повышение безопасности населения" муниципальной программы«Развитие систем жизнеобеспечения и повышение безопасности населения в муниципальном образовании «Онгудайский район»</t>
  </si>
  <si>
    <t>0410300000</t>
  </si>
  <si>
    <t>0410345500</t>
  </si>
  <si>
    <t xml:space="preserve">Подпрограмма "Развитие культуры" муниципальной программы " Социальное развитие муниципального образования  «Онгудайский район»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</si>
  <si>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</si>
  <si>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Основное мероприятие Обеспечение сбалансированности и устойчивости местного бюджета муниципального образования "Онгудайский район"</t>
  </si>
  <si>
    <t>0310145300</t>
  </si>
  <si>
    <t>0310145400</t>
  </si>
  <si>
    <t>Подпрограмма «Противодействие  коррупции»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</si>
  <si>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Основное мероприятие Осуществление мер по противодействию коррупции в границах муниципального района</t>
  </si>
  <si>
    <t>04101S2400</t>
  </si>
  <si>
    <t xml:space="preserve">Повышение уровня готовности аварийно-спасательной службы муниципального образования к реагированию на возникновение ЧС природного и техногенного характера
</t>
  </si>
  <si>
    <t>0410810000</t>
  </si>
  <si>
    <t>Подпрограмма "Развитие транспортной инфраструктуры"муниципальной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</si>
  <si>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0430000000</t>
  </si>
  <si>
    <t>0430100000</t>
  </si>
  <si>
    <t>04301200Д0</t>
  </si>
  <si>
    <t xml:space="preserve">Подпрограмма  " Управление муниципальной собственностью"муниципальной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</si>
  <si>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061000000</t>
  </si>
  <si>
    <t>0610100000</t>
  </si>
  <si>
    <t>0610110000</t>
  </si>
  <si>
    <t xml:space="preserve">Подпрограмма  " Градостроительная политика"муниципальной программы  «Управление муниципальной собственностью и градостроительной деятельностью в муниципальном образовании «Онгудайский район» </t>
  </si>
  <si>
    <t>0620000000</t>
  </si>
  <si>
    <t>0620100000</t>
  </si>
  <si>
    <t>0620110000</t>
  </si>
  <si>
    <t>коррупция</t>
  </si>
  <si>
    <t>0610000000</t>
  </si>
  <si>
    <t>0600000000</t>
  </si>
  <si>
    <t>Подпрограмма  " Развитие жилищно-коммунального комплекса"муниципальной программы «Развитие систем жизнеобеспечения и повышение безопасности населения в муниципальном образовании «Онгудайский район»</t>
  </si>
  <si>
    <t>Реализация мероприятий по устойчивому развитию сельских территорий (капитальные вложения в объекты муиципальной собственности)</t>
  </si>
  <si>
    <t>Подпрограмма " Развитие жилищно-коммунального комплекса" муниципальной программы "Развитие систем жизнеобеспечения и повышение безопасности населения муниципального образования «Онгудайский  район"</t>
  </si>
  <si>
    <t>0420400000</t>
  </si>
  <si>
    <t>Реконструкция систем водоснабжения Онгудайского района Республики Алтай</t>
  </si>
  <si>
    <t>Подготовка к отопительному периоду объектов теплоснабжения</t>
  </si>
  <si>
    <t>0420210000</t>
  </si>
  <si>
    <t>0420410000</t>
  </si>
  <si>
    <t>0420420000</t>
  </si>
  <si>
    <t>Основное мероприятие Реализация мероприятий, направленных на развитие образования</t>
  </si>
  <si>
    <t>Реализация мероприятий по устойчивому развитию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</si>
  <si>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 xml:space="preserve">Подпрограмма "Создание условий для развития инвестиционногои информационного потенциала" муниципальной программы "Развитие экономического потенциала и предпринимательства  МО  "Онгудайский район" </t>
  </si>
  <si>
    <t>Развитие дополнительного образования детей в области искусства</t>
  </si>
  <si>
    <t xml:space="preserve">Подпрограмма "Развитие спорта и молодежной политики" муниципальной программы " Социальное развитие муниципального образования  «Онгудайский район» </t>
  </si>
  <si>
    <t xml:space="preserve">Основное мероприятие Реализация молодежной политики </t>
  </si>
  <si>
    <t>0440000000</t>
  </si>
  <si>
    <t>Муниципальная программа «Развитие образования в муниципальном образовании «Онгудайский район»</t>
  </si>
  <si>
    <t xml:space="preserve">Муниципальная программа «Управление муниципальной собственностью и градостроительной деятельностью в муниципальном образовании «Онгудайский район» </t>
  </si>
  <si>
    <t>040К2</t>
  </si>
  <si>
    <t>040К1</t>
  </si>
  <si>
    <t>0710100000</t>
  </si>
  <si>
    <t>0710000000</t>
  </si>
  <si>
    <t>0710110000</t>
  </si>
  <si>
    <t>0710110001</t>
  </si>
  <si>
    <t>0710120000</t>
  </si>
  <si>
    <t>07101S4400</t>
  </si>
  <si>
    <t>0710144300</t>
  </si>
  <si>
    <t>07101S4500</t>
  </si>
  <si>
    <t>0710200000</t>
  </si>
  <si>
    <t>0710210000</t>
  </si>
  <si>
    <t>0720000000</t>
  </si>
  <si>
    <t>0720100000</t>
  </si>
  <si>
    <t>0720110000</t>
  </si>
  <si>
    <t>0720200000</t>
  </si>
  <si>
    <t>0720247698</t>
  </si>
  <si>
    <t>070А100000</t>
  </si>
  <si>
    <t>070А174100</t>
  </si>
  <si>
    <t>070А174110</t>
  </si>
  <si>
    <t>070Ц100000</t>
  </si>
  <si>
    <t>070Ц174100</t>
  </si>
  <si>
    <t>070Ц174110</t>
  </si>
  <si>
    <t>070Ц174190</t>
  </si>
  <si>
    <t>070Ц200000</t>
  </si>
  <si>
    <t>070Ц274100</t>
  </si>
  <si>
    <t>070Ц274110</t>
  </si>
  <si>
    <t>070Ц274190</t>
  </si>
  <si>
    <t>070Ц244300</t>
  </si>
  <si>
    <t>0710143895</t>
  </si>
  <si>
    <t>0720130000</t>
  </si>
  <si>
    <t>070А174000</t>
  </si>
  <si>
    <t>070Ц174000</t>
  </si>
  <si>
    <t>070Ц274000</t>
  </si>
  <si>
    <t>0700000000</t>
  </si>
  <si>
    <t>0240000000</t>
  </si>
  <si>
    <t>0240100000</t>
  </si>
  <si>
    <t>0240110000</t>
  </si>
  <si>
    <t>0240200000</t>
  </si>
  <si>
    <t>0240210000</t>
  </si>
  <si>
    <t>0220151760</t>
  </si>
  <si>
    <t xml:space="preserve">Субвенции на осуществление полномочий по обеспечению жильем отдельных категорий граждан, установленных федеральными законами от 24 ноября 1995 года № 181-ФЗ «О социальной защите инвалидов в Российской Федерации» </t>
  </si>
  <si>
    <t xml:space="preserve">Основное мероприятие Обеспечение доступности объектами культуры и спорта </t>
  </si>
  <si>
    <t>0210300000</t>
  </si>
  <si>
    <t>Показатели</t>
  </si>
  <si>
    <t>Индексы</t>
  </si>
  <si>
    <t xml:space="preserve">  Наименования сельских поселений муниципального образования "Онгудайский район"</t>
  </si>
  <si>
    <t>Елинское</t>
  </si>
  <si>
    <t>Теньгинское</t>
  </si>
  <si>
    <t>Куладинское</t>
  </si>
  <si>
    <t>Каракольское</t>
  </si>
  <si>
    <t>Нижне-Талдинское</t>
  </si>
  <si>
    <t>Шашикманское</t>
  </si>
  <si>
    <t>Хабаровское</t>
  </si>
  <si>
    <t>Купчегеньское</t>
  </si>
  <si>
    <t>Ининское</t>
  </si>
  <si>
    <t>Онгудайское</t>
  </si>
  <si>
    <t>А</t>
  </si>
  <si>
    <t>Б</t>
  </si>
  <si>
    <t>1</t>
  </si>
  <si>
    <t>Всего субвенций местным бюджетам</t>
  </si>
  <si>
    <t>1.1.</t>
  </si>
  <si>
    <t>Государственные полномочия Российской Федерации</t>
  </si>
  <si>
    <t>1.1.2.</t>
  </si>
  <si>
    <t>Осуществление первичного воинского учета на территориях, где отсутствуют военные комиссариаты</t>
  </si>
  <si>
    <t>2.</t>
  </si>
  <si>
    <t>2.1.</t>
  </si>
  <si>
    <t>Дотация на выравнивание уровня бюджетной обеспеченности</t>
  </si>
  <si>
    <t>2.1.1</t>
  </si>
  <si>
    <t>Дотация на выравнивание уровня бюджетной обеспеченности  из районного фонда  финансовой поддержки  поселений</t>
  </si>
  <si>
    <t>2.1.2.</t>
  </si>
  <si>
    <t>Дотация на выравнивание бюджетной обеспеченности бюджетам поселений за счет средств республиканского бюджета Республики Алтай</t>
  </si>
  <si>
    <t>2.2.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</si>
  <si>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</si>
  <si>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2.3.</t>
  </si>
  <si>
    <t>Межбюджетные трансферты, передаваемые бюджетам сельских поселений на осуществление части полномочий по решению вопросов местного значения в соответствии с заключенными  соглашениями о передаче полномочий</t>
  </si>
  <si>
    <t>2.3.1.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</si>
  <si>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</t>
  </si>
  <si>
    <t>2.3.2.</t>
  </si>
  <si>
    <t>2.3.3.</t>
  </si>
  <si>
    <t>2.3.4.</t>
  </si>
  <si>
    <t>Создание условий для организации досуга и обеспечения жителей  поселения услугами организаций культуры</t>
  </si>
  <si>
    <t>2.4.</t>
  </si>
  <si>
    <t xml:space="preserve">Иные межбюджетные трансферты на стимулироваие  </t>
  </si>
  <si>
    <t xml:space="preserve">ВСЕГО  </t>
  </si>
  <si>
    <t>Распределение межбюджетных трансфертов бюджетам сельских поселений муниципального образования "Онгудайский район" на 2019 год</t>
  </si>
  <si>
    <t>0310151200</t>
  </si>
  <si>
    <t>Обеспечивающая подпрограмма Обеспечение деятельности Управления по экономике и финансам  администрации МО "Онгудайский район"муниципальной программы "Управление муниципальными финансами  муниципального образования «Онгудайский район»</t>
  </si>
  <si>
    <t>0440100000</t>
  </si>
  <si>
    <t>0440110000</t>
  </si>
  <si>
    <t>04202S1300</t>
  </si>
  <si>
    <t>0720120000</t>
  </si>
  <si>
    <t>020А210100</t>
  </si>
  <si>
    <t>020А210110</t>
  </si>
  <si>
    <t>изменения +,-</t>
  </si>
  <si>
    <t>№ п/п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</si>
  <si>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</si>
  <si>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</si>
  <si>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</si>
  <si>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</si>
  <si>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Работы по обеспечению имущества и земельных участков, занятых автомобильными дорогами общего пользования местного значения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</si>
  <si>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</si>
  <si>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Формирование резерва муниципального дорожного фонда для финансирования мероприятий по ликвидации последствий обстоятельств непреодолимой силы на автомобильных дорогах местного значения </t>
  </si>
  <si>
    <t xml:space="preserve">Сумма на 2019год </t>
  </si>
  <si>
    <t>03 старая программа с имущ</t>
  </si>
  <si>
    <t>0300000000 нов пр</t>
  </si>
  <si>
    <t>Муниципальная программа "Управление муниципальными финансами   муниципального образования "Онгудайский район"</t>
  </si>
  <si>
    <t>07201S8500</t>
  </si>
  <si>
    <t>02101S8500</t>
  </si>
  <si>
    <t>Субсидии  на оплату труда работникам бюджетной сферы</t>
  </si>
  <si>
    <t>Cубсидии на обеспечение развития и укрепления материально-технической базы домов культуры в населенных пунктах с числом жителей до 50 тыс.чел.</t>
  </si>
  <si>
    <t>02101L4670</t>
  </si>
  <si>
    <t>Cубсидии на поддержку культуры</t>
  </si>
  <si>
    <t>Поддержка творческой деятельности и техническое оснащение детских и кукольных театров (субсидии)</t>
  </si>
  <si>
    <t>02101L5172</t>
  </si>
  <si>
    <t>07101S8500</t>
  </si>
  <si>
    <t>071021L0972</t>
  </si>
  <si>
    <t>070Ц2S8500</t>
  </si>
  <si>
    <t>070А1S8500</t>
  </si>
  <si>
    <t>070Ц1S8500</t>
  </si>
  <si>
    <t>040К1S8500</t>
  </si>
  <si>
    <t>010А1S8500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</si>
  <si>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</t>
  </si>
  <si>
    <t>07102L5191</t>
  </si>
  <si>
    <t>01102L5672</t>
  </si>
  <si>
    <t>Реализация мероприятий по обеспечению жильем молодых семей (субсидии)</t>
  </si>
  <si>
    <t>02401L4970</t>
  </si>
  <si>
    <t>Комплексные мероприятия, направленные на создание и модернизацию учреждений культурно-досугового типа в сельской местности</t>
  </si>
  <si>
    <t>02103L5191</t>
  </si>
  <si>
    <t>04206S8900</t>
  </si>
  <si>
    <t>Мероприятия по созданию и оборудованию мест (площадок) накопления (в том числе раздельного накопления) твердых коммунальных отходов</t>
  </si>
  <si>
    <t>01102L567П</t>
  </si>
  <si>
    <t>0430130000</t>
  </si>
  <si>
    <t>"Дорожный фонд муниципального образования "Онгудайский район"</t>
  </si>
  <si>
    <t>Основное мероприятие Развитие транспортной инфраструктуры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</si>
  <si>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</si>
  <si>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04102S2330</t>
  </si>
  <si>
    <t>Обеспечение пожарной безопасности</t>
  </si>
  <si>
    <t>Субсидии на софинансирование расходных обязательств, связанных с участием муниципальных образований в развитии и укреплении материально-технической базы Корпуса сил добровольной пожарно-спасательной службы</t>
  </si>
  <si>
    <t>04108S2340</t>
  </si>
  <si>
    <t>03101S8500</t>
  </si>
  <si>
    <t>030А1S8500</t>
  </si>
  <si>
    <t>0420000000 стар ред</t>
  </si>
  <si>
    <t>0420000000 нов ред</t>
  </si>
  <si>
    <t>0210000000стар</t>
  </si>
  <si>
    <t xml:space="preserve">0210000000 нов </t>
  </si>
  <si>
    <t>0220000000 изм нет</t>
  </si>
  <si>
    <t>Распределение бюджетных ассигнований Дорожного фонда муниципального образования "Онгудайский район"  на 2019 год</t>
  </si>
  <si>
    <t xml:space="preserve"> Иные межбюджетные  трансферты на оплату  труда с начислениями  на неё работников бюджетной сферы (не ниже МРОТ)</t>
  </si>
  <si>
    <t xml:space="preserve"> Иные межбюджетные  трансферты на оплату труда с начислениями  на неё работников бюджетной сферы (работники учреждений культуры на  исполнение УказовПрезидента РФ не ниже уровня 2018г)</t>
  </si>
  <si>
    <t>Приложение 10</t>
  </si>
  <si>
    <t xml:space="preserve"> Распределение бюджетных ассигнований на реализацию муниципальных программ  и непрограммных расходов  муниципального образования"Онгудайский район" на 2019 год</t>
  </si>
  <si>
    <t>Приложение 14</t>
  </si>
  <si>
    <t xml:space="preserve"> Приложение 12</t>
  </si>
  <si>
    <t>бюджетных ассигнований по разделам, подразделам   классификации расходов  бюджета муниципального образования  "Онгудайский район" на   2019год</t>
  </si>
  <si>
    <t>Приложение 16</t>
  </si>
  <si>
    <t>2.2.1.</t>
  </si>
  <si>
    <t>2.2.2.</t>
  </si>
  <si>
    <t>Проектирование, строительство (реконструкция) и капитальный ремонт автомобильных дорог общего пользования местного значения и искусственных сооружений на них</t>
  </si>
  <si>
    <t>Осуществление иных мероприятий, направленных на улучшение технических характеристик автомобильных дорог местного значения и искусственных сооружений на них</t>
  </si>
  <si>
    <t>Проведение работ в рамках  основного мероприятия "Развитие транспортной инфраструктуры"</t>
  </si>
  <si>
    <t>Капитальные вложения  на реконструкцию и строительство образовательных учреждений  расположенных  в сельской местности</t>
  </si>
  <si>
    <t>Распределение бюжетных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муниципального образования "Онгудайский район" на  2019год</t>
  </si>
  <si>
    <t>02106L5192</t>
  </si>
  <si>
    <t>060К200000</t>
  </si>
  <si>
    <t>060К200100</t>
  </si>
  <si>
    <t>060К200110</t>
  </si>
  <si>
    <t>060К200190</t>
  </si>
  <si>
    <t>060К2S8500</t>
  </si>
  <si>
    <t>Мероприятия по обустройству контейнерных площадок</t>
  </si>
  <si>
    <t>0420620000</t>
  </si>
  <si>
    <t>06К2</t>
  </si>
  <si>
    <t xml:space="preserve">Содержание и ремонт автомобильных дорог общего пользования местного значения и искусственных сооружений на них, в том числе </t>
  </si>
  <si>
    <t>предоставление межбюдженых трансфертов бюджетам сельских поселений по заключенным соглашениям о передаче полномочий</t>
  </si>
  <si>
    <t>2.2.3.</t>
  </si>
  <si>
    <t>Иные межбюджетные трансферты на решение  вопросов местного значения</t>
  </si>
  <si>
    <t xml:space="preserve">Уточненный план </t>
  </si>
  <si>
    <t xml:space="preserve">Утвержденный план </t>
  </si>
  <si>
    <t xml:space="preserve">Уточненныей план </t>
  </si>
  <si>
    <t>Утвержденный  план</t>
  </si>
  <si>
    <t>Капитальные вложения в объекты муниципальной собственности в части создания в Республике Алтай новых мест в общеобразовательных организациях</t>
  </si>
  <si>
    <t>07102S48П0</t>
  </si>
  <si>
    <t>071E250972</t>
  </si>
  <si>
    <t xml:space="preserve">Внесение взноса в уставный капитал </t>
  </si>
  <si>
    <t>0610110001</t>
  </si>
  <si>
    <t>071P25232П</t>
  </si>
  <si>
    <t>02106L5193</t>
  </si>
  <si>
    <t>02106L5194</t>
  </si>
  <si>
    <t>021А155192</t>
  </si>
  <si>
    <t>Создание передвижных многофункциональных культурных центров</t>
  </si>
  <si>
    <t>020А2S8500</t>
  </si>
  <si>
    <t>020А200000</t>
  </si>
  <si>
    <t>Обеспечивающая подпрогрмма "Обеспечение деятельности Отдела культуры, спорта и молодежной политики администрации района (аймака) и подведомственных ему учреждений"</t>
  </si>
  <si>
    <t>020К100000</t>
  </si>
  <si>
    <t>020К110110</t>
  </si>
  <si>
    <t>Основное мероприятие: Материально-техническое обеспечениеМКУ Отдела культуры МО "Онгудайский район"</t>
  </si>
  <si>
    <t>020К110100</t>
  </si>
  <si>
    <t>Расходы на обеспечение функций КУ Отдела культуры</t>
  </si>
  <si>
    <t>020К110190</t>
  </si>
  <si>
    <t>Расходы на выплаты по оплате труда  КУ Отдела культуры</t>
  </si>
  <si>
    <t>020К1S8500</t>
  </si>
  <si>
    <t>020К1100000 мку</t>
  </si>
  <si>
    <t>Организация  деятельности по сбору ( втом числе раздельному сбору) транспортированию, обработке, утилизации, обезвреживанию, захоронению твердых коммунальных отходов  в части организации буртования твердых коммунальных отходов на полигоне</t>
  </si>
  <si>
    <t>021A155191</t>
  </si>
  <si>
    <t>071P200000</t>
  </si>
  <si>
    <t>Основное мероприятие «Реализация регионального проекта «Содействие занятости женщин-создание условий дошкольного образования для детей в возрасте до трех лет»</t>
  </si>
  <si>
    <t>Создание условий дошкольного образования для детей в возрасте до трех лет»</t>
  </si>
  <si>
    <t>071P210000</t>
  </si>
  <si>
    <t>Основное мероприятие «Реализация регионального проекта «Культурная среда»</t>
  </si>
  <si>
    <t>021A100000</t>
  </si>
  <si>
    <t>Комплектование  книжных фондов мун.общедоступных библиотек</t>
  </si>
  <si>
    <t>Подключение мун.общедоступных библиотек к информационно-телекоммнуникационной сети "Интернет"</t>
  </si>
  <si>
    <t>Основное мероприятие «Реализация регионального проекта «Успех каждого ребенка»</t>
  </si>
  <si>
    <t>071E200000</t>
  </si>
  <si>
    <t>020К100000 мку культ</t>
  </si>
  <si>
    <t>0610110002</t>
  </si>
  <si>
    <t>Возмещение части затрат, связанных с регистрацией и началом деятельности муниципальных унитарных предприятий</t>
  </si>
  <si>
    <t>Ведомственная структура  расходов бюджета муниципального образования "Онгудайский район"                                                на   2019 год</t>
  </si>
  <si>
    <t>Финансирование расходных обязательств, возникающих при реализации мероприятий, направленных на развитие общего образования</t>
  </si>
  <si>
    <t>07101S4100</t>
  </si>
  <si>
    <t>07201S7800</t>
  </si>
  <si>
    <t>Основное мероприятие Обеспечение персонифицированного финансирования дополнительного образования детей</t>
  </si>
  <si>
    <t>0720300000</t>
  </si>
  <si>
    <t xml:space="preserve">Персонифицированное финансирование дополнительного образования детей  в   в сфере физической культуры и спорта </t>
  </si>
  <si>
    <t>0720310000</t>
  </si>
  <si>
    <t>Персонифицированное финансирование дополнительного образования детей  в центрах детского творчества</t>
  </si>
  <si>
    <t>0720320000</t>
  </si>
  <si>
    <t>Персонифицированное финансирование дополнительного образования детей  в   области искусства</t>
  </si>
  <si>
    <t>0720330000</t>
  </si>
  <si>
    <t>Подготовка и проведение выборов депутатов в представительный орган местного самоуправления</t>
  </si>
  <si>
    <t>9900000500</t>
  </si>
  <si>
    <t>Прочие межбюджетные трансферты по заключенным соглашениям о передаче полномочий по водоснабжению  в части разработки  проекта зоны санитарной охраны на скважину,организации водоснабжения</t>
  </si>
  <si>
    <t>Субсидии на мероприятия, направленные на оплату труда педагогических работников дополнительного образования детей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</si>
  <si>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</si>
  <si>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092  2  19  60010  05  0000  150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</si>
  <si>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</si>
  <si>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000  2  18  60010  05  0000  150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</si>
  <si>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</si>
  <si>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000  2  18  05020  05  0000  150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</si>
  <si>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</si>
  <si>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000  2  18  05010  05  0000  150</t>
  </si>
  <si>
    <t>Доходы бюджетов муниципальных районов от возврата организациями остатков субсидий прошлых лет</t>
  </si>
  <si>
    <t>000  2  18  05000  05  0000  150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</si>
  <si>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</si>
  <si>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000  2  02  40014  05  0000  150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</si>
  <si>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</si>
  <si>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000  2  02  40014  00  0000  150</t>
  </si>
  <si>
    <t>Иные межбюджетные трансферты</t>
  </si>
  <si>
    <t>000  2  02  40000  00  0000  150</t>
  </si>
  <si>
    <t>Субвенции бюджетам муниципальных районов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</si>
  <si>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092  2  02  35176  05  0000  150</t>
  </si>
  <si>
    <t>Субвенции бюджетам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</si>
  <si>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092 2  02  35176  00  0000  150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</si>
  <si>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</si>
  <si>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092  2  02  35135  05  0000  150</t>
  </si>
  <si>
    <t>092 2  02  35135  00  0000  150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</si>
  <si>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</si>
  <si>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092  2  02  35118  05  0000  150</t>
  </si>
  <si>
    <t>092 2  02  35118  00  0000  150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</si>
  <si>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</si>
  <si>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092  2  02  35120  05  0000  150</t>
  </si>
  <si>
    <t xml:space="preserve">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</si>
  <si>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</si>
  <si>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092  2  02  35120  00  0000  150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</si>
  <si>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(через Министерство образования и науки  Республики Алтай)</t>
  </si>
  <si>
    <t>092  2  02  30029  05  0000  150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</si>
  <si>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(через Министерство образования и науки  Республики Алтай)</t>
  </si>
  <si>
    <t>092  2  02  30029  00  0000  150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</si>
  <si>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</si>
  <si>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</si>
  <si>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</si>
  <si>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(2949)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</si>
  <si>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</si>
  <si>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(2942)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</si>
  <si>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</si>
  <si>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(2941)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</si>
  <si>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</si>
  <si>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</si>
  <si>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</si>
  <si>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(2967)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</si>
  <si>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</si>
  <si>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(2945)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</si>
  <si>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</si>
  <si>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(2940)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</si>
  <si>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</si>
  <si>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(2934)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</si>
  <si>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</si>
  <si>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(2936)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</si>
  <si>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</si>
  <si>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Комитет по тарифам Республики Алтай)</t>
  </si>
  <si>
    <t>(2969)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</si>
  <si>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</si>
  <si>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бюджетам муниципальных районов на выполнение передаваемых полномочий субъектов Российской Федерации</t>
  </si>
  <si>
    <t>092  2  02  30024  05  0000  150</t>
  </si>
  <si>
    <t xml:space="preserve">Субвенции местным бюджетам на выполнение передаваемых полномочий субъектов Российской Федерации </t>
  </si>
  <si>
    <t>092  2  02  30024  00  0000  150</t>
  </si>
  <si>
    <t xml:space="preserve">Субвенции бюджетам субъектов Российской Федерации и муниципальных образований </t>
  </si>
  <si>
    <t>092  2  02  30000  00  0000  150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</si>
  <si>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образования, науки Республики Алтай)</t>
  </si>
  <si>
    <t>(2921)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</si>
  <si>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 (через Министерство образования, науки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</si>
  <si>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</si>
  <si>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(2975)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</si>
  <si>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</si>
  <si>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(2938)</t>
  </si>
  <si>
    <t>Субсидии на выплату ежемесячной надбавки к заработной плате работникам, отнесенным к категории молодых специалистов  (через Министерство образования, науки и молодежной политики Республики Алтай)</t>
  </si>
  <si>
    <t>(2966)</t>
  </si>
  <si>
    <t>Субсидии на софинансирование мероприятий, направленных на оказание поддержки гражданам и их объединениям, участвующим в охране общественного порядка, созданию условий для деятельности народных дружин (через Министерство экономического развития и туризма Республики Алтай)</t>
  </si>
  <si>
    <t>(2995)</t>
  </si>
  <si>
    <t>Субсидии на обеспечение питанием учащихся из малообеспеченных семей (через Министерство образования, науки и молодежной политики Республики Алтай)</t>
  </si>
  <si>
    <t>(2981)</t>
  </si>
  <si>
    <t>(2979)</t>
  </si>
  <si>
    <t>Государственная поддержка отрасли культуры (субсидии на софинансирование расходов, предусматривающие комплексные мероприятия, направленные на создание и модернизацию учреждений культурно-досугового типа в сельской местности)</t>
  </si>
  <si>
    <t>Субсидии на софинансирование расходных обязательств по созданию и оборудованию мест (площадок) накопления (в том числе раздельного накопления) твердых коммунальных отходов (через Министерство регионального развития Республики Алтай)</t>
  </si>
  <si>
    <t>(2908)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</si>
  <si>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</si>
  <si>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(2904)</t>
  </si>
  <si>
    <t>Прочие субсидии бюджетам муниципальных районов</t>
  </si>
  <si>
    <t>092  2  02  29999  05  0000  150</t>
  </si>
  <si>
    <t>Прочие субсидии</t>
  </si>
  <si>
    <t>092  2  02  29999  00  0000  150</t>
  </si>
  <si>
    <t xml:space="preserve">Субсидия на реализацию  мероприятий федеральной целевой программы «Устойчивое развитие сельских территорий на 2014-2017 годы и на период до 2020 года» (субсидии на улучшение жилищных условий граждан Российской Федерации, проживающих в сельской местности) (через Министерство сельского хозяйства Республики Алтай) </t>
  </si>
  <si>
    <t>Обеспечение устойчивого развития сельских территорий (субсидии на софинансирование капитальных вложений в объекты государственной (муниципальной) собственности) (через министерство сельского хозяйства Республики Алтай)</t>
  </si>
  <si>
    <t>092 2 02 27567 05 0000 150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</si>
  <si>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(через Министерство Регионального развития Республики Алтай)</t>
  </si>
  <si>
    <t>Субсидии бюджетам на софинансирование капитальных вложений в объекты государственной (муниципальной) собственности</t>
  </si>
  <si>
    <t>092  2   02  27112 05 0000   150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</si>
  <si>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</si>
  <si>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бюджетам муниципальных районов на реализацию федеральных целевых программ</t>
  </si>
  <si>
    <t>092   2 02 25567 05 0000 150</t>
  </si>
  <si>
    <t>Поддержка отрасли культуры (субсидии) (через Министерство культуры Республики Алтай)</t>
  </si>
  <si>
    <t>092  2  02  25519  05  0000  150</t>
  </si>
  <si>
    <t>Субсидии на поддержку творческой деятельности и техническое оснащение детских и кукольных театров (через Министерство культуры Республики Алтай)</t>
  </si>
  <si>
    <t>092  2  02  25517  05  0000  150</t>
  </si>
  <si>
    <t>Субсидии бюджетам муниципальных районов на реализацию мероприятий по обеспечению жильем молодых семей (через Министерство образования и науки Республики Алтай)</t>
  </si>
  <si>
    <t>092   2  02  25497  05  0000  150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</si>
  <si>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</si>
  <si>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092  2  02  25467  05  0000  150</t>
  </si>
  <si>
    <t xml:space="preserve">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(субсидии на софинансирование капитальных вложений в объекты муниципальной собственности) (через Министерство Регионального развития Республики Алтай)</t>
  </si>
  <si>
    <t>092 2 02 25232 05 0000 150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</si>
  <si>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 (через Министрерство образования и науки Республики Алтай)</t>
  </si>
  <si>
    <t xml:space="preserve"> 092  2 02  25097  05  0000 150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</si>
  <si>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  (через Министерство Регионального развития Республики Алтай)</t>
  </si>
  <si>
    <t xml:space="preserve"> 092  2 02  20077  05  0000 150</t>
  </si>
  <si>
    <t xml:space="preserve"> 092  2 02  20051  05  0000 150</t>
  </si>
  <si>
    <t>Субсидии бюджетам субъектов Российской Федерации и муниципальных образований (межбюджетные субсидии)</t>
  </si>
  <si>
    <t>092  2  02  20000  00  0000  150</t>
  </si>
  <si>
    <t>Дотации бюджетам муниципальных районов на поддержку мер по обеспечению сбалансированности бюджетов</t>
  </si>
  <si>
    <t>092  2  02  15002  05  0000  150</t>
  </si>
  <si>
    <t>Прочие дотации бюджетам муниципальных районов</t>
  </si>
  <si>
    <t>96  2  02  15001  05  0000  150</t>
  </si>
  <si>
    <t>Прочие дотации</t>
  </si>
  <si>
    <t>95  2  02  15001  05  0000  150</t>
  </si>
  <si>
    <t>94  2  02  15001  05  0000  150</t>
  </si>
  <si>
    <t>Дотации бюджетам на поддержку мер по обеспечению сбалансированности бюджетов</t>
  </si>
  <si>
    <t>93  2  02  15001  05  0000  150</t>
  </si>
  <si>
    <t>Дотации бюджетам муниципальных районов на выравнивание бюджетной обеспеченности</t>
  </si>
  <si>
    <t>092  2  02  15001  05  0000  150</t>
  </si>
  <si>
    <t>Дотации на выравнивание бюджетной обеспеченности</t>
  </si>
  <si>
    <t>092 2  02  15001  00  0000  150</t>
  </si>
  <si>
    <t>Дотации бюджетам субъектов Российской Федерации и муниципальных образований</t>
  </si>
  <si>
    <t>092  2  02  10000  00  0000  150</t>
  </si>
  <si>
    <t>БЕЗВОЗМЕЗДНЫЕ ПОСТУПЛЕНИЯ ОТ ДРУГИХ БЮДЖЕТОВ БЮДЖЕТНОЙ СИСТЕМЫ РОССИЙСКОЙ ФЕДЕРАЦИИ</t>
  </si>
  <si>
    <t>000  2  02  00000  00  0000  000</t>
  </si>
  <si>
    <t>БЕЗВОЗМЕЗДНЫЕ ПОСТУПЛЕНИЯ</t>
  </si>
  <si>
    <t>000  2  00  00000  00  0000  000</t>
  </si>
  <si>
    <t>Прочие неналоговые доходы бюджетов муниципальных районов</t>
  </si>
  <si>
    <t>092  1  17  05050  05  0000  180</t>
  </si>
  <si>
    <t>Прочие неналоговые доходы</t>
  </si>
  <si>
    <t>000  1  17  05000  00  0000  180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</si>
  <si>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</si>
  <si>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092  1  16  90050  05  0000  140</t>
  </si>
  <si>
    <t>Прочие поступления от денежных взысканий (штрафов) и иных сумм в возмещение ущерба</t>
  </si>
  <si>
    <t>000 1  16  90050  05  0000  140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</si>
  <si>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</si>
  <si>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</si>
  <si>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</si>
  <si>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</si>
  <si>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</si>
  <si>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092 1  16  32000  05  0000  140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</si>
  <si>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</si>
  <si>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</si>
  <si>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Прочие денежные взыскания (штрафы) за правонарушения в области дорожного движения</t>
  </si>
  <si>
    <t>188  1  16  30030  00  0000  140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</si>
  <si>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</si>
  <si>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141  1  16  28000  01  0000  140</t>
  </si>
  <si>
    <t>Денежные взыскания (штрафы) за нарушение земельного законодательства</t>
  </si>
  <si>
    <t>000  1 16  25060  01  0000  140</t>
  </si>
  <si>
    <t>Денежные взыскания (штрафы) за нарушение законодательства в области охраны окружающей среды</t>
  </si>
  <si>
    <t>000  1 16  25050  01  0000  140</t>
  </si>
  <si>
    <t>048  1 16 35030 05 6000 140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</si>
  <si>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</si>
  <si>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048  1  16  35000  00  0000  140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</si>
  <si>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</si>
  <si>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188  1  16  08020  01  0000  140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</si>
  <si>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</si>
  <si>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</si>
  <si>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</t>
  </si>
  <si>
    <t>000  1  16  08000  00  0000  140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</si>
  <si>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</si>
  <si>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182  1  16  06000  01  0000  140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</si>
  <si>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</si>
  <si>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182  1  16  03030  01  0000  140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</si>
  <si>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</si>
  <si>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182  1  16  03010  01  0000  140</t>
  </si>
  <si>
    <t>Денежные взыскания (штрафы) за нарушение законодательства о налогах и сборах</t>
  </si>
  <si>
    <t>000  1  16  03000  00  0000  140</t>
  </si>
  <si>
    <t>ШТРАФЫ, САНКЦИИ, ВОЗМЕЩЕНИЕ УЩЕРБА</t>
  </si>
  <si>
    <t>000  1  16  00000  00  0000  000</t>
  </si>
  <si>
    <t>Платежи, взимаемые организациями муниципальных районов за выполнение определенных функций</t>
  </si>
  <si>
    <t>000  1  15  02050  05  0000  140</t>
  </si>
  <si>
    <t>Платежи, взимаемые государственными и муниципальными организациями за выполнение определенных функций</t>
  </si>
  <si>
    <t>000  1  15  02000  00  0000  140</t>
  </si>
  <si>
    <t>АДМИНИСТРАТИВНЫЕ ПЛАТЕЖИ И СБОРЫ</t>
  </si>
  <si>
    <t>000  1  15  00000  00  0000  000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</si>
  <si>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</si>
  <si>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000  1  14  06025  05  0000 430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</si>
  <si>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</si>
  <si>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</si>
  <si>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</si>
  <si>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000  1  14  06013  10  0000  430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</si>
  <si>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</si>
  <si>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</si>
  <si>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</si>
  <si>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800  1  14  06000  00  0000  430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</si>
  <si>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</si>
  <si>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800  1  14  02052  05  0000  410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</si>
  <si>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</si>
  <si>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800  1  14  02050  05  0000  410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</si>
  <si>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</si>
  <si>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800  1  14  02000  00  0000  000</t>
  </si>
  <si>
    <t>ДОХОДЫ ОТ ПРОДАЖИ МАТЕРИАЛЬНЫХ И НЕМАТЕРИАЛЬНЫХ АКТИВОВ</t>
  </si>
  <si>
    <t>800 1  14  00000  00  0000  000</t>
  </si>
  <si>
    <t>Прочие доходы от оказания платных услуг (работ) получателями средств бюджетов муниципальных районов</t>
  </si>
  <si>
    <t>800 1  13  01995  05  0000  130</t>
  </si>
  <si>
    <t>Прочие доходы от оказания платных услуг (работ)</t>
  </si>
  <si>
    <t>000 1  13  01995  00  0000  130</t>
  </si>
  <si>
    <t>Доходы от оказания платных услуг (работ)</t>
  </si>
  <si>
    <t>000  1  13  01000  00  0000  130</t>
  </si>
  <si>
    <t>ДОХОДЫ ОТ ОКАЗАНИЯ ПЛАТНЫХ УСЛУГ (РАБОТ) И КОМПЕНСАЦИИ ЗАТРАТ ГОСУДАРСТВА</t>
  </si>
  <si>
    <t>000  1  13  00000  00  0000  000</t>
  </si>
  <si>
    <t>Плата за размещение отходов производства и потребления</t>
  </si>
  <si>
    <t>048  1  12  01040  01  0000  120</t>
  </si>
  <si>
    <t>Плата за сбросы загрязняющих веществ в водные объекты</t>
  </si>
  <si>
    <t>048  1  12  01030  01  0000  120</t>
  </si>
  <si>
    <t>Плата за выбросы загрязняющих веществ в атмосферный воздух передвижными объектами</t>
  </si>
  <si>
    <t>048  1  12  01020  01  0000  120</t>
  </si>
  <si>
    <t>Плата за выбросы загрязняющих веществ в атмосферный воздух стационарными объектами</t>
  </si>
  <si>
    <t>048  1  12  01010  01  0000  120</t>
  </si>
  <si>
    <t>Плата за негативное воздействие на окружающую среду</t>
  </si>
  <si>
    <t>048  1  12  01000  01  0000  120</t>
  </si>
  <si>
    <t>ПЛАТЕЖИ ПРИ ПОЛЬЗОВАНИИ ПРИРОДНЫМИ РЕСУРСАМИ</t>
  </si>
  <si>
    <t>000  1  12  00000  00  0000  000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</si>
  <si>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</si>
  <si>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800  1  11  05035  05  0000  120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</si>
  <si>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</si>
  <si>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800  1  11  05030  00  0000  120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</si>
  <si>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</si>
  <si>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800  1  11  05025  05  0000  120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</si>
  <si>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</si>
  <si>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800  1  11  05020  00  0000  120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</si>
  <si>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</si>
  <si>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800  1  11  05000  00  0000  120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</si>
  <si>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</si>
  <si>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092  1  11  03050  05  0000  120</t>
  </si>
  <si>
    <t>Проценты, полученные от предоставления бюджетных кредитов внутри страны</t>
  </si>
  <si>
    <t>000  1  11  03000  00  0000  120</t>
  </si>
  <si>
    <t>ДОХОДЫ ОТ ИСПОЛЬЗОВАНИЯ ИМУЩЕСТВА, НАХОДЯЩЕГОСЯ В ГОСУДАРСТВЕННОЙ И МУНИЦИПАЛЬНОЙ СОБСТВЕННОСТИ</t>
  </si>
  <si>
    <t>800  1  11  00000  00  0000  000</t>
  </si>
  <si>
    <t xml:space="preserve"> НЕНАЛОГОВЫЕ ДОХОДЫ</t>
  </si>
  <si>
    <t>Государственная пошлина за выдачу разрешения на установку рекламной конструкции</t>
  </si>
  <si>
    <t>092  1  08  07150  01  1000  110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</si>
  <si>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</si>
  <si>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</si>
  <si>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</si>
  <si>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000  1  08  07080  01  1000  110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</si>
  <si>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</si>
  <si>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</si>
  <si>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</si>
  <si>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182  1  08  03010  01  0000  110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</si>
  <si>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</si>
  <si>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</si>
  <si>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</t>
  </si>
  <si>
    <t>000  1  08  00000  00  0000  000</t>
  </si>
  <si>
    <t>Налог на добычу общераспространенных полезных ископаемых</t>
  </si>
  <si>
    <t>182  1  07  01020  01  0000  110</t>
  </si>
  <si>
    <t>Налог на добычу полезных ископаемых</t>
  </si>
  <si>
    <t>000  1  07  01000  01  0000  110</t>
  </si>
  <si>
    <t>НАЛОГИ, СБОРЫ И РЕГУЛЯРНЫЕ ПЛАТЕЖИ ЗА ПОЛЬЗОВАНИЕ ПРИРОДНЫМИ РЕСУРСАМИ</t>
  </si>
  <si>
    <t>000  1  07  00000  00  0000  000</t>
  </si>
  <si>
    <t>Налог на имущество организаций по имуществу, не входящему в Единую систему газоснабжения</t>
  </si>
  <si>
    <t>182  1  06  02010  02  0000  110</t>
  </si>
  <si>
    <t>Налог на имущество организаций</t>
  </si>
  <si>
    <t>000  1  06  02000  02  0000  110</t>
  </si>
  <si>
    <t>НАЛОГИ НА ИМУЩЕСТВО</t>
  </si>
  <si>
    <t>000  1  06  00000  00  0000  000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</si>
  <si>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</si>
  <si>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182  1  05  04020  02  0000  110</t>
  </si>
  <si>
    <t>Налог, взимаемый в связи с применением патентной системы налогообложения</t>
  </si>
  <si>
    <t>000  1  05  04000  02 0000  110</t>
  </si>
  <si>
    <t>Единый сельскохозяйственный налог</t>
  </si>
  <si>
    <t>182  1  05  03010  01  0000  110</t>
  </si>
  <si>
    <t>000  1  05  03000  01  0000  110</t>
  </si>
  <si>
    <t>Единый налог на вмененный доход для отдельных видов деятельности</t>
  </si>
  <si>
    <t>182  1  05  02010  02  0000  110</t>
  </si>
  <si>
    <t>000  1  05  02000  02  0000  110</t>
  </si>
  <si>
    <t>Минимальный налог, зачисляемый в бюджеты субъектов Российской Федерации</t>
  </si>
  <si>
    <t>182  1  05  01050  01  0000  110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</si>
  <si>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</si>
  <si>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182  1  05  01020  01  0000  110</t>
  </si>
  <si>
    <t>Налог, взимаемый с налогоплательщиков, выбравших в качестве объекта налогообложения  доходы</t>
  </si>
  <si>
    <t>182 1  05  01010  01  0000  110</t>
  </si>
  <si>
    <t>Налог, взимаемый в связи с применением упрощенной системы налогообложения</t>
  </si>
  <si>
    <t>000  1  05  01000  00  0000  110</t>
  </si>
  <si>
    <t>НАЛОГИ НА СОВОКУПНЫЙ ДОХОД</t>
  </si>
  <si>
    <t>000  1  05  00000  00  0000  000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</si>
  <si>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</si>
  <si>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</si>
  <si>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</si>
  <si>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</si>
  <si>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</si>
  <si>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</si>
  <si>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Акцизы по подакцизным товарам (продукции), производимым на территории Российской Федерации</t>
  </si>
  <si>
    <t>000  1  03  02000  01  0000  000</t>
  </si>
  <si>
    <t>НАЛОГИ НА ТОВАРЫ (РАБОТЫ, УСЛУГИ), РЕАЛИЗУЕМЫЕ НА ТЕРРИТОРИИ РОССИЙСКОЙ ФЕДЕРАЦИИ</t>
  </si>
  <si>
    <t>000  1  03  00000  00  0000  000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</si>
  <si>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Налогового кодекса Российской Федерации</t>
    </r>
  </si>
  <si>
    <t>182  1  01  02040  01  0000  110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</si>
  <si>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</si>
  <si>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182  1  01  02030  01  0000  110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</si>
  <si>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</si>
  <si>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182  1  01  02020  01  0000  110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</si>
  <si>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</si>
  <si>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182  1  01  02010  01  0000  110</t>
  </si>
  <si>
    <t>Налог на доходы физических лиц</t>
  </si>
  <si>
    <t>000  1  01  02000  01  0000  110</t>
  </si>
  <si>
    <t>НАЛОГИ НА ПРИБЫЛЬ, ДОХОДЫ</t>
  </si>
  <si>
    <t>000  1  01  00000  00  0000  000</t>
  </si>
  <si>
    <t>НАЛОГОВЫЕ  ДОХОДЫ</t>
  </si>
  <si>
    <t>НАЛОГОВЫЕ И НЕНАЛОГОВЫЕ ДОХОДЫ</t>
  </si>
  <si>
    <t>000  1  00  00000  00  0000  000</t>
  </si>
  <si>
    <t>Доходы бюджета - Всего</t>
  </si>
  <si>
    <t>000  8  50  00000  00  0000  000</t>
  </si>
  <si>
    <t>изменение + ,-</t>
  </si>
  <si>
    <t>изменение + ,- май</t>
  </si>
  <si>
    <t>изменение + ,- февраль</t>
  </si>
  <si>
    <t>Утвержденный план</t>
  </si>
  <si>
    <t>изменение + ,- принятие</t>
  </si>
  <si>
    <t>Утвержденный на 2019 год</t>
  </si>
  <si>
    <t xml:space="preserve">Код дохода </t>
  </si>
  <si>
    <t>Прогнозируемые объемы поступлений доходов в бюджет муниципального образования "Онгудайский район" на 2019 год</t>
  </si>
  <si>
    <t>Приложение 6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</si>
  <si>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 .02.2019г №5-1, от 23.05.2019г №7-2, от 04.07.2019 №9-1)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</si>
  <si>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 5-1, от 23.05.2019г №7-2, от04.07.2019г № 9-1)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</si>
  <si>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 5-1, от 23.05.2019г №7-2, от 04.07.2019г №9-1)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</si>
  <si>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 .02.2019г №5-1, от 23.05.2019г №7-2, от 04.07.2019г №9,1)</t>
  </si>
  <si>
    <t>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от26.02.2019г №5-1, от 23.05.2019г  №7-2, от04.07.2019г №9-1)</t>
  </si>
  <si>
    <t xml:space="preserve">Приложение 20
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№5-1, от 23.05.2019 № 7-2, от04.07.2019г №9-1)
</t>
  </si>
  <si>
    <t>Приложение 22
к  решению "О  внесении изменений в бюджет муниципального образования "Онгудайский район" на  2019 год и на плановый период 2020 и 2021 годов"  ( в редакции решения  от 26.02.2019г № 5-1, от 23.05.2019г № 7-2, от04.07.2019г №9-1)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</si>
</sst>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3" formatCode="_-* #,##0.00_р_._-;\-* #,##0.00_р_._-;_-* &quot;-&quot;??_р_._-;_-@_-"/>
    <numFmt numFmtId="164" formatCode="0.00000"/>
    <numFmt numFmtId="165" formatCode="0.000"/>
    <numFmt numFmtId="166" formatCode="0.0"/>
    <numFmt numFmtId="167" formatCode="_-* #,##0.0_р_._-;\-* #,##0.0_р_._-;_-* &quot;-&quot;??_р_._-;_-@_-"/>
    <numFmt numFmtId="168" formatCode="#,##0.0"/>
    <numFmt numFmtId="169" formatCode="_-* #,##0_р_._-;\-* #,##0_р_._-;_-* &quot;-&quot;?_р_._-;_-@_-"/>
    <numFmt numFmtId="170" formatCode="#,##0.0_р_."/>
    <numFmt numFmtId="171" formatCode="#,##0.0_ ;\-#,##0.0\ "/>
    <numFmt numFmtId="172" formatCode="_-* #,##0.000_р_._-;\-* #,##0.000_р_._-;_-* &quot;-&quot;??_р_._-;_-@_-"/>
    <numFmt numFmtId="173" formatCode="_-* #,##0.00000_р_._-;\-* #,##0.00000_р_._-;_-* &quot;-&quot;??_р_._-;_-@_-"/>
    <numFmt numFmtId="174" formatCode="_-* #,##0.00000_р_._-;\-* #,##0.00000_р_._-;_-* &quot;-&quot;?????_р_._-;_-@_-"/>
    <numFmt numFmtId="175" formatCode="_-* #,##0_р_._-;\-* #,##0_р_._-;_-* &quot;-&quot;??_р_._-;_-@_-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1"/>
    </font>
    <font>
      <u/>
      <sz val="11"/>
      <color theme="10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S Sans Serif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52">
    <xf numFmtId="0" fontId="0" fillId="0" borderId="0"/>
    <xf numFmtId="0" fontId="8" fillId="0" borderId="0"/>
    <xf numFmtId="0" fontId="6" fillId="0" borderId="0"/>
    <xf numFmtId="0" fontId="10" fillId="0" borderId="0"/>
    <xf numFmtId="0" fontId="8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43" fontId="14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9" fillId="0" borderId="0"/>
    <xf numFmtId="0" fontId="6" fillId="0" borderId="0"/>
    <xf numFmtId="0" fontId="20" fillId="0" borderId="0"/>
    <xf numFmtId="0" fontId="8" fillId="0" borderId="0" applyNumberFormat="0" applyFont="0" applyFill="0" applyBorder="0" applyAlignment="0" applyProtection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21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9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7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9" fillId="0" borderId="1" xfId="1" applyFont="1" applyFill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horizontal="left"/>
    </xf>
    <xf numFmtId="0" fontId="12" fillId="0" borderId="1" xfId="1" applyFont="1" applyFill="1" applyBorder="1" applyAlignment="1">
      <alignment horizontal="left" wrapText="1"/>
    </xf>
    <xf numFmtId="49" fontId="11" fillId="0" borderId="1" xfId="1" applyNumberFormat="1" applyFont="1" applyFill="1" applyBorder="1" applyAlignment="1">
      <alignment horizontal="left"/>
    </xf>
    <xf numFmtId="0" fontId="9" fillId="0" borderId="1" xfId="5" applyFont="1" applyFill="1" applyBorder="1" applyAlignment="1">
      <alignment horizontal="left" wrapText="1"/>
    </xf>
    <xf numFmtId="0" fontId="12" fillId="0" borderId="1" xfId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wrapText="1"/>
    </xf>
    <xf numFmtId="164" fontId="9" fillId="0" borderId="1" xfId="5" applyNumberFormat="1" applyFont="1" applyFill="1" applyBorder="1" applyAlignment="1">
      <alignment horizontal="right" wrapText="1"/>
    </xf>
    <xf numFmtId="0" fontId="11" fillId="0" borderId="1" xfId="3" applyFont="1" applyFill="1" applyBorder="1" applyAlignment="1">
      <alignment horizontal="center" vertical="center" wrapText="1"/>
    </xf>
    <xf numFmtId="0" fontId="0" fillId="0" borderId="0" xfId="0" applyBorder="1" applyAlignment="1"/>
    <xf numFmtId="0" fontId="9" fillId="0" borderId="0" xfId="5" applyFont="1"/>
    <xf numFmtId="0" fontId="10" fillId="0" borderId="0" xfId="0" applyFont="1"/>
    <xf numFmtId="0" fontId="10" fillId="0" borderId="0" xfId="0" applyFont="1" applyBorder="1" applyAlignment="1"/>
    <xf numFmtId="0" fontId="22" fillId="0" borderId="0" xfId="0" applyFont="1"/>
    <xf numFmtId="49" fontId="11" fillId="0" borderId="1" xfId="5" applyNumberFormat="1" applyFont="1" applyFill="1" applyBorder="1" applyAlignment="1">
      <alignment horizontal="center"/>
    </xf>
    <xf numFmtId="0" fontId="11" fillId="0" borderId="1" xfId="5" applyFont="1" applyBorder="1" applyAlignment="1">
      <alignment wrapText="1"/>
    </xf>
    <xf numFmtId="49" fontId="9" fillId="0" borderId="1" xfId="5" applyNumberFormat="1" applyFont="1" applyFill="1" applyBorder="1" applyAlignment="1">
      <alignment horizontal="center"/>
    </xf>
    <xf numFmtId="49" fontId="9" fillId="0" borderId="2" xfId="5" applyNumberFormat="1" applyFont="1" applyFill="1" applyBorder="1" applyAlignment="1">
      <alignment horizontal="center"/>
    </xf>
    <xf numFmtId="0" fontId="9" fillId="0" borderId="1" xfId="5" applyFont="1" applyBorder="1" applyAlignment="1">
      <alignment wrapText="1"/>
    </xf>
    <xf numFmtId="49" fontId="9" fillId="0" borderId="5" xfId="5" applyNumberFormat="1" applyFont="1" applyFill="1" applyBorder="1" applyAlignment="1">
      <alignment horizontal="center"/>
    </xf>
    <xf numFmtId="0" fontId="9" fillId="0" borderId="1" xfId="9" applyFont="1" applyFill="1" applyBorder="1" applyAlignment="1">
      <alignment horizontal="justify" vertical="top" wrapText="1" shrinkToFit="1"/>
    </xf>
    <xf numFmtId="0" fontId="11" fillId="0" borderId="1" xfId="5" applyFont="1" applyBorder="1" applyAlignment="1">
      <alignment horizontal="center" vertical="center" wrapText="1"/>
    </xf>
    <xf numFmtId="0" fontId="9" fillId="0" borderId="0" xfId="18" applyFont="1" applyAlignment="1">
      <alignment wrapText="1"/>
    </xf>
    <xf numFmtId="0" fontId="9" fillId="0" borderId="0" xfId="5" applyFont="1" applyBorder="1"/>
    <xf numFmtId="0" fontId="9" fillId="0" borderId="0" xfId="1" applyFont="1" applyFill="1"/>
    <xf numFmtId="0" fontId="12" fillId="0" borderId="0" xfId="1" applyFont="1" applyFill="1"/>
    <xf numFmtId="165" fontId="9" fillId="0" borderId="0" xfId="1" applyNumberFormat="1" applyFont="1" applyFill="1" applyBorder="1"/>
    <xf numFmtId="2" fontId="9" fillId="0" borderId="0" xfId="1" applyNumberFormat="1" applyFont="1" applyFill="1" applyAlignment="1"/>
    <xf numFmtId="2" fontId="9" fillId="0" borderId="0" xfId="1" applyNumberFormat="1" applyFont="1" applyFill="1" applyBorder="1"/>
    <xf numFmtId="1" fontId="9" fillId="0" borderId="0" xfId="1" applyNumberFormat="1" applyFont="1" applyFill="1" applyBorder="1"/>
    <xf numFmtId="0" fontId="9" fillId="0" borderId="0" xfId="1" applyFont="1" applyFill="1" applyBorder="1"/>
    <xf numFmtId="0" fontId="24" fillId="0" borderId="1" xfId="1" applyFont="1" applyFill="1" applyBorder="1" applyAlignment="1">
      <alignment horizontal="left"/>
    </xf>
    <xf numFmtId="0" fontId="11" fillId="0" borderId="0" xfId="1" applyFont="1" applyFill="1"/>
    <xf numFmtId="0" fontId="16" fillId="0" borderId="0" xfId="1" applyFont="1" applyFill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1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/>
    </xf>
    <xf numFmtId="165" fontId="9" fillId="0" borderId="0" xfId="1" applyNumberFormat="1" applyFont="1" applyFill="1" applyAlignment="1">
      <alignment wrapText="1"/>
    </xf>
    <xf numFmtId="0" fontId="15" fillId="2" borderId="0" xfId="0" applyFont="1" applyFill="1" applyAlignment="1">
      <alignment horizontal="justify" vertical="center" wrapText="1"/>
    </xf>
    <xf numFmtId="49" fontId="27" fillId="2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justify" vertical="center" wrapText="1"/>
    </xf>
    <xf numFmtId="0" fontId="15" fillId="2" borderId="0" xfId="0" applyFont="1" applyFill="1" applyBorder="1" applyAlignment="1">
      <alignment horizontal="center" wrapText="1"/>
    </xf>
    <xf numFmtId="0" fontId="13" fillId="2" borderId="0" xfId="0" applyFont="1" applyFill="1" applyAlignment="1">
      <alignment horizontal="center"/>
    </xf>
    <xf numFmtId="165" fontId="9" fillId="0" borderId="0" xfId="1" applyNumberFormat="1" applyFont="1" applyFill="1" applyAlignment="1">
      <alignment horizontal="left" vertical="top"/>
    </xf>
    <xf numFmtId="0" fontId="12" fillId="0" borderId="0" xfId="1" applyFont="1" applyFill="1" applyAlignment="1">
      <alignment horizontal="left"/>
    </xf>
    <xf numFmtId="164" fontId="9" fillId="0" borderId="0" xfId="18" applyNumberFormat="1" applyFont="1" applyFill="1" applyAlignment="1">
      <alignment horizontal="left"/>
    </xf>
    <xf numFmtId="0" fontId="24" fillId="0" borderId="1" xfId="1" applyFont="1" applyFill="1" applyBorder="1" applyAlignment="1">
      <alignment horizontal="left" wrapText="1"/>
    </xf>
    <xf numFmtId="0" fontId="11" fillId="0" borderId="1" xfId="3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wrapText="1"/>
    </xf>
    <xf numFmtId="2" fontId="9" fillId="0" borderId="0" xfId="0" applyNumberFormat="1" applyFont="1" applyFill="1" applyAlignment="1">
      <alignment horizontal="right" vertical="center"/>
    </xf>
    <xf numFmtId="2" fontId="11" fillId="0" borderId="1" xfId="1" applyNumberFormat="1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/>
    </xf>
    <xf numFmtId="2" fontId="9" fillId="0" borderId="0" xfId="1" applyNumberFormat="1" applyFont="1" applyFill="1" applyAlignment="1">
      <alignment horizontal="right"/>
    </xf>
    <xf numFmtId="0" fontId="9" fillId="0" borderId="0" xfId="1" applyFont="1" applyFill="1" applyAlignment="1">
      <alignment vertical="top"/>
    </xf>
    <xf numFmtId="49" fontId="11" fillId="0" borderId="2" xfId="5" applyNumberFormat="1" applyFont="1" applyFill="1" applyBorder="1" applyAlignment="1">
      <alignment horizontal="center"/>
    </xf>
    <xf numFmtId="164" fontId="11" fillId="0" borderId="1" xfId="1" applyNumberFormat="1" applyFont="1" applyFill="1" applyBorder="1" applyAlignment="1">
      <alignment horizontal="right"/>
    </xf>
    <xf numFmtId="0" fontId="24" fillId="0" borderId="0" xfId="1" applyFont="1" applyFill="1"/>
    <xf numFmtId="49" fontId="9" fillId="0" borderId="1" xfId="1" applyNumberFormat="1" applyFont="1" applyFill="1" applyBorder="1"/>
    <xf numFmtId="0" fontId="9" fillId="0" borderId="1" xfId="1" applyFont="1" applyFill="1" applyBorder="1"/>
    <xf numFmtId="49" fontId="11" fillId="0" borderId="1" xfId="1" applyNumberFormat="1" applyFont="1" applyFill="1" applyBorder="1"/>
    <xf numFmtId="0" fontId="11" fillId="0" borderId="1" xfId="1" applyFont="1" applyFill="1" applyBorder="1"/>
    <xf numFmtId="0" fontId="12" fillId="0" borderId="1" xfId="1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right" wrapText="1"/>
    </xf>
    <xf numFmtId="0" fontId="23" fillId="0" borderId="0" xfId="5" applyFont="1" applyBorder="1" applyAlignment="1">
      <alignment horizontal="center" wrapText="1"/>
    </xf>
    <xf numFmtId="0" fontId="8" fillId="0" borderId="0" xfId="18" applyFont="1" applyAlignment="1">
      <alignment wrapText="1"/>
    </xf>
    <xf numFmtId="0" fontId="24" fillId="0" borderId="1" xfId="1" applyFont="1" applyFill="1" applyBorder="1" applyAlignment="1">
      <alignment horizontal="left" vertical="top" wrapText="1"/>
    </xf>
    <xf numFmtId="164" fontId="11" fillId="0" borderId="0" xfId="1" applyNumberFormat="1" applyFont="1" applyFill="1"/>
    <xf numFmtId="164" fontId="9" fillId="0" borderId="0" xfId="1" applyNumberFormat="1" applyFont="1" applyFill="1"/>
    <xf numFmtId="164" fontId="9" fillId="0" borderId="0" xfId="1" applyNumberFormat="1" applyFont="1" applyFill="1" applyAlignment="1">
      <alignment vertical="top"/>
    </xf>
    <xf numFmtId="164" fontId="9" fillId="0" borderId="0" xfId="1" applyNumberFormat="1" applyFont="1" applyFill="1" applyAlignment="1"/>
    <xf numFmtId="164" fontId="9" fillId="0" borderId="0" xfId="1" applyNumberFormat="1" applyFont="1" applyFill="1" applyAlignment="1">
      <alignment horizontal="right"/>
    </xf>
    <xf numFmtId="164" fontId="9" fillId="0" borderId="0" xfId="1" applyNumberFormat="1" applyFont="1" applyFill="1" applyBorder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/>
    <xf numFmtId="0" fontId="9" fillId="0" borderId="0" xfId="146" applyFill="1" applyBorder="1"/>
    <xf numFmtId="49" fontId="16" fillId="0" borderId="0" xfId="146" applyNumberFormat="1" applyFont="1" applyFill="1" applyBorder="1" applyAlignment="1">
      <alignment horizontal="center" vertical="center"/>
    </xf>
    <xf numFmtId="0" fontId="16" fillId="0" borderId="0" xfId="146" applyFont="1" applyFill="1" applyBorder="1"/>
    <xf numFmtId="165" fontId="16" fillId="0" borderId="0" xfId="146" applyNumberFormat="1" applyFont="1" applyFill="1" applyBorder="1"/>
    <xf numFmtId="0" fontId="9" fillId="0" borderId="0" xfId="146" applyFont="1" applyFill="1" applyBorder="1" applyAlignment="1"/>
    <xf numFmtId="0" fontId="33" fillId="0" borderId="0" xfId="146" applyFont="1" applyFill="1" applyBorder="1"/>
    <xf numFmtId="0" fontId="9" fillId="0" borderId="0" xfId="146" applyFont="1" applyFill="1" applyBorder="1" applyAlignment="1">
      <alignment wrapText="1"/>
    </xf>
    <xf numFmtId="49" fontId="34" fillId="0" borderId="0" xfId="146" applyNumberFormat="1" applyFont="1" applyFill="1" applyBorder="1" applyAlignment="1">
      <alignment horizontal="left" vertical="center"/>
    </xf>
    <xf numFmtId="0" fontId="16" fillId="0" borderId="0" xfId="146" applyFont="1" applyFill="1" applyBorder="1" applyAlignment="1">
      <alignment horizontal="center"/>
    </xf>
    <xf numFmtId="165" fontId="16" fillId="0" borderId="0" xfId="146" applyNumberFormat="1" applyFont="1" applyFill="1" applyBorder="1" applyAlignment="1">
      <alignment horizontal="center"/>
    </xf>
    <xf numFmtId="1" fontId="16" fillId="0" borderId="0" xfId="146" applyNumberFormat="1" applyFont="1" applyFill="1" applyBorder="1" applyAlignment="1">
      <alignment horizontal="center"/>
    </xf>
    <xf numFmtId="1" fontId="13" fillId="0" borderId="0" xfId="146" applyNumberFormat="1" applyFont="1" applyFill="1" applyBorder="1" applyAlignment="1">
      <alignment horizontal="center"/>
    </xf>
    <xf numFmtId="1" fontId="33" fillId="0" borderId="0" xfId="146" applyNumberFormat="1" applyFont="1" applyFill="1" applyBorder="1"/>
    <xf numFmtId="0" fontId="15" fillId="0" borderId="15" xfId="146" applyFont="1" applyFill="1" applyBorder="1"/>
    <xf numFmtId="0" fontId="15" fillId="0" borderId="16" xfId="146" applyFont="1" applyFill="1" applyBorder="1"/>
    <xf numFmtId="49" fontId="15" fillId="0" borderId="1" xfId="146" applyNumberFormat="1" applyFont="1" applyFill="1" applyBorder="1" applyAlignment="1">
      <alignment horizontal="center" vertical="center" wrapText="1"/>
    </xf>
    <xf numFmtId="0" fontId="15" fillId="0" borderId="21" xfId="146" applyFont="1" applyFill="1" applyBorder="1"/>
    <xf numFmtId="0" fontId="15" fillId="0" borderId="22" xfId="146" applyFont="1" applyFill="1" applyBorder="1"/>
    <xf numFmtId="0" fontId="15" fillId="0" borderId="0" xfId="146" applyFont="1" applyFill="1" applyBorder="1"/>
    <xf numFmtId="0" fontId="15" fillId="0" borderId="23" xfId="146" applyFont="1" applyFill="1" applyBorder="1"/>
    <xf numFmtId="0" fontId="13" fillId="0" borderId="24" xfId="146" applyFont="1" applyFill="1" applyBorder="1"/>
    <xf numFmtId="0" fontId="13" fillId="0" borderId="25" xfId="146" applyFont="1" applyFill="1" applyBorder="1"/>
    <xf numFmtId="49" fontId="13" fillId="0" borderId="1" xfId="146" applyNumberFormat="1" applyFont="1" applyFill="1" applyBorder="1" applyAlignment="1">
      <alignment horizontal="center" vertical="center"/>
    </xf>
    <xf numFmtId="0" fontId="25" fillId="0" borderId="7" xfId="147" applyFont="1" applyBorder="1" applyAlignment="1">
      <alignment horizontal="center" vertical="center" wrapText="1"/>
    </xf>
    <xf numFmtId="0" fontId="25" fillId="0" borderId="27" xfId="147" applyFont="1" applyBorder="1" applyAlignment="1">
      <alignment horizontal="center" vertical="center" wrapText="1"/>
    </xf>
    <xf numFmtId="0" fontId="25" fillId="0" borderId="10" xfId="147" applyFont="1" applyBorder="1" applyAlignment="1">
      <alignment horizontal="center" vertical="center" wrapText="1"/>
    </xf>
    <xf numFmtId="0" fontId="25" fillId="0" borderId="1" xfId="147" applyFont="1" applyBorder="1" applyAlignment="1">
      <alignment horizontal="center" vertical="center" wrapText="1"/>
    </xf>
    <xf numFmtId="0" fontId="25" fillId="0" borderId="28" xfId="147" applyFont="1" applyBorder="1" applyAlignment="1">
      <alignment horizontal="center" vertical="center" wrapText="1"/>
    </xf>
    <xf numFmtId="0" fontId="13" fillId="0" borderId="21" xfId="146" applyFont="1" applyFill="1" applyBorder="1"/>
    <xf numFmtId="0" fontId="13" fillId="0" borderId="29" xfId="146" applyFont="1" applyFill="1" applyBorder="1"/>
    <xf numFmtId="0" fontId="13" fillId="0" borderId="0" xfId="146" applyFont="1" applyFill="1" applyBorder="1"/>
    <xf numFmtId="0" fontId="13" fillId="0" borderId="30" xfId="146" applyFont="1" applyFill="1" applyBorder="1"/>
    <xf numFmtId="0" fontId="15" fillId="0" borderId="27" xfId="146" applyFont="1" applyFill="1" applyBorder="1"/>
    <xf numFmtId="0" fontId="15" fillId="0" borderId="14" xfId="146" applyFont="1" applyFill="1" applyBorder="1"/>
    <xf numFmtId="49" fontId="15" fillId="0" borderId="1" xfId="146" applyNumberFormat="1" applyFont="1" applyFill="1" applyBorder="1" applyAlignment="1">
      <alignment horizontal="center" vertical="center"/>
    </xf>
    <xf numFmtId="0" fontId="13" fillId="0" borderId="1" xfId="146" applyFont="1" applyFill="1" applyBorder="1" applyAlignment="1">
      <alignment horizontal="center"/>
    </xf>
    <xf numFmtId="165" fontId="15" fillId="0" borderId="1" xfId="146" applyNumberFormat="1" applyFont="1" applyFill="1" applyBorder="1" applyAlignment="1">
      <alignment horizontal="center" vertical="center" wrapText="1"/>
    </xf>
    <xf numFmtId="0" fontId="15" fillId="0" borderId="7" xfId="146" applyFont="1" applyFill="1" applyBorder="1"/>
    <xf numFmtId="167" fontId="15" fillId="0" borderId="0" xfId="146" applyNumberFormat="1" applyFont="1" applyFill="1" applyBorder="1"/>
    <xf numFmtId="0" fontId="9" fillId="0" borderId="27" xfId="146" applyFont="1" applyFill="1" applyBorder="1"/>
    <xf numFmtId="0" fontId="9" fillId="0" borderId="14" xfId="146" applyFont="1" applyFill="1" applyBorder="1"/>
    <xf numFmtId="49" fontId="9" fillId="0" borderId="1" xfId="146" applyNumberFormat="1" applyFont="1" applyFill="1" applyBorder="1" applyAlignment="1">
      <alignment horizontal="center" vertical="center"/>
    </xf>
    <xf numFmtId="0" fontId="11" fillId="0" borderId="1" xfId="146" applyFont="1" applyFill="1" applyBorder="1" applyAlignment="1">
      <alignment horizontal="justify" vertical="center" wrapText="1"/>
    </xf>
    <xf numFmtId="165" fontId="9" fillId="0" borderId="1" xfId="146" applyNumberFormat="1" applyFont="1" applyFill="1" applyBorder="1" applyAlignment="1">
      <alignment horizontal="justify" wrapText="1"/>
    </xf>
    <xf numFmtId="43" fontId="25" fillId="0" borderId="6" xfId="147" applyNumberFormat="1" applyFont="1" applyFill="1" applyBorder="1" applyAlignment="1"/>
    <xf numFmtId="43" fontId="25" fillId="0" borderId="6" xfId="147" applyNumberFormat="1" applyFont="1" applyFill="1" applyBorder="1" applyAlignment="1">
      <alignment horizontal="center" vertical="center"/>
    </xf>
    <xf numFmtId="43" fontId="25" fillId="0" borderId="6" xfId="147" applyNumberFormat="1" applyFont="1" applyBorder="1" applyAlignment="1">
      <alignment horizontal="center" vertical="center"/>
    </xf>
    <xf numFmtId="167" fontId="9" fillId="0" borderId="6" xfId="133" applyNumberFormat="1" applyFont="1" applyFill="1" applyBorder="1" applyAlignment="1">
      <alignment horizontal="center"/>
    </xf>
    <xf numFmtId="0" fontId="9" fillId="0" borderId="0" xfId="146" applyFont="1" applyFill="1" applyBorder="1"/>
    <xf numFmtId="167" fontId="35" fillId="0" borderId="0" xfId="146" applyNumberFormat="1" applyFont="1" applyFill="1" applyBorder="1"/>
    <xf numFmtId="0" fontId="9" fillId="0" borderId="7" xfId="146" applyFont="1" applyFill="1" applyBorder="1"/>
    <xf numFmtId="43" fontId="9" fillId="0" borderId="6" xfId="147" applyNumberFormat="1" applyFont="1" applyBorder="1" applyAlignment="1">
      <alignment vertical="center"/>
    </xf>
    <xf numFmtId="0" fontId="15" fillId="0" borderId="24" xfId="146" applyFont="1" applyFill="1" applyBorder="1"/>
    <xf numFmtId="0" fontId="15" fillId="0" borderId="25" xfId="146" applyFont="1" applyFill="1" applyBorder="1"/>
    <xf numFmtId="0" fontId="9" fillId="0" borderId="4" xfId="147" applyFont="1" applyBorder="1" applyAlignment="1">
      <alignment horizontal="justify" vertical="top"/>
    </xf>
    <xf numFmtId="43" fontId="13" fillId="0" borderId="7" xfId="147" applyNumberFormat="1" applyFont="1" applyFill="1" applyBorder="1" applyAlignment="1">
      <alignment horizontal="center" vertical="center"/>
    </xf>
    <xf numFmtId="167" fontId="15" fillId="0" borderId="30" xfId="133" applyNumberFormat="1" applyFont="1" applyFill="1" applyBorder="1"/>
    <xf numFmtId="0" fontId="15" fillId="0" borderId="30" xfId="146" applyFont="1" applyFill="1" applyBorder="1"/>
    <xf numFmtId="49" fontId="35" fillId="0" borderId="1" xfId="146" applyNumberFormat="1" applyFont="1" applyFill="1" applyBorder="1" applyAlignment="1">
      <alignment horizontal="center" vertical="center"/>
    </xf>
    <xf numFmtId="165" fontId="35" fillId="0" borderId="1" xfId="146" applyNumberFormat="1" applyFont="1" applyFill="1" applyBorder="1" applyAlignment="1">
      <alignment horizontal="center" vertical="center" wrapText="1"/>
    </xf>
    <xf numFmtId="43" fontId="25" fillId="0" borderId="1" xfId="133" applyNumberFormat="1" applyFont="1" applyFill="1" applyBorder="1" applyAlignment="1" applyProtection="1">
      <alignment horizontal="center" vertical="center" wrapText="1"/>
      <protection locked="0"/>
    </xf>
    <xf numFmtId="0" fontId="11" fillId="0" borderId="27" xfId="146" applyFont="1" applyFill="1" applyBorder="1"/>
    <xf numFmtId="0" fontId="11" fillId="0" borderId="14" xfId="146" applyFont="1" applyFill="1" applyBorder="1"/>
    <xf numFmtId="0" fontId="11" fillId="0" borderId="9" xfId="146" applyFont="1" applyFill="1" applyBorder="1" applyAlignment="1">
      <alignment horizontal="justify" vertical="center" wrapText="1"/>
    </xf>
    <xf numFmtId="165" fontId="36" fillId="0" borderId="4" xfId="146" applyNumberFormat="1" applyFont="1" applyFill="1" applyBorder="1" applyAlignment="1">
      <alignment horizontal="center" vertical="center" wrapText="1"/>
    </xf>
    <xf numFmtId="167" fontId="11" fillId="0" borderId="7" xfId="133" applyNumberFormat="1" applyFont="1" applyFill="1" applyBorder="1"/>
    <xf numFmtId="0" fontId="11" fillId="0" borderId="0" xfId="146" applyFont="1" applyFill="1" applyBorder="1"/>
    <xf numFmtId="167" fontId="36" fillId="0" borderId="0" xfId="146" applyNumberFormat="1" applyFont="1" applyFill="1" applyBorder="1"/>
    <xf numFmtId="0" fontId="11" fillId="0" borderId="7" xfId="146" applyFont="1" applyFill="1" applyBorder="1"/>
    <xf numFmtId="0" fontId="9" fillId="0" borderId="31" xfId="147" applyFont="1" applyBorder="1" applyAlignment="1">
      <alignment horizontal="justify" vertical="top" wrapText="1"/>
    </xf>
    <xf numFmtId="43" fontId="11" fillId="0" borderId="4" xfId="147" applyNumberFormat="1" applyFont="1" applyBorder="1" applyAlignment="1">
      <alignment horizontal="center"/>
    </xf>
    <xf numFmtId="168" fontId="9" fillId="0" borderId="6" xfId="133" applyNumberFormat="1" applyFont="1" applyFill="1" applyBorder="1" applyAlignment="1">
      <alignment horizontal="center"/>
    </xf>
    <xf numFmtId="169" fontId="9" fillId="0" borderId="0" xfId="146" applyNumberFormat="1" applyFont="1" applyFill="1" applyBorder="1"/>
    <xf numFmtId="0" fontId="9" fillId="0" borderId="1" xfId="146" applyFont="1" applyFill="1" applyBorder="1" applyAlignment="1">
      <alignment horizontal="justify" vertical="center" wrapText="1"/>
    </xf>
    <xf numFmtId="167" fontId="9" fillId="0" borderId="32" xfId="133" applyNumberFormat="1" applyFont="1" applyFill="1" applyBorder="1"/>
    <xf numFmtId="167" fontId="9" fillId="0" borderId="7" xfId="133" applyNumberFormat="1" applyFont="1" applyFill="1" applyBorder="1"/>
    <xf numFmtId="49" fontId="11" fillId="0" borderId="1" xfId="146" applyNumberFormat="1" applyFont="1" applyFill="1" applyBorder="1" applyAlignment="1">
      <alignment horizontal="center" vertical="center"/>
    </xf>
    <xf numFmtId="1" fontId="11" fillId="0" borderId="1" xfId="146" applyNumberFormat="1" applyFont="1" applyFill="1" applyBorder="1" applyAlignment="1" applyProtection="1">
      <alignment horizontal="justify" vertical="center" wrapText="1"/>
      <protection locked="0"/>
    </xf>
    <xf numFmtId="165" fontId="11" fillId="0" borderId="1" xfId="146" applyNumberFormat="1" applyFont="1" applyFill="1" applyBorder="1" applyAlignment="1">
      <alignment horizontal="justify" wrapText="1"/>
    </xf>
    <xf numFmtId="167" fontId="11" fillId="0" borderId="22" xfId="133" applyNumberFormat="1" applyFont="1" applyFill="1" applyBorder="1"/>
    <xf numFmtId="169" fontId="11" fillId="0" borderId="0" xfId="146" applyNumberFormat="1" applyFont="1" applyFill="1" applyBorder="1"/>
    <xf numFmtId="0" fontId="11" fillId="0" borderId="6" xfId="147" applyFont="1" applyFill="1" applyBorder="1" applyAlignment="1">
      <alignment horizontal="justify" wrapText="1"/>
    </xf>
    <xf numFmtId="43" fontId="25" fillId="0" borderId="1" xfId="147" applyNumberFormat="1" applyFont="1" applyFill="1" applyBorder="1" applyAlignment="1">
      <alignment vertical="center"/>
    </xf>
    <xf numFmtId="167" fontId="11" fillId="0" borderId="0" xfId="133" applyNumberFormat="1" applyFont="1" applyFill="1" applyBorder="1"/>
    <xf numFmtId="1" fontId="9" fillId="0" borderId="1" xfId="146" applyNumberFormat="1" applyFont="1" applyFill="1" applyBorder="1" applyAlignment="1" applyProtection="1">
      <alignment horizontal="justify" vertical="center" wrapText="1"/>
      <protection locked="0"/>
    </xf>
    <xf numFmtId="167" fontId="9" fillId="0" borderId="0" xfId="133" applyNumberFormat="1" applyFont="1" applyFill="1" applyBorder="1"/>
    <xf numFmtId="49" fontId="9" fillId="0" borderId="1" xfId="0" applyNumberFormat="1" applyFont="1" applyBorder="1" applyAlignment="1">
      <alignment horizontal="left" vertical="center" wrapText="1"/>
    </xf>
    <xf numFmtId="0" fontId="9" fillId="0" borderId="6" xfId="147" applyFont="1" applyFill="1" applyBorder="1" applyAlignment="1">
      <alignment horizontal="justify" wrapText="1"/>
    </xf>
    <xf numFmtId="0" fontId="36" fillId="0" borderId="1" xfId="146" applyFont="1" applyFill="1" applyBorder="1"/>
    <xf numFmtId="0" fontId="36" fillId="0" borderId="0" xfId="146" applyFont="1" applyFill="1"/>
    <xf numFmtId="0" fontId="9" fillId="0" borderId="0" xfId="146" applyFill="1"/>
    <xf numFmtId="43" fontId="9" fillId="0" borderId="0" xfId="146" applyNumberFormat="1" applyFont="1" applyFill="1"/>
    <xf numFmtId="0" fontId="9" fillId="0" borderId="33" xfId="146" applyFont="1" applyFill="1" applyBorder="1" applyAlignment="1">
      <alignment horizontal="center" vertical="center"/>
    </xf>
    <xf numFmtId="0" fontId="16" fillId="0" borderId="33" xfId="146" applyFont="1" applyFill="1" applyBorder="1"/>
    <xf numFmtId="165" fontId="16" fillId="0" borderId="33" xfId="146" applyNumberFormat="1" applyFont="1" applyFill="1" applyBorder="1"/>
    <xf numFmtId="0" fontId="9" fillId="0" borderId="0" xfId="146" applyFont="1" applyFill="1"/>
    <xf numFmtId="0" fontId="9" fillId="0" borderId="0" xfId="85" applyFont="1" applyAlignment="1">
      <alignment vertical="top" wrapText="1"/>
    </xf>
    <xf numFmtId="0" fontId="9" fillId="0" borderId="0" xfId="85" applyNumberFormat="1" applyFont="1" applyFill="1" applyBorder="1" applyAlignment="1" applyProtection="1">
      <alignment horizontal="justify" vertical="center" wrapText="1"/>
    </xf>
    <xf numFmtId="0" fontId="9" fillId="0" borderId="0" xfId="85" applyFont="1" applyAlignment="1">
      <alignment vertical="center" wrapText="1"/>
    </xf>
    <xf numFmtId="0" fontId="9" fillId="0" borderId="0" xfId="85" applyFont="1" applyAlignment="1">
      <alignment horizontal="left" vertical="top" wrapText="1"/>
    </xf>
    <xf numFmtId="0" fontId="25" fillId="0" borderId="0" xfId="85" applyFont="1" applyBorder="1" applyAlignment="1">
      <alignment horizontal="justify" vertical="center" wrapText="1"/>
    </xf>
    <xf numFmtId="0" fontId="13" fillId="0" borderId="0" xfId="85" applyFont="1" applyAlignment="1">
      <alignment horizontal="right" vertical="top" wrapText="1"/>
    </xf>
    <xf numFmtId="0" fontId="11" fillId="0" borderId="1" xfId="85" applyFont="1" applyBorder="1" applyAlignment="1">
      <alignment horizontal="center" vertical="center" wrapText="1"/>
    </xf>
    <xf numFmtId="0" fontId="11" fillId="0" borderId="1" xfId="85" applyFont="1" applyFill="1" applyBorder="1" applyAlignment="1">
      <alignment horizontal="center" vertical="center" wrapText="1"/>
    </xf>
    <xf numFmtId="0" fontId="9" fillId="0" borderId="1" xfId="85" applyFont="1" applyBorder="1" applyAlignment="1">
      <alignment horizontal="center" vertical="center" wrapText="1"/>
    </xf>
    <xf numFmtId="0" fontId="11" fillId="0" borderId="1" xfId="85" applyFont="1" applyBorder="1" applyAlignment="1">
      <alignment vertical="top" wrapText="1"/>
    </xf>
    <xf numFmtId="0" fontId="25" fillId="0" borderId="1" xfId="85" applyNumberFormat="1" applyFont="1" applyFill="1" applyBorder="1" applyAlignment="1" applyProtection="1">
      <alignment horizontal="left" vertical="center" wrapText="1"/>
    </xf>
    <xf numFmtId="0" fontId="11" fillId="0" borderId="0" xfId="85" applyFont="1" applyAlignment="1">
      <alignment vertical="top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justify" vertical="center" wrapText="1"/>
    </xf>
    <xf numFmtId="0" fontId="13" fillId="0" borderId="0" xfId="85" applyNumberFormat="1" applyFont="1" applyFill="1" applyBorder="1" applyAlignment="1" applyProtection="1">
      <alignment horizontal="justify" vertical="center" wrapText="1"/>
    </xf>
    <xf numFmtId="165" fontId="9" fillId="0" borderId="0" xfId="1" applyNumberFormat="1" applyFont="1" applyFill="1"/>
    <xf numFmtId="49" fontId="9" fillId="0" borderId="0" xfId="1" applyNumberFormat="1" applyFont="1" applyFill="1" applyAlignment="1"/>
    <xf numFmtId="2" fontId="11" fillId="0" borderId="0" xfId="1" applyNumberFormat="1" applyFont="1" applyFill="1" applyAlignment="1"/>
    <xf numFmtId="0" fontId="9" fillId="0" borderId="0" xfId="85" applyFont="1" applyAlignment="1">
      <alignment horizontal="left" vertical="top" wrapText="1"/>
    </xf>
    <xf numFmtId="49" fontId="9" fillId="0" borderId="2" xfId="5" applyNumberFormat="1" applyFont="1" applyFill="1" applyBorder="1" applyAlignment="1">
      <alignment horizontal="center" vertical="center"/>
    </xf>
    <xf numFmtId="49" fontId="9" fillId="0" borderId="1" xfId="5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9" fillId="0" borderId="6" xfId="146" applyNumberFormat="1" applyFont="1" applyFill="1" applyBorder="1" applyAlignment="1" applyProtection="1">
      <alignment horizontal="justify" vertical="center" wrapText="1"/>
      <protection locked="0"/>
    </xf>
    <xf numFmtId="43" fontId="13" fillId="0" borderId="4" xfId="147" applyNumberFormat="1" applyFont="1" applyFill="1" applyBorder="1" applyAlignment="1">
      <alignment vertical="center"/>
    </xf>
    <xf numFmtId="0" fontId="9" fillId="0" borderId="1" xfId="1" applyNumberFormat="1" applyFont="1" applyFill="1" applyBorder="1" applyAlignment="1">
      <alignment horizontal="left"/>
    </xf>
    <xf numFmtId="0" fontId="13" fillId="0" borderId="1" xfId="85" applyNumberFormat="1" applyFont="1" applyFill="1" applyBorder="1" applyAlignment="1" applyProtection="1">
      <alignment horizontal="justify" vertical="center" wrapText="1"/>
    </xf>
    <xf numFmtId="0" fontId="40" fillId="2" borderId="0" xfId="0" applyFont="1" applyFill="1" applyAlignment="1">
      <alignment horizontal="center" vertical="center"/>
    </xf>
    <xf numFmtId="0" fontId="40" fillId="0" borderId="0" xfId="0" applyFont="1" applyAlignment="1"/>
    <xf numFmtId="0" fontId="40" fillId="0" borderId="0" xfId="0" applyFont="1"/>
    <xf numFmtId="0" fontId="40" fillId="0" borderId="0" xfId="0" applyFont="1" applyFill="1"/>
    <xf numFmtId="0" fontId="40" fillId="2" borderId="0" xfId="0" applyFont="1" applyFill="1" applyAlignment="1">
      <alignment horizontal="justify" vertical="center" wrapText="1"/>
    </xf>
    <xf numFmtId="164" fontId="40" fillId="0" borderId="0" xfId="0" applyNumberFormat="1" applyFont="1" applyFill="1"/>
    <xf numFmtId="0" fontId="40" fillId="2" borderId="0" xfId="0" applyFont="1" applyFill="1" applyAlignment="1">
      <alignment horizontal="justify" vertical="center"/>
    </xf>
    <xf numFmtId="164" fontId="35" fillId="0" borderId="1" xfId="1" applyNumberFormat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horizontal="left" vertical="top"/>
    </xf>
    <xf numFmtId="164" fontId="8" fillId="0" borderId="0" xfId="127" applyNumberFormat="1" applyFont="1" applyFill="1"/>
    <xf numFmtId="164" fontId="9" fillId="0" borderId="0" xfId="5" applyNumberFormat="1" applyFont="1" applyFill="1" applyBorder="1" applyAlignment="1">
      <alignment horizontal="right" wrapText="1"/>
    </xf>
    <xf numFmtId="0" fontId="31" fillId="0" borderId="0" xfId="0" applyFont="1" applyFill="1" applyAlignment="1">
      <alignment horizontal="left" wrapText="1"/>
    </xf>
    <xf numFmtId="49" fontId="11" fillId="0" borderId="2" xfId="5" applyNumberFormat="1" applyFont="1" applyFill="1" applyBorder="1" applyAlignment="1">
      <alignment horizontal="center"/>
    </xf>
    <xf numFmtId="164" fontId="35" fillId="0" borderId="0" xfId="0" applyNumberFormat="1" applyFont="1" applyFill="1" applyAlignment="1">
      <alignment horizontal="right" vertical="center"/>
    </xf>
    <xf numFmtId="164" fontId="35" fillId="0" borderId="0" xfId="1" applyNumberFormat="1" applyFont="1" applyFill="1" applyAlignment="1">
      <alignment horizontal="right"/>
    </xf>
    <xf numFmtId="164" fontId="44" fillId="0" borderId="1" xfId="1" applyNumberFormat="1" applyFont="1" applyFill="1" applyBorder="1" applyAlignment="1">
      <alignment horizontal="right"/>
    </xf>
    <xf numFmtId="164" fontId="44" fillId="4" borderId="0" xfId="1" applyNumberFormat="1" applyFont="1" applyFill="1"/>
    <xf numFmtId="164" fontId="44" fillId="0" borderId="0" xfId="1" applyNumberFormat="1" applyFont="1" applyFill="1"/>
    <xf numFmtId="164" fontId="9" fillId="0" borderId="1" xfId="151" applyNumberFormat="1" applyFont="1" applyFill="1" applyBorder="1" applyAlignment="1">
      <alignment horizontal="right" wrapText="1"/>
    </xf>
    <xf numFmtId="164" fontId="9" fillId="0" borderId="0" xfId="151" applyNumberFormat="1" applyFont="1" applyFill="1" applyBorder="1" applyAlignment="1">
      <alignment horizontal="right" wrapText="1"/>
    </xf>
    <xf numFmtId="170" fontId="25" fillId="0" borderId="1" xfId="85" applyNumberFormat="1" applyFont="1" applyFill="1" applyBorder="1" applyAlignment="1" applyProtection="1">
      <alignment horizontal="right" wrapText="1"/>
    </xf>
    <xf numFmtId="170" fontId="36" fillId="0" borderId="1" xfId="85" applyNumberFormat="1" applyFont="1" applyFill="1" applyBorder="1" applyAlignment="1" applyProtection="1">
      <alignment horizontal="right" wrapText="1"/>
    </xf>
    <xf numFmtId="170" fontId="13" fillId="0" borderId="1" xfId="85" applyNumberFormat="1" applyFont="1" applyFill="1" applyBorder="1" applyAlignment="1" applyProtection="1">
      <alignment horizontal="right" wrapText="1"/>
    </xf>
    <xf numFmtId="170" fontId="13" fillId="0" borderId="1" xfId="145" applyNumberFormat="1" applyFont="1" applyFill="1" applyBorder="1" applyAlignment="1" applyProtection="1">
      <alignment horizontal="right" wrapText="1"/>
    </xf>
    <xf numFmtId="170" fontId="13" fillId="0" borderId="1" xfId="145" applyNumberFormat="1" applyFont="1" applyBorder="1" applyAlignment="1">
      <alignment horizontal="right" wrapText="1"/>
    </xf>
    <xf numFmtId="170" fontId="13" fillId="0" borderId="1" xfId="85" applyNumberFormat="1" applyFont="1" applyBorder="1" applyAlignment="1">
      <alignment horizontal="right" wrapText="1"/>
    </xf>
    <xf numFmtId="170" fontId="9" fillId="0" borderId="1" xfId="85" applyNumberFormat="1" applyFont="1" applyBorder="1" applyAlignment="1">
      <alignment horizontal="right" wrapText="1"/>
    </xf>
    <xf numFmtId="170" fontId="9" fillId="0" borderId="1" xfId="85" applyNumberFormat="1" applyFont="1" applyBorder="1" applyAlignment="1">
      <alignment vertical="top" wrapText="1"/>
    </xf>
    <xf numFmtId="171" fontId="28" fillId="0" borderId="1" xfId="10" applyNumberFormat="1" applyFont="1" applyFill="1" applyBorder="1" applyAlignment="1">
      <alignment horizontal="center" vertical="center" wrapText="1"/>
    </xf>
    <xf numFmtId="171" fontId="15" fillId="0" borderId="1" xfId="1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 applyAlignment="1">
      <alignment horizontal="center" vertical="center"/>
    </xf>
    <xf numFmtId="171" fontId="26" fillId="0" borderId="1" xfId="10" applyNumberFormat="1" applyFont="1" applyFill="1" applyBorder="1" applyAlignment="1">
      <alignment horizontal="center" vertical="center" wrapText="1"/>
    </xf>
    <xf numFmtId="166" fontId="11" fillId="0" borderId="1" xfId="5" applyNumberFormat="1" applyFont="1" applyFill="1" applyBorder="1" applyAlignment="1">
      <alignment horizontal="center"/>
    </xf>
    <xf numFmtId="166" fontId="9" fillId="0" borderId="1" xfId="5" applyNumberFormat="1" applyFont="1" applyFill="1" applyBorder="1" applyAlignment="1">
      <alignment horizontal="center"/>
    </xf>
    <xf numFmtId="166" fontId="10" fillId="0" borderId="1" xfId="0" applyNumberFormat="1" applyFont="1" applyBorder="1"/>
    <xf numFmtId="166" fontId="9" fillId="0" borderId="1" xfId="5" applyNumberFormat="1" applyFont="1" applyFill="1" applyBorder="1" applyAlignment="1">
      <alignment horizontal="center" vertical="center"/>
    </xf>
    <xf numFmtId="166" fontId="30" fillId="0" borderId="1" xfId="2" applyNumberFormat="1" applyFont="1" applyFill="1" applyBorder="1" applyAlignment="1">
      <alignment horizontal="right" wrapText="1"/>
    </xf>
    <xf numFmtId="166" fontId="9" fillId="0" borderId="1" xfId="4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 wrapText="1"/>
    </xf>
    <xf numFmtId="166" fontId="9" fillId="0" borderId="1" xfId="151" applyNumberFormat="1" applyFont="1" applyFill="1" applyBorder="1" applyAlignment="1">
      <alignment horizontal="right" wrapText="1"/>
    </xf>
    <xf numFmtId="166" fontId="9" fillId="0" borderId="1" xfId="5" applyNumberFormat="1" applyFont="1" applyFill="1" applyBorder="1" applyAlignment="1">
      <alignment horizontal="right" wrapText="1"/>
    </xf>
    <xf numFmtId="166" fontId="9" fillId="0" borderId="1" xfId="7" applyNumberFormat="1" applyFont="1" applyFill="1" applyBorder="1" applyAlignment="1">
      <alignment horizontal="right" wrapText="1"/>
    </xf>
    <xf numFmtId="166" fontId="9" fillId="0" borderId="3" xfId="151" applyNumberFormat="1" applyFont="1" applyFill="1" applyBorder="1" applyAlignment="1">
      <alignment horizontal="right" wrapText="1"/>
    </xf>
    <xf numFmtId="166" fontId="9" fillId="0" borderId="1" xfId="0" applyNumberFormat="1" applyFont="1" applyFill="1" applyBorder="1" applyAlignment="1">
      <alignment horizontal="right" wrapText="1" shrinkToFit="1"/>
    </xf>
    <xf numFmtId="166" fontId="9" fillId="0" borderId="3" xfId="1" applyNumberFormat="1" applyFont="1" applyFill="1" applyBorder="1" applyAlignment="1">
      <alignment horizontal="right"/>
    </xf>
    <xf numFmtId="166" fontId="35" fillId="0" borderId="1" xfId="1" applyNumberFormat="1" applyFont="1" applyFill="1" applyBorder="1" applyAlignment="1">
      <alignment horizontal="right"/>
    </xf>
    <xf numFmtId="166" fontId="35" fillId="0" borderId="1" xfId="151" applyNumberFormat="1" applyFont="1" applyFill="1" applyBorder="1" applyAlignment="1">
      <alignment horizontal="right" wrapText="1"/>
    </xf>
    <xf numFmtId="166" fontId="35" fillId="0" borderId="1" xfId="0" applyNumberFormat="1" applyFont="1" applyFill="1" applyBorder="1" applyAlignment="1">
      <alignment horizontal="right" wrapText="1" shrinkToFit="1"/>
    </xf>
    <xf numFmtId="166" fontId="9" fillId="0" borderId="1" xfId="1" applyNumberFormat="1" applyFont="1" applyFill="1" applyBorder="1" applyAlignment="1"/>
    <xf numFmtId="166" fontId="35" fillId="0" borderId="1" xfId="1" applyNumberFormat="1" applyFont="1" applyFill="1" applyBorder="1" applyAlignment="1">
      <alignment horizontal="right" wrapText="1"/>
    </xf>
    <xf numFmtId="166" fontId="12" fillId="0" borderId="1" xfId="1" applyNumberFormat="1" applyFont="1" applyFill="1" applyBorder="1" applyAlignment="1">
      <alignment horizontal="right" wrapText="1"/>
    </xf>
    <xf numFmtId="166" fontId="35" fillId="0" borderId="1" xfId="4" applyNumberFormat="1" applyFont="1" applyFill="1" applyBorder="1" applyAlignment="1">
      <alignment horizontal="right"/>
    </xf>
    <xf numFmtId="166" fontId="11" fillId="0" borderId="1" xfId="1" applyNumberFormat="1" applyFont="1" applyFill="1" applyBorder="1" applyAlignment="1">
      <alignment horizontal="right"/>
    </xf>
    <xf numFmtId="166" fontId="9" fillId="0" borderId="1" xfId="1" applyNumberFormat="1" applyFont="1" applyFill="1" applyBorder="1" applyAlignment="1">
      <alignment horizontal="right" vertical="top"/>
    </xf>
    <xf numFmtId="166" fontId="11" fillId="0" borderId="1" xfId="4" applyNumberFormat="1" applyFont="1" applyFill="1" applyBorder="1" applyAlignment="1">
      <alignment horizontal="right"/>
    </xf>
    <xf numFmtId="166" fontId="35" fillId="0" borderId="1" xfId="1" applyNumberFormat="1" applyFont="1" applyFill="1" applyBorder="1" applyAlignment="1"/>
    <xf numFmtId="167" fontId="25" fillId="0" borderId="1" xfId="147" applyNumberFormat="1" applyFont="1" applyFill="1" applyBorder="1" applyAlignment="1">
      <alignment vertical="center"/>
    </xf>
    <xf numFmtId="167" fontId="25" fillId="0" borderId="1" xfId="133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147" applyNumberFormat="1" applyFont="1" applyFill="1" applyBorder="1" applyAlignment="1">
      <alignment wrapText="1"/>
    </xf>
    <xf numFmtId="167" fontId="13" fillId="0" borderId="1" xfId="133" applyNumberFormat="1" applyFont="1" applyFill="1" applyBorder="1" applyAlignment="1" applyProtection="1">
      <alignment horizontal="center" vertical="center" wrapText="1"/>
      <protection locked="0"/>
    </xf>
    <xf numFmtId="167" fontId="13" fillId="0" borderId="1" xfId="133" applyNumberFormat="1" applyFont="1" applyFill="1" applyBorder="1" applyAlignment="1">
      <alignment horizontal="center" vertical="center"/>
    </xf>
    <xf numFmtId="167" fontId="13" fillId="0" borderId="6" xfId="147" applyNumberFormat="1" applyFont="1" applyFill="1" applyBorder="1" applyAlignment="1">
      <alignment wrapText="1"/>
    </xf>
    <xf numFmtId="167" fontId="13" fillId="0" borderId="6" xfId="147" applyNumberFormat="1" applyFont="1" applyFill="1" applyBorder="1" applyAlignment="1">
      <alignment horizontal="center"/>
    </xf>
    <xf numFmtId="167" fontId="13" fillId="0" borderId="6" xfId="147" applyNumberFormat="1" applyFont="1" applyBorder="1" applyAlignment="1">
      <alignment horizontal="center"/>
    </xf>
    <xf numFmtId="167" fontId="13" fillId="3" borderId="6" xfId="147" applyNumberFormat="1" applyFont="1" applyFill="1" applyBorder="1" applyAlignment="1">
      <alignment horizontal="center"/>
    </xf>
    <xf numFmtId="167" fontId="25" fillId="0" borderId="1" xfId="147" applyNumberFormat="1" applyFont="1" applyFill="1" applyBorder="1" applyAlignment="1">
      <alignment horizontal="center" vertical="center"/>
    </xf>
    <xf numFmtId="167" fontId="25" fillId="0" borderId="1" xfId="133" applyNumberFormat="1" applyFont="1" applyFill="1" applyBorder="1" applyAlignment="1" applyProtection="1">
      <alignment vertical="center" wrapText="1"/>
      <protection locked="0"/>
    </xf>
    <xf numFmtId="167" fontId="13" fillId="0" borderId="1" xfId="147" applyNumberFormat="1" applyFont="1" applyFill="1" applyBorder="1" applyAlignment="1">
      <alignment horizontal="center" vertical="center"/>
    </xf>
    <xf numFmtId="167" fontId="13" fillId="0" borderId="1" xfId="133" applyNumberFormat="1" applyFont="1" applyFill="1" applyBorder="1" applyAlignment="1" applyProtection="1">
      <alignment vertical="center" wrapText="1"/>
      <protection locked="0"/>
    </xf>
    <xf numFmtId="167" fontId="37" fillId="0" borderId="1" xfId="133" applyNumberFormat="1" applyFont="1" applyFill="1" applyBorder="1" applyAlignment="1">
      <alignment vertical="center"/>
    </xf>
    <xf numFmtId="167" fontId="13" fillId="0" borderId="1" xfId="147" applyNumberFormat="1" applyFont="1" applyFill="1" applyBorder="1" applyAlignment="1">
      <alignment vertical="center"/>
    </xf>
    <xf numFmtId="167" fontId="32" fillId="0" borderId="1" xfId="133" applyNumberFormat="1" applyFont="1" applyFill="1" applyBorder="1" applyAlignment="1">
      <alignment vertical="center"/>
    </xf>
    <xf numFmtId="167" fontId="25" fillId="0" borderId="1" xfId="147" applyNumberFormat="1" applyFont="1" applyBorder="1" applyAlignment="1">
      <alignment vertical="center"/>
    </xf>
    <xf numFmtId="167" fontId="36" fillId="0" borderId="1" xfId="146" applyNumberFormat="1" applyFont="1" applyFill="1" applyBorder="1" applyAlignment="1"/>
    <xf numFmtId="167" fontId="36" fillId="0" borderId="1" xfId="146" applyNumberFormat="1" applyFont="1" applyFill="1" applyBorder="1"/>
    <xf numFmtId="0" fontId="13" fillId="0" borderId="0" xfId="0" applyFont="1" applyFill="1"/>
    <xf numFmtId="172" fontId="13" fillId="0" borderId="0" xfId="0" applyNumberFormat="1" applyFont="1" applyFill="1"/>
    <xf numFmtId="0" fontId="13" fillId="0" borderId="0" xfId="0" applyFont="1" applyFill="1" applyAlignment="1">
      <alignment vertical="center" wrapText="1"/>
    </xf>
    <xf numFmtId="49" fontId="13" fillId="0" borderId="0" xfId="0" applyNumberFormat="1" applyFont="1" applyFill="1" applyAlignment="1"/>
    <xf numFmtId="173" fontId="15" fillId="0" borderId="1" xfId="0" applyNumberFormat="1" applyFont="1" applyFill="1" applyBorder="1"/>
    <xf numFmtId="167" fontId="15" fillId="0" borderId="1" xfId="0" applyNumberFormat="1" applyFont="1" applyFill="1" applyBorder="1"/>
    <xf numFmtId="167" fontId="13" fillId="0" borderId="1" xfId="0" applyNumberFormat="1" applyFont="1" applyFill="1" applyBorder="1"/>
    <xf numFmtId="43" fontId="15" fillId="0" borderId="1" xfId="0" applyNumberFormat="1" applyFont="1" applyFill="1" applyBorder="1"/>
    <xf numFmtId="43" fontId="13" fillId="0" borderId="1" xfId="133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>
      <alignment horizontal="center"/>
    </xf>
    <xf numFmtId="43" fontId="15" fillId="0" borderId="4" xfId="0" applyNumberFormat="1" applyFont="1" applyFill="1" applyBorder="1"/>
    <xf numFmtId="2" fontId="13" fillId="0" borderId="1" xfId="0" applyNumberFormat="1" applyFont="1" applyFill="1" applyBorder="1" applyAlignment="1">
      <alignment horizontal="center"/>
    </xf>
    <xf numFmtId="173" fontId="15" fillId="0" borderId="4" xfId="0" applyNumberFormat="1" applyFont="1" applyFill="1" applyBorder="1"/>
    <xf numFmtId="173" fontId="15" fillId="0" borderId="4" xfId="133" applyNumberFormat="1" applyFont="1" applyFill="1" applyBorder="1" applyAlignment="1">
      <alignment horizontal="right"/>
    </xf>
    <xf numFmtId="43" fontId="15" fillId="0" borderId="1" xfId="133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174" fontId="13" fillId="0" borderId="0" xfId="0" applyNumberFormat="1" applyFont="1" applyFill="1"/>
    <xf numFmtId="0" fontId="13" fillId="0" borderId="2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173" fontId="15" fillId="0" borderId="1" xfId="133" applyNumberFormat="1" applyFont="1" applyFill="1" applyBorder="1" applyAlignment="1">
      <alignment horizontal="right"/>
    </xf>
    <xf numFmtId="43" fontId="13" fillId="0" borderId="1" xfId="133" applyFont="1" applyFill="1" applyBorder="1" applyAlignment="1">
      <alignment horizontal="center"/>
    </xf>
    <xf numFmtId="173" fontId="15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center"/>
    </xf>
    <xf numFmtId="173" fontId="15" fillId="0" borderId="4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 wrapText="1"/>
    </xf>
    <xf numFmtId="49" fontId="13" fillId="0" borderId="1" xfId="0" applyNumberFormat="1" applyFont="1" applyFill="1" applyBorder="1" applyAlignment="1"/>
    <xf numFmtId="0" fontId="45" fillId="0" borderId="0" xfId="0" applyFont="1" applyFill="1"/>
    <xf numFmtId="167" fontId="45" fillId="0" borderId="1" xfId="0" applyNumberFormat="1" applyFont="1" applyFill="1" applyBorder="1"/>
    <xf numFmtId="173" fontId="46" fillId="0" borderId="1" xfId="0" applyNumberFormat="1" applyFont="1" applyFill="1" applyBorder="1"/>
    <xf numFmtId="173" fontId="15" fillId="0" borderId="1" xfId="145" applyNumberFormat="1" applyFont="1" applyFill="1" applyBorder="1" applyAlignment="1">
      <alignment horizontal="right" wrapText="1"/>
    </xf>
    <xf numFmtId="167" fontId="13" fillId="0" borderId="1" xfId="145" applyNumberFormat="1" applyFont="1" applyFill="1" applyBorder="1" applyAlignment="1">
      <alignment horizontal="center" wrapText="1"/>
    </xf>
    <xf numFmtId="0" fontId="47" fillId="0" borderId="1" xfId="0" applyNumberFormat="1" applyFont="1" applyFill="1" applyBorder="1" applyAlignment="1">
      <alignment horizontal="justify" vertical="center" wrapText="1"/>
    </xf>
    <xf numFmtId="49" fontId="45" fillId="0" borderId="1" xfId="0" applyNumberFormat="1" applyFont="1" applyFill="1" applyBorder="1" applyAlignment="1">
      <alignment horizontal="center"/>
    </xf>
    <xf numFmtId="0" fontId="47" fillId="0" borderId="1" xfId="0" applyFont="1" applyFill="1" applyBorder="1" applyAlignment="1">
      <alignment horizontal="justify" vertical="center" wrapText="1"/>
    </xf>
    <xf numFmtId="173" fontId="15" fillId="0" borderId="6" xfId="145" applyNumberFormat="1" applyFont="1" applyFill="1" applyBorder="1" applyAlignment="1">
      <alignment horizontal="right" wrapText="1"/>
    </xf>
    <xf numFmtId="167" fontId="13" fillId="0" borderId="6" xfId="145" applyNumberFormat="1" applyFont="1" applyFill="1" applyBorder="1" applyAlignment="1">
      <alignment horizontal="center" wrapText="1"/>
    </xf>
    <xf numFmtId="0" fontId="47" fillId="0" borderId="6" xfId="0" applyNumberFormat="1" applyFont="1" applyFill="1" applyBorder="1" applyAlignment="1">
      <alignment horizontal="justify" vertical="center" wrapText="1"/>
    </xf>
    <xf numFmtId="43" fontId="15" fillId="0" borderId="1" xfId="133" applyNumberFormat="1" applyFont="1" applyFill="1" applyBorder="1" applyAlignment="1">
      <alignment horizontal="right"/>
    </xf>
    <xf numFmtId="0" fontId="45" fillId="0" borderId="1" xfId="0" applyFont="1" applyFill="1" applyBorder="1" applyAlignment="1">
      <alignment vertical="center" wrapText="1"/>
    </xf>
    <xf numFmtId="49" fontId="45" fillId="0" borderId="1" xfId="127" applyNumberFormat="1" applyFont="1" applyFill="1" applyBorder="1" applyAlignment="1">
      <alignment horizontal="left" vertical="center" wrapText="1"/>
    </xf>
    <xf numFmtId="43" fontId="13" fillId="0" borderId="0" xfId="0" applyNumberFormat="1" applyFont="1" applyFill="1"/>
    <xf numFmtId="49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43" fontId="13" fillId="0" borderId="1" xfId="133" applyNumberFormat="1" applyFont="1" applyFill="1" applyBorder="1" applyAlignment="1">
      <alignment horizontal="center"/>
    </xf>
    <xf numFmtId="43" fontId="15" fillId="0" borderId="6" xfId="133" applyNumberFormat="1" applyFont="1" applyFill="1" applyBorder="1" applyAlignment="1">
      <alignment horizontal="right"/>
    </xf>
    <xf numFmtId="173" fontId="15" fillId="0" borderId="6" xfId="133" applyNumberFormat="1" applyFont="1" applyFill="1" applyBorder="1" applyAlignment="1">
      <alignment horizontal="right"/>
    </xf>
    <xf numFmtId="43" fontId="13" fillId="0" borderId="6" xfId="133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vertical="center" wrapText="1"/>
    </xf>
    <xf numFmtId="49" fontId="13" fillId="0" borderId="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174" fontId="9" fillId="0" borderId="0" xfId="0" applyNumberFormat="1" applyFont="1" applyFill="1" applyAlignment="1">
      <alignment horizontal="center" vertical="center" wrapText="1"/>
    </xf>
    <xf numFmtId="17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5" fontId="9" fillId="0" borderId="1" xfId="0" applyNumberFormat="1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/>
    <xf numFmtId="0" fontId="9" fillId="0" borderId="0" xfId="0" applyFont="1" applyFill="1" applyBorder="1" applyAlignment="1">
      <alignment horizontal="right" wrapText="1"/>
    </xf>
    <xf numFmtId="0" fontId="27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43" fontId="13" fillId="0" borderId="0" xfId="133" applyFont="1" applyFill="1" applyAlignment="1">
      <alignment horizontal="center" vertical="center"/>
    </xf>
    <xf numFmtId="2" fontId="16" fillId="0" borderId="0" xfId="0" applyNumberFormat="1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/>
    </xf>
    <xf numFmtId="173" fontId="1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top" wrapText="1"/>
    </xf>
    <xf numFmtId="0" fontId="31" fillId="0" borderId="0" xfId="0" applyFont="1" applyFill="1" applyAlignment="1">
      <alignment vertical="top"/>
    </xf>
    <xf numFmtId="0" fontId="25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2" fontId="16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right" vertical="top" wrapText="1"/>
    </xf>
    <xf numFmtId="0" fontId="27" fillId="0" borderId="0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1" fillId="0" borderId="0" xfId="0" applyFont="1" applyAlignment="1">
      <alignment horizontal="right" vertical="top" wrapText="1"/>
    </xf>
    <xf numFmtId="0" fontId="4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49" fontId="11" fillId="0" borderId="3" xfId="5" applyNumberFormat="1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3" fillId="0" borderId="0" xfId="5" applyFont="1" applyBorder="1" applyAlignment="1">
      <alignment horizontal="center" wrapText="1"/>
    </xf>
    <xf numFmtId="0" fontId="8" fillId="0" borderId="0" xfId="18" applyFont="1" applyAlignment="1">
      <alignment wrapText="1"/>
    </xf>
    <xf numFmtId="0" fontId="0" fillId="0" borderId="0" xfId="0" applyAlignment="1">
      <alignment wrapText="1"/>
    </xf>
    <xf numFmtId="0" fontId="11" fillId="0" borderId="0" xfId="5" applyFont="1" applyBorder="1" applyAlignment="1">
      <alignment horizontal="center" vertical="center" wrapText="1"/>
    </xf>
    <xf numFmtId="0" fontId="9" fillId="0" borderId="0" xfId="5" applyFont="1" applyAlignment="1">
      <alignment vertical="center" wrapText="1"/>
    </xf>
    <xf numFmtId="164" fontId="16" fillId="0" borderId="0" xfId="5" applyNumberFormat="1" applyFont="1" applyAlignment="1">
      <alignment horizontal="right" vertical="center" wrapText="1"/>
    </xf>
    <xf numFmtId="0" fontId="43" fillId="0" borderId="0" xfId="0" applyFont="1" applyAlignment="1">
      <alignment horizontal="right" wrapText="1"/>
    </xf>
    <xf numFmtId="0" fontId="9" fillId="0" borderId="0" xfId="5" applyFont="1" applyAlignment="1">
      <alignment horizontal="right" wrapText="1"/>
    </xf>
    <xf numFmtId="49" fontId="11" fillId="0" borderId="1" xfId="5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49" fontId="11" fillId="0" borderId="3" xfId="5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2" fontId="31" fillId="0" borderId="0" xfId="0" applyNumberFormat="1" applyFont="1" applyFill="1" applyAlignment="1">
      <alignment horizontal="right" wrapText="1"/>
    </xf>
    <xf numFmtId="0" fontId="31" fillId="0" borderId="0" xfId="0" applyFont="1" applyFill="1" applyAlignment="1">
      <alignment horizontal="left" wrapText="1"/>
    </xf>
    <xf numFmtId="2" fontId="16" fillId="0" borderId="0" xfId="0" applyNumberFormat="1" applyFont="1" applyFill="1" applyAlignment="1">
      <alignment horizontal="right" vertical="top" wrapText="1"/>
    </xf>
    <xf numFmtId="2" fontId="0" fillId="0" borderId="0" xfId="0" applyNumberFormat="1" applyAlignment="1">
      <alignment horizontal="right" wrapText="1"/>
    </xf>
    <xf numFmtId="0" fontId="25" fillId="0" borderId="0" xfId="1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24" fillId="0" borderId="4" xfId="1" applyFont="1" applyFill="1" applyBorder="1" applyAlignment="1">
      <alignment horizontal="center" vertical="center" wrapText="1"/>
    </xf>
    <xf numFmtId="0" fontId="24" fillId="0" borderId="7" xfId="1" applyFont="1" applyFill="1" applyBorder="1" applyAlignment="1">
      <alignment horizontal="center" vertical="center" wrapText="1"/>
    </xf>
    <xf numFmtId="0" fontId="24" fillId="0" borderId="6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2" fontId="11" fillId="0" borderId="13" xfId="1" applyNumberFormat="1" applyFont="1" applyFill="1" applyBorder="1" applyAlignment="1">
      <alignment horizontal="center" vertical="center" wrapText="1"/>
    </xf>
    <xf numFmtId="2" fontId="31" fillId="0" borderId="14" xfId="0" applyNumberFormat="1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11" fillId="0" borderId="4" xfId="1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2" fontId="31" fillId="0" borderId="6" xfId="0" applyNumberFormat="1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 wrapText="1"/>
    </xf>
    <xf numFmtId="164" fontId="16" fillId="0" borderId="0" xfId="0" applyNumberFormat="1" applyFont="1" applyFill="1" applyAlignment="1">
      <alignment horizontal="right" wrapText="1"/>
    </xf>
    <xf numFmtId="164" fontId="0" fillId="0" borderId="0" xfId="0" applyNumberFormat="1" applyAlignment="1">
      <alignment horizontal="right" wrapText="1"/>
    </xf>
    <xf numFmtId="0" fontId="31" fillId="0" borderId="12" xfId="0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42" fillId="0" borderId="10" xfId="0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center" wrapText="1"/>
    </xf>
    <xf numFmtId="164" fontId="42" fillId="0" borderId="6" xfId="0" applyNumberFormat="1" applyFont="1" applyFill="1" applyBorder="1" applyAlignment="1">
      <alignment horizontal="center" vertical="center" wrapText="1"/>
    </xf>
    <xf numFmtId="49" fontId="11" fillId="0" borderId="2" xfId="5" applyNumberFormat="1" applyFont="1" applyFill="1" applyBorder="1" applyAlignment="1">
      <alignment horizontal="center"/>
    </xf>
    <xf numFmtId="0" fontId="9" fillId="0" borderId="0" xfId="85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7" fillId="0" borderId="0" xfId="85" applyFont="1" applyBorder="1" applyAlignment="1">
      <alignment horizontal="center" vertical="center" wrapText="1"/>
    </xf>
    <xf numFmtId="0" fontId="11" fillId="0" borderId="1" xfId="85" applyFont="1" applyBorder="1" applyAlignment="1">
      <alignment horizontal="center" vertical="center" wrapText="1"/>
    </xf>
    <xf numFmtId="0" fontId="13" fillId="0" borderId="0" xfId="0" applyFont="1" applyFill="1" applyAlignment="1">
      <alignment horizontal="right" wrapText="1"/>
    </xf>
    <xf numFmtId="0" fontId="9" fillId="0" borderId="0" xfId="146" applyFont="1" applyFill="1" applyBorder="1" applyAlignment="1">
      <alignment horizontal="right" wrapText="1"/>
    </xf>
    <xf numFmtId="0" fontId="27" fillId="0" borderId="0" xfId="146" applyFont="1" applyFill="1" applyBorder="1" applyAlignment="1">
      <alignment horizontal="center" vertical="center"/>
    </xf>
    <xf numFmtId="0" fontId="0" fillId="0" borderId="0" xfId="0" applyAlignment="1"/>
    <xf numFmtId="0" fontId="27" fillId="0" borderId="4" xfId="146" applyFont="1" applyFill="1" applyBorder="1" applyAlignment="1">
      <alignment horizontal="center" vertical="center" wrapText="1"/>
    </xf>
    <xf numFmtId="0" fontId="39" fillId="0" borderId="6" xfId="0" applyFont="1" applyBorder="1" applyAlignment="1">
      <alignment horizontal="center"/>
    </xf>
    <xf numFmtId="165" fontId="35" fillId="0" borderId="1" xfId="146" applyNumberFormat="1" applyFont="1" applyFill="1" applyBorder="1" applyAlignment="1">
      <alignment horizontal="center" vertical="center" wrapText="1"/>
    </xf>
    <xf numFmtId="0" fontId="25" fillId="0" borderId="17" xfId="147" applyFont="1" applyBorder="1" applyAlignment="1">
      <alignment horizontal="center" vertical="center" wrapText="1"/>
    </xf>
    <xf numFmtId="0" fontId="13" fillId="0" borderId="26" xfId="148" applyFont="1" applyBorder="1" applyAlignment="1">
      <alignment horizontal="center" vertical="center" wrapText="1"/>
    </xf>
    <xf numFmtId="1" fontId="25" fillId="0" borderId="18" xfId="147" applyNumberFormat="1" applyFont="1" applyBorder="1" applyAlignment="1">
      <alignment horizontal="center" vertical="center"/>
    </xf>
    <xf numFmtId="1" fontId="25" fillId="0" borderId="19" xfId="147" applyNumberFormat="1" applyFont="1" applyBorder="1" applyAlignment="1">
      <alignment horizontal="center" vertical="center"/>
    </xf>
    <xf numFmtId="1" fontId="25" fillId="0" borderId="20" xfId="147" applyNumberFormat="1" applyFont="1" applyBorder="1" applyAlignment="1">
      <alignment horizontal="center" vertical="center"/>
    </xf>
  </cellXfs>
  <cellStyles count="152">
    <cellStyle name="Excel Built-in Normal" xfId="11"/>
    <cellStyle name="Гиперссылка 2" xfId="12"/>
    <cellStyle name="Обычный" xfId="0" builtinId="0"/>
    <cellStyle name="Обычный 10" xfId="3"/>
    <cellStyle name="Обычный 11" xfId="13"/>
    <cellStyle name="Обычный 12" xfId="14"/>
    <cellStyle name="Обычный 13" xfId="15"/>
    <cellStyle name="Обычный 14" xfId="16"/>
    <cellStyle name="Обычный 15" xfId="17"/>
    <cellStyle name="Обычный 16" xfId="1"/>
    <cellStyle name="Обычный 17" xfId="18"/>
    <cellStyle name="Обычный 18" xfId="19"/>
    <cellStyle name="Обычный 18 2" xfId="2"/>
    <cellStyle name="Обычный 18 2 2" xfId="20"/>
    <cellStyle name="Обычный 18 2 2 2" xfId="6"/>
    <cellStyle name="Обычный 18 2 2 2 2" xfId="141"/>
    <cellStyle name="Обычный 18 2 3" xfId="142"/>
    <cellStyle name="Обычный 18 2 4" xfId="149"/>
    <cellStyle name="Обычный 18 2 4 2" xfId="151"/>
    <cellStyle name="Обычный 18 2 5" xfId="150"/>
    <cellStyle name="Обычный 18 3" xfId="21"/>
    <cellStyle name="Обычный 18 3 2" xfId="143"/>
    <cellStyle name="Обычный 18 3 3" xfId="144"/>
    <cellStyle name="Обычный 18 4" xfId="22"/>
    <cellStyle name="Обычный 19" xfId="23"/>
    <cellStyle name="Обычный 2" xfId="8"/>
    <cellStyle name="Обычный 2 10" xfId="24"/>
    <cellStyle name="Обычный 2 11" xfId="25"/>
    <cellStyle name="Обычный 2 12" xfId="26"/>
    <cellStyle name="Обычный 2 13" xfId="27"/>
    <cellStyle name="Обычный 2 14" xfId="28"/>
    <cellStyle name="Обычный 2 15" xfId="29"/>
    <cellStyle name="Обычный 2 16" xfId="30"/>
    <cellStyle name="Обычный 2 17" xfId="31"/>
    <cellStyle name="Обычный 2 18" xfId="32"/>
    <cellStyle name="Обычный 2 19" xfId="33"/>
    <cellStyle name="Обычный 2 2" xfId="34"/>
    <cellStyle name="Обычный 2 2 2" xfId="9"/>
    <cellStyle name="Обычный 2 20" xfId="35"/>
    <cellStyle name="Обычный 2 21" xfId="36"/>
    <cellStyle name="Обычный 2 22" xfId="37"/>
    <cellStyle name="Обычный 2 23" xfId="38"/>
    <cellStyle name="Обычный 2 24" xfId="39"/>
    <cellStyle name="Обычный 2 25" xfId="40"/>
    <cellStyle name="Обычный 2 26" xfId="41"/>
    <cellStyle name="Обычный 2 27" xfId="42"/>
    <cellStyle name="Обычный 2 28" xfId="43"/>
    <cellStyle name="Обычный 2 29" xfId="44"/>
    <cellStyle name="Обычный 2 3" xfId="45"/>
    <cellStyle name="Обычный 2 30" xfId="46"/>
    <cellStyle name="Обычный 2 31" xfId="47"/>
    <cellStyle name="Обычный 2 4" xfId="48"/>
    <cellStyle name="Обычный 2 5" xfId="49"/>
    <cellStyle name="Обычный 2 6" xfId="50"/>
    <cellStyle name="Обычный 2 7" xfId="51"/>
    <cellStyle name="Обычный 2 8" xfId="52"/>
    <cellStyle name="Обычный 2 9" xfId="53"/>
    <cellStyle name="Обычный 20" xfId="54"/>
    <cellStyle name="Обычный 21" xfId="55"/>
    <cellStyle name="Обычный 22" xfId="56"/>
    <cellStyle name="Обычный 23" xfId="57"/>
    <cellStyle name="Обычный 24" xfId="58"/>
    <cellStyle name="Обычный 3" xfId="59"/>
    <cellStyle name="Обычный 3 10" xfId="60"/>
    <cellStyle name="Обычный 3 11" xfId="61"/>
    <cellStyle name="Обычный 3 12" xfId="62"/>
    <cellStyle name="Обычный 3 13" xfId="63"/>
    <cellStyle name="Обычный 3 14" xfId="64"/>
    <cellStyle name="Обычный 3 15" xfId="65"/>
    <cellStyle name="Обычный 3 16" xfId="66"/>
    <cellStyle name="Обычный 3 17" xfId="67"/>
    <cellStyle name="Обычный 3 18" xfId="68"/>
    <cellStyle name="Обычный 3 19" xfId="69"/>
    <cellStyle name="Обычный 3 2" xfId="70"/>
    <cellStyle name="Обычный 3 2 2" xfId="71"/>
    <cellStyle name="Обычный 3 20" xfId="72"/>
    <cellStyle name="Обычный 3 21" xfId="73"/>
    <cellStyle name="Обычный 3 22" xfId="74"/>
    <cellStyle name="Обычный 3 23" xfId="75"/>
    <cellStyle name="Обычный 3 24" xfId="76"/>
    <cellStyle name="Обычный 3 25" xfId="77"/>
    <cellStyle name="Обычный 3 26" xfId="78"/>
    <cellStyle name="Обычный 3 27" xfId="79"/>
    <cellStyle name="Обычный 3 28" xfId="80"/>
    <cellStyle name="Обычный 3 29" xfId="81"/>
    <cellStyle name="Обычный 3 3" xfId="82"/>
    <cellStyle name="Обычный 3 30" xfId="83"/>
    <cellStyle name="Обычный 3 31" xfId="4"/>
    <cellStyle name="Обычный 3 32" xfId="84"/>
    <cellStyle name="Обычный 3 33" xfId="85"/>
    <cellStyle name="Обычный 3 34" xfId="140"/>
    <cellStyle name="Обычный 3 4" xfId="86"/>
    <cellStyle name="Обычный 3 5" xfId="87"/>
    <cellStyle name="Обычный 3 6" xfId="88"/>
    <cellStyle name="Обычный 3 7" xfId="89"/>
    <cellStyle name="Обычный 3 8" xfId="90"/>
    <cellStyle name="Обычный 3 9" xfId="91"/>
    <cellStyle name="Обычный 4" xfId="92"/>
    <cellStyle name="Обычный 4 10" xfId="93"/>
    <cellStyle name="Обычный 4 11" xfId="94"/>
    <cellStyle name="Обычный 4 12" xfId="95"/>
    <cellStyle name="Обычный 4 13" xfId="96"/>
    <cellStyle name="Обычный 4 14" xfId="97"/>
    <cellStyle name="Обычный 4 15" xfId="98"/>
    <cellStyle name="Обычный 4 16" xfId="99"/>
    <cellStyle name="Обычный 4 17" xfId="100"/>
    <cellStyle name="Обычный 4 18" xfId="101"/>
    <cellStyle name="Обычный 4 19" xfId="102"/>
    <cellStyle name="Обычный 4 2" xfId="103"/>
    <cellStyle name="Обычный 4 20" xfId="104"/>
    <cellStyle name="Обычный 4 21" xfId="105"/>
    <cellStyle name="Обычный 4 22" xfId="106"/>
    <cellStyle name="Обычный 4 23" xfId="107"/>
    <cellStyle name="Обычный 4 24" xfId="108"/>
    <cellStyle name="Обычный 4 25" xfId="109"/>
    <cellStyle name="Обычный 4 26" xfId="110"/>
    <cellStyle name="Обычный 4 27" xfId="111"/>
    <cellStyle name="Обычный 4 28" xfId="112"/>
    <cellStyle name="Обычный 4 29" xfId="113"/>
    <cellStyle name="Обычный 4 3" xfId="114"/>
    <cellStyle name="Обычный 4 30" xfId="115"/>
    <cellStyle name="Обычный 4 31" xfId="116"/>
    <cellStyle name="Обычный 4 4" xfId="117"/>
    <cellStyle name="Обычный 4 5" xfId="118"/>
    <cellStyle name="Обычный 4 6" xfId="119"/>
    <cellStyle name="Обычный 4 7" xfId="120"/>
    <cellStyle name="Обычный 4 8" xfId="121"/>
    <cellStyle name="Обычный 4 9" xfId="122"/>
    <cellStyle name="Обычный 5" xfId="123"/>
    <cellStyle name="Обычный 5 2" xfId="124"/>
    <cellStyle name="Обычный 5 3" xfId="125"/>
    <cellStyle name="Обычный 6" xfId="126"/>
    <cellStyle name="Обычный 7" xfId="127"/>
    <cellStyle name="Обычный 8" xfId="128"/>
    <cellStyle name="Обычный 9" xfId="129"/>
    <cellStyle name="Обычный_ПР 13 фин.помощь1" xfId="147"/>
    <cellStyle name="Обычный_Прил 22,23,24" xfId="146"/>
    <cellStyle name="Обычный_Прил 5,6,8,18" xfId="148"/>
    <cellStyle name="Обычный_прил 7,9-2009-2010 нов классиф." xfId="7"/>
    <cellStyle name="Обычный_прилож 8,10 -2008г." xfId="5"/>
    <cellStyle name="Процентный 2" xfId="130"/>
    <cellStyle name="Тысячи [0]_перечис.11" xfId="131"/>
    <cellStyle name="Тысячи_перечис.11" xfId="132"/>
    <cellStyle name="Финансовый" xfId="145" builtinId="3"/>
    <cellStyle name="Финансовый 13" xfId="133"/>
    <cellStyle name="Финансовый 2" xfId="134"/>
    <cellStyle name="Финансовый 3" xfId="135"/>
    <cellStyle name="Финансовый 3 2" xfId="10"/>
    <cellStyle name="Финансовый 3 3" xfId="136"/>
    <cellStyle name="Финансовый 4" xfId="137"/>
    <cellStyle name="Финансовый 5" xfId="138"/>
    <cellStyle name="Финансовый 9" xfId="1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3"/>
  <sheetViews>
    <sheetView view="pageBreakPreview" zoomScale="78" zoomScaleNormal="100" zoomScaleSheetLayoutView="78" workbookViewId="0">
      <selection activeCell="I3" sqref="I3:K3"/>
    </sheetView>
  </sheetViews>
  <sheetFormatPr defaultRowHeight="15.75" x14ac:dyDescent="0.25"/>
  <cols>
    <col min="1" max="1" width="33.140625" style="281" customWidth="1"/>
    <col min="2" max="2" width="69.7109375" style="280" customWidth="1"/>
    <col min="3" max="3" width="28.42578125" style="280" hidden="1" customWidth="1"/>
    <col min="4" max="4" width="24.42578125" style="280" hidden="1" customWidth="1"/>
    <col min="5" max="5" width="24.28515625" style="278" hidden="1" customWidth="1"/>
    <col min="6" max="6" width="20.28515625" style="279" hidden="1" customWidth="1"/>
    <col min="7" max="7" width="21.85546875" style="278" hidden="1" customWidth="1"/>
    <col min="8" max="8" width="20.140625" style="278" hidden="1" customWidth="1"/>
    <col min="9" max="9" width="21" style="278" bestFit="1" customWidth="1"/>
    <col min="10" max="10" width="22.5703125" style="278" customWidth="1"/>
    <col min="11" max="11" width="21.5703125" style="278" customWidth="1"/>
    <col min="12" max="13" width="18.42578125" style="278" bestFit="1" customWidth="1"/>
    <col min="14" max="250" width="9.140625" style="278"/>
    <col min="251" max="251" width="33.140625" style="278" customWidth="1"/>
    <col min="252" max="252" width="50.42578125" style="278" customWidth="1"/>
    <col min="253" max="253" width="0" style="278" hidden="1" customWidth="1"/>
    <col min="254" max="254" width="16.7109375" style="278" customWidth="1"/>
    <col min="255" max="255" width="19.85546875" style="278" customWidth="1"/>
    <col min="256" max="256" width="21.140625" style="278" customWidth="1"/>
    <col min="257" max="262" width="0" style="278" hidden="1" customWidth="1"/>
    <col min="263" max="263" width="14.85546875" style="278" bestFit="1" customWidth="1"/>
    <col min="264" max="264" width="16.28515625" style="278" customWidth="1"/>
    <col min="265" max="506" width="9.140625" style="278"/>
    <col min="507" max="507" width="33.140625" style="278" customWidth="1"/>
    <col min="508" max="508" width="50.42578125" style="278" customWidth="1"/>
    <col min="509" max="509" width="0" style="278" hidden="1" customWidth="1"/>
    <col min="510" max="510" width="16.7109375" style="278" customWidth="1"/>
    <col min="511" max="511" width="19.85546875" style="278" customWidth="1"/>
    <col min="512" max="512" width="21.140625" style="278" customWidth="1"/>
    <col min="513" max="518" width="0" style="278" hidden="1" customWidth="1"/>
    <col min="519" max="519" width="14.85546875" style="278" bestFit="1" customWidth="1"/>
    <col min="520" max="520" width="16.28515625" style="278" customWidth="1"/>
    <col min="521" max="762" width="9.140625" style="278"/>
    <col min="763" max="763" width="33.140625" style="278" customWidth="1"/>
    <col min="764" max="764" width="50.42578125" style="278" customWidth="1"/>
    <col min="765" max="765" width="0" style="278" hidden="1" customWidth="1"/>
    <col min="766" max="766" width="16.7109375" style="278" customWidth="1"/>
    <col min="767" max="767" width="19.85546875" style="278" customWidth="1"/>
    <col min="768" max="768" width="21.140625" style="278" customWidth="1"/>
    <col min="769" max="774" width="0" style="278" hidden="1" customWidth="1"/>
    <col min="775" max="775" width="14.85546875" style="278" bestFit="1" customWidth="1"/>
    <col min="776" max="776" width="16.28515625" style="278" customWidth="1"/>
    <col min="777" max="1018" width="9.140625" style="278"/>
    <col min="1019" max="1019" width="33.140625" style="278" customWidth="1"/>
    <col min="1020" max="1020" width="50.42578125" style="278" customWidth="1"/>
    <col min="1021" max="1021" width="0" style="278" hidden="1" customWidth="1"/>
    <col min="1022" max="1022" width="16.7109375" style="278" customWidth="1"/>
    <col min="1023" max="1023" width="19.85546875" style="278" customWidth="1"/>
    <col min="1024" max="1024" width="21.140625" style="278" customWidth="1"/>
    <col min="1025" max="1030" width="0" style="278" hidden="1" customWidth="1"/>
    <col min="1031" max="1031" width="14.85546875" style="278" bestFit="1" customWidth="1"/>
    <col min="1032" max="1032" width="16.28515625" style="278" customWidth="1"/>
    <col min="1033" max="1274" width="9.140625" style="278"/>
    <col min="1275" max="1275" width="33.140625" style="278" customWidth="1"/>
    <col min="1276" max="1276" width="50.42578125" style="278" customWidth="1"/>
    <col min="1277" max="1277" width="0" style="278" hidden="1" customWidth="1"/>
    <col min="1278" max="1278" width="16.7109375" style="278" customWidth="1"/>
    <col min="1279" max="1279" width="19.85546875" style="278" customWidth="1"/>
    <col min="1280" max="1280" width="21.140625" style="278" customWidth="1"/>
    <col min="1281" max="1286" width="0" style="278" hidden="1" customWidth="1"/>
    <col min="1287" max="1287" width="14.85546875" style="278" bestFit="1" customWidth="1"/>
    <col min="1288" max="1288" width="16.28515625" style="278" customWidth="1"/>
    <col min="1289" max="1530" width="9.140625" style="278"/>
    <col min="1531" max="1531" width="33.140625" style="278" customWidth="1"/>
    <col min="1532" max="1532" width="50.42578125" style="278" customWidth="1"/>
    <col min="1533" max="1533" width="0" style="278" hidden="1" customWidth="1"/>
    <col min="1534" max="1534" width="16.7109375" style="278" customWidth="1"/>
    <col min="1535" max="1535" width="19.85546875" style="278" customWidth="1"/>
    <col min="1536" max="1536" width="21.140625" style="278" customWidth="1"/>
    <col min="1537" max="1542" width="0" style="278" hidden="1" customWidth="1"/>
    <col min="1543" max="1543" width="14.85546875" style="278" bestFit="1" customWidth="1"/>
    <col min="1544" max="1544" width="16.28515625" style="278" customWidth="1"/>
    <col min="1545" max="1786" width="9.140625" style="278"/>
    <col min="1787" max="1787" width="33.140625" style="278" customWidth="1"/>
    <col min="1788" max="1788" width="50.42578125" style="278" customWidth="1"/>
    <col min="1789" max="1789" width="0" style="278" hidden="1" customWidth="1"/>
    <col min="1790" max="1790" width="16.7109375" style="278" customWidth="1"/>
    <col min="1791" max="1791" width="19.85546875" style="278" customWidth="1"/>
    <col min="1792" max="1792" width="21.140625" style="278" customWidth="1"/>
    <col min="1793" max="1798" width="0" style="278" hidden="1" customWidth="1"/>
    <col min="1799" max="1799" width="14.85546875" style="278" bestFit="1" customWidth="1"/>
    <col min="1800" max="1800" width="16.28515625" style="278" customWidth="1"/>
    <col min="1801" max="2042" width="9.140625" style="278"/>
    <col min="2043" max="2043" width="33.140625" style="278" customWidth="1"/>
    <col min="2044" max="2044" width="50.42578125" style="278" customWidth="1"/>
    <col min="2045" max="2045" width="0" style="278" hidden="1" customWidth="1"/>
    <col min="2046" max="2046" width="16.7109375" style="278" customWidth="1"/>
    <col min="2047" max="2047" width="19.85546875" style="278" customWidth="1"/>
    <col min="2048" max="2048" width="21.140625" style="278" customWidth="1"/>
    <col min="2049" max="2054" width="0" style="278" hidden="1" customWidth="1"/>
    <col min="2055" max="2055" width="14.85546875" style="278" bestFit="1" customWidth="1"/>
    <col min="2056" max="2056" width="16.28515625" style="278" customWidth="1"/>
    <col min="2057" max="2298" width="9.140625" style="278"/>
    <col min="2299" max="2299" width="33.140625" style="278" customWidth="1"/>
    <col min="2300" max="2300" width="50.42578125" style="278" customWidth="1"/>
    <col min="2301" max="2301" width="0" style="278" hidden="1" customWidth="1"/>
    <col min="2302" max="2302" width="16.7109375" style="278" customWidth="1"/>
    <col min="2303" max="2303" width="19.85546875" style="278" customWidth="1"/>
    <col min="2304" max="2304" width="21.140625" style="278" customWidth="1"/>
    <col min="2305" max="2310" width="0" style="278" hidden="1" customWidth="1"/>
    <col min="2311" max="2311" width="14.85546875" style="278" bestFit="1" customWidth="1"/>
    <col min="2312" max="2312" width="16.28515625" style="278" customWidth="1"/>
    <col min="2313" max="2554" width="9.140625" style="278"/>
    <col min="2555" max="2555" width="33.140625" style="278" customWidth="1"/>
    <col min="2556" max="2556" width="50.42578125" style="278" customWidth="1"/>
    <col min="2557" max="2557" width="0" style="278" hidden="1" customWidth="1"/>
    <col min="2558" max="2558" width="16.7109375" style="278" customWidth="1"/>
    <col min="2559" max="2559" width="19.85546875" style="278" customWidth="1"/>
    <col min="2560" max="2560" width="21.140625" style="278" customWidth="1"/>
    <col min="2561" max="2566" width="0" style="278" hidden="1" customWidth="1"/>
    <col min="2567" max="2567" width="14.85546875" style="278" bestFit="1" customWidth="1"/>
    <col min="2568" max="2568" width="16.28515625" style="278" customWidth="1"/>
    <col min="2569" max="2810" width="9.140625" style="278"/>
    <col min="2811" max="2811" width="33.140625" style="278" customWidth="1"/>
    <col min="2812" max="2812" width="50.42578125" style="278" customWidth="1"/>
    <col min="2813" max="2813" width="0" style="278" hidden="1" customWidth="1"/>
    <col min="2814" max="2814" width="16.7109375" style="278" customWidth="1"/>
    <col min="2815" max="2815" width="19.85546875" style="278" customWidth="1"/>
    <col min="2816" max="2816" width="21.140625" style="278" customWidth="1"/>
    <col min="2817" max="2822" width="0" style="278" hidden="1" customWidth="1"/>
    <col min="2823" max="2823" width="14.85546875" style="278" bestFit="1" customWidth="1"/>
    <col min="2824" max="2824" width="16.28515625" style="278" customWidth="1"/>
    <col min="2825" max="3066" width="9.140625" style="278"/>
    <col min="3067" max="3067" width="33.140625" style="278" customWidth="1"/>
    <col min="3068" max="3068" width="50.42578125" style="278" customWidth="1"/>
    <col min="3069" max="3069" width="0" style="278" hidden="1" customWidth="1"/>
    <col min="3070" max="3070" width="16.7109375" style="278" customWidth="1"/>
    <col min="3071" max="3071" width="19.85546875" style="278" customWidth="1"/>
    <col min="3072" max="3072" width="21.140625" style="278" customWidth="1"/>
    <col min="3073" max="3078" width="0" style="278" hidden="1" customWidth="1"/>
    <col min="3079" max="3079" width="14.85546875" style="278" bestFit="1" customWidth="1"/>
    <col min="3080" max="3080" width="16.28515625" style="278" customWidth="1"/>
    <col min="3081" max="3322" width="9.140625" style="278"/>
    <col min="3323" max="3323" width="33.140625" style="278" customWidth="1"/>
    <col min="3324" max="3324" width="50.42578125" style="278" customWidth="1"/>
    <col min="3325" max="3325" width="0" style="278" hidden="1" customWidth="1"/>
    <col min="3326" max="3326" width="16.7109375" style="278" customWidth="1"/>
    <col min="3327" max="3327" width="19.85546875" style="278" customWidth="1"/>
    <col min="3328" max="3328" width="21.140625" style="278" customWidth="1"/>
    <col min="3329" max="3334" width="0" style="278" hidden="1" customWidth="1"/>
    <col min="3335" max="3335" width="14.85546875" style="278" bestFit="1" customWidth="1"/>
    <col min="3336" max="3336" width="16.28515625" style="278" customWidth="1"/>
    <col min="3337" max="3578" width="9.140625" style="278"/>
    <col min="3579" max="3579" width="33.140625" style="278" customWidth="1"/>
    <col min="3580" max="3580" width="50.42578125" style="278" customWidth="1"/>
    <col min="3581" max="3581" width="0" style="278" hidden="1" customWidth="1"/>
    <col min="3582" max="3582" width="16.7109375" style="278" customWidth="1"/>
    <col min="3583" max="3583" width="19.85546875" style="278" customWidth="1"/>
    <col min="3584" max="3584" width="21.140625" style="278" customWidth="1"/>
    <col min="3585" max="3590" width="0" style="278" hidden="1" customWidth="1"/>
    <col min="3591" max="3591" width="14.85546875" style="278" bestFit="1" customWidth="1"/>
    <col min="3592" max="3592" width="16.28515625" style="278" customWidth="1"/>
    <col min="3593" max="3834" width="9.140625" style="278"/>
    <col min="3835" max="3835" width="33.140625" style="278" customWidth="1"/>
    <col min="3836" max="3836" width="50.42578125" style="278" customWidth="1"/>
    <col min="3837" max="3837" width="0" style="278" hidden="1" customWidth="1"/>
    <col min="3838" max="3838" width="16.7109375" style="278" customWidth="1"/>
    <col min="3839" max="3839" width="19.85546875" style="278" customWidth="1"/>
    <col min="3840" max="3840" width="21.140625" style="278" customWidth="1"/>
    <col min="3841" max="3846" width="0" style="278" hidden="1" customWidth="1"/>
    <col min="3847" max="3847" width="14.85546875" style="278" bestFit="1" customWidth="1"/>
    <col min="3848" max="3848" width="16.28515625" style="278" customWidth="1"/>
    <col min="3849" max="4090" width="9.140625" style="278"/>
    <col min="4091" max="4091" width="33.140625" style="278" customWidth="1"/>
    <col min="4092" max="4092" width="50.42578125" style="278" customWidth="1"/>
    <col min="4093" max="4093" width="0" style="278" hidden="1" customWidth="1"/>
    <col min="4094" max="4094" width="16.7109375" style="278" customWidth="1"/>
    <col min="4095" max="4095" width="19.85546875" style="278" customWidth="1"/>
    <col min="4096" max="4096" width="21.140625" style="278" customWidth="1"/>
    <col min="4097" max="4102" width="0" style="278" hidden="1" customWidth="1"/>
    <col min="4103" max="4103" width="14.85546875" style="278" bestFit="1" customWidth="1"/>
    <col min="4104" max="4104" width="16.28515625" style="278" customWidth="1"/>
    <col min="4105" max="4346" width="9.140625" style="278"/>
    <col min="4347" max="4347" width="33.140625" style="278" customWidth="1"/>
    <col min="4348" max="4348" width="50.42578125" style="278" customWidth="1"/>
    <col min="4349" max="4349" width="0" style="278" hidden="1" customWidth="1"/>
    <col min="4350" max="4350" width="16.7109375" style="278" customWidth="1"/>
    <col min="4351" max="4351" width="19.85546875" style="278" customWidth="1"/>
    <col min="4352" max="4352" width="21.140625" style="278" customWidth="1"/>
    <col min="4353" max="4358" width="0" style="278" hidden="1" customWidth="1"/>
    <col min="4359" max="4359" width="14.85546875" style="278" bestFit="1" customWidth="1"/>
    <col min="4360" max="4360" width="16.28515625" style="278" customWidth="1"/>
    <col min="4361" max="4602" width="9.140625" style="278"/>
    <col min="4603" max="4603" width="33.140625" style="278" customWidth="1"/>
    <col min="4604" max="4604" width="50.42578125" style="278" customWidth="1"/>
    <col min="4605" max="4605" width="0" style="278" hidden="1" customWidth="1"/>
    <col min="4606" max="4606" width="16.7109375" style="278" customWidth="1"/>
    <col min="4607" max="4607" width="19.85546875" style="278" customWidth="1"/>
    <col min="4608" max="4608" width="21.140625" style="278" customWidth="1"/>
    <col min="4609" max="4614" width="0" style="278" hidden="1" customWidth="1"/>
    <col min="4615" max="4615" width="14.85546875" style="278" bestFit="1" customWidth="1"/>
    <col min="4616" max="4616" width="16.28515625" style="278" customWidth="1"/>
    <col min="4617" max="4858" width="9.140625" style="278"/>
    <col min="4859" max="4859" width="33.140625" style="278" customWidth="1"/>
    <col min="4860" max="4860" width="50.42578125" style="278" customWidth="1"/>
    <col min="4861" max="4861" width="0" style="278" hidden="1" customWidth="1"/>
    <col min="4862" max="4862" width="16.7109375" style="278" customWidth="1"/>
    <col min="4863" max="4863" width="19.85546875" style="278" customWidth="1"/>
    <col min="4864" max="4864" width="21.140625" style="278" customWidth="1"/>
    <col min="4865" max="4870" width="0" style="278" hidden="1" customWidth="1"/>
    <col min="4871" max="4871" width="14.85546875" style="278" bestFit="1" customWidth="1"/>
    <col min="4872" max="4872" width="16.28515625" style="278" customWidth="1"/>
    <col min="4873" max="5114" width="9.140625" style="278"/>
    <col min="5115" max="5115" width="33.140625" style="278" customWidth="1"/>
    <col min="5116" max="5116" width="50.42578125" style="278" customWidth="1"/>
    <col min="5117" max="5117" width="0" style="278" hidden="1" customWidth="1"/>
    <col min="5118" max="5118" width="16.7109375" style="278" customWidth="1"/>
    <col min="5119" max="5119" width="19.85546875" style="278" customWidth="1"/>
    <col min="5120" max="5120" width="21.140625" style="278" customWidth="1"/>
    <col min="5121" max="5126" width="0" style="278" hidden="1" customWidth="1"/>
    <col min="5127" max="5127" width="14.85546875" style="278" bestFit="1" customWidth="1"/>
    <col min="5128" max="5128" width="16.28515625" style="278" customWidth="1"/>
    <col min="5129" max="5370" width="9.140625" style="278"/>
    <col min="5371" max="5371" width="33.140625" style="278" customWidth="1"/>
    <col min="5372" max="5372" width="50.42578125" style="278" customWidth="1"/>
    <col min="5373" max="5373" width="0" style="278" hidden="1" customWidth="1"/>
    <col min="5374" max="5374" width="16.7109375" style="278" customWidth="1"/>
    <col min="5375" max="5375" width="19.85546875" style="278" customWidth="1"/>
    <col min="5376" max="5376" width="21.140625" style="278" customWidth="1"/>
    <col min="5377" max="5382" width="0" style="278" hidden="1" customWidth="1"/>
    <col min="5383" max="5383" width="14.85546875" style="278" bestFit="1" customWidth="1"/>
    <col min="5384" max="5384" width="16.28515625" style="278" customWidth="1"/>
    <col min="5385" max="5626" width="9.140625" style="278"/>
    <col min="5627" max="5627" width="33.140625" style="278" customWidth="1"/>
    <col min="5628" max="5628" width="50.42578125" style="278" customWidth="1"/>
    <col min="5629" max="5629" width="0" style="278" hidden="1" customWidth="1"/>
    <col min="5630" max="5630" width="16.7109375" style="278" customWidth="1"/>
    <col min="5631" max="5631" width="19.85546875" style="278" customWidth="1"/>
    <col min="5632" max="5632" width="21.140625" style="278" customWidth="1"/>
    <col min="5633" max="5638" width="0" style="278" hidden="1" customWidth="1"/>
    <col min="5639" max="5639" width="14.85546875" style="278" bestFit="1" customWidth="1"/>
    <col min="5640" max="5640" width="16.28515625" style="278" customWidth="1"/>
    <col min="5641" max="5882" width="9.140625" style="278"/>
    <col min="5883" max="5883" width="33.140625" style="278" customWidth="1"/>
    <col min="5884" max="5884" width="50.42578125" style="278" customWidth="1"/>
    <col min="5885" max="5885" width="0" style="278" hidden="1" customWidth="1"/>
    <col min="5886" max="5886" width="16.7109375" style="278" customWidth="1"/>
    <col min="5887" max="5887" width="19.85546875" style="278" customWidth="1"/>
    <col min="5888" max="5888" width="21.140625" style="278" customWidth="1"/>
    <col min="5889" max="5894" width="0" style="278" hidden="1" customWidth="1"/>
    <col min="5895" max="5895" width="14.85546875" style="278" bestFit="1" customWidth="1"/>
    <col min="5896" max="5896" width="16.28515625" style="278" customWidth="1"/>
    <col min="5897" max="6138" width="9.140625" style="278"/>
    <col min="6139" max="6139" width="33.140625" style="278" customWidth="1"/>
    <col min="6140" max="6140" width="50.42578125" style="278" customWidth="1"/>
    <col min="6141" max="6141" width="0" style="278" hidden="1" customWidth="1"/>
    <col min="6142" max="6142" width="16.7109375" style="278" customWidth="1"/>
    <col min="6143" max="6143" width="19.85546875" style="278" customWidth="1"/>
    <col min="6144" max="6144" width="21.140625" style="278" customWidth="1"/>
    <col min="6145" max="6150" width="0" style="278" hidden="1" customWidth="1"/>
    <col min="6151" max="6151" width="14.85546875" style="278" bestFit="1" customWidth="1"/>
    <col min="6152" max="6152" width="16.28515625" style="278" customWidth="1"/>
    <col min="6153" max="6394" width="9.140625" style="278"/>
    <col min="6395" max="6395" width="33.140625" style="278" customWidth="1"/>
    <col min="6396" max="6396" width="50.42578125" style="278" customWidth="1"/>
    <col min="6397" max="6397" width="0" style="278" hidden="1" customWidth="1"/>
    <col min="6398" max="6398" width="16.7109375" style="278" customWidth="1"/>
    <col min="6399" max="6399" width="19.85546875" style="278" customWidth="1"/>
    <col min="6400" max="6400" width="21.140625" style="278" customWidth="1"/>
    <col min="6401" max="6406" width="0" style="278" hidden="1" customWidth="1"/>
    <col min="6407" max="6407" width="14.85546875" style="278" bestFit="1" customWidth="1"/>
    <col min="6408" max="6408" width="16.28515625" style="278" customWidth="1"/>
    <col min="6409" max="6650" width="9.140625" style="278"/>
    <col min="6651" max="6651" width="33.140625" style="278" customWidth="1"/>
    <col min="6652" max="6652" width="50.42578125" style="278" customWidth="1"/>
    <col min="6653" max="6653" width="0" style="278" hidden="1" customWidth="1"/>
    <col min="6654" max="6654" width="16.7109375" style="278" customWidth="1"/>
    <col min="6655" max="6655" width="19.85546875" style="278" customWidth="1"/>
    <col min="6656" max="6656" width="21.140625" style="278" customWidth="1"/>
    <col min="6657" max="6662" width="0" style="278" hidden="1" customWidth="1"/>
    <col min="6663" max="6663" width="14.85546875" style="278" bestFit="1" customWidth="1"/>
    <col min="6664" max="6664" width="16.28515625" style="278" customWidth="1"/>
    <col min="6665" max="6906" width="9.140625" style="278"/>
    <col min="6907" max="6907" width="33.140625" style="278" customWidth="1"/>
    <col min="6908" max="6908" width="50.42578125" style="278" customWidth="1"/>
    <col min="6909" max="6909" width="0" style="278" hidden="1" customWidth="1"/>
    <col min="6910" max="6910" width="16.7109375" style="278" customWidth="1"/>
    <col min="6911" max="6911" width="19.85546875" style="278" customWidth="1"/>
    <col min="6912" max="6912" width="21.140625" style="278" customWidth="1"/>
    <col min="6913" max="6918" width="0" style="278" hidden="1" customWidth="1"/>
    <col min="6919" max="6919" width="14.85546875" style="278" bestFit="1" customWidth="1"/>
    <col min="6920" max="6920" width="16.28515625" style="278" customWidth="1"/>
    <col min="6921" max="7162" width="9.140625" style="278"/>
    <col min="7163" max="7163" width="33.140625" style="278" customWidth="1"/>
    <col min="7164" max="7164" width="50.42578125" style="278" customWidth="1"/>
    <col min="7165" max="7165" width="0" style="278" hidden="1" customWidth="1"/>
    <col min="7166" max="7166" width="16.7109375" style="278" customWidth="1"/>
    <col min="7167" max="7167" width="19.85546875" style="278" customWidth="1"/>
    <col min="7168" max="7168" width="21.140625" style="278" customWidth="1"/>
    <col min="7169" max="7174" width="0" style="278" hidden="1" customWidth="1"/>
    <col min="7175" max="7175" width="14.85546875" style="278" bestFit="1" customWidth="1"/>
    <col min="7176" max="7176" width="16.28515625" style="278" customWidth="1"/>
    <col min="7177" max="7418" width="9.140625" style="278"/>
    <col min="7419" max="7419" width="33.140625" style="278" customWidth="1"/>
    <col min="7420" max="7420" width="50.42578125" style="278" customWidth="1"/>
    <col min="7421" max="7421" width="0" style="278" hidden="1" customWidth="1"/>
    <col min="7422" max="7422" width="16.7109375" style="278" customWidth="1"/>
    <col min="7423" max="7423" width="19.85546875" style="278" customWidth="1"/>
    <col min="7424" max="7424" width="21.140625" style="278" customWidth="1"/>
    <col min="7425" max="7430" width="0" style="278" hidden="1" customWidth="1"/>
    <col min="7431" max="7431" width="14.85546875" style="278" bestFit="1" customWidth="1"/>
    <col min="7432" max="7432" width="16.28515625" style="278" customWidth="1"/>
    <col min="7433" max="7674" width="9.140625" style="278"/>
    <col min="7675" max="7675" width="33.140625" style="278" customWidth="1"/>
    <col min="7676" max="7676" width="50.42578125" style="278" customWidth="1"/>
    <col min="7677" max="7677" width="0" style="278" hidden="1" customWidth="1"/>
    <col min="7678" max="7678" width="16.7109375" style="278" customWidth="1"/>
    <col min="7679" max="7679" width="19.85546875" style="278" customWidth="1"/>
    <col min="7680" max="7680" width="21.140625" style="278" customWidth="1"/>
    <col min="7681" max="7686" width="0" style="278" hidden="1" customWidth="1"/>
    <col min="7687" max="7687" width="14.85546875" style="278" bestFit="1" customWidth="1"/>
    <col min="7688" max="7688" width="16.28515625" style="278" customWidth="1"/>
    <col min="7689" max="7930" width="9.140625" style="278"/>
    <col min="7931" max="7931" width="33.140625" style="278" customWidth="1"/>
    <col min="7932" max="7932" width="50.42578125" style="278" customWidth="1"/>
    <col min="7933" max="7933" width="0" style="278" hidden="1" customWidth="1"/>
    <col min="7934" max="7934" width="16.7109375" style="278" customWidth="1"/>
    <col min="7935" max="7935" width="19.85546875" style="278" customWidth="1"/>
    <col min="7936" max="7936" width="21.140625" style="278" customWidth="1"/>
    <col min="7937" max="7942" width="0" style="278" hidden="1" customWidth="1"/>
    <col min="7943" max="7943" width="14.85546875" style="278" bestFit="1" customWidth="1"/>
    <col min="7944" max="7944" width="16.28515625" style="278" customWidth="1"/>
    <col min="7945" max="8186" width="9.140625" style="278"/>
    <col min="8187" max="8187" width="33.140625" style="278" customWidth="1"/>
    <col min="8188" max="8188" width="50.42578125" style="278" customWidth="1"/>
    <col min="8189" max="8189" width="0" style="278" hidden="1" customWidth="1"/>
    <col min="8190" max="8190" width="16.7109375" style="278" customWidth="1"/>
    <col min="8191" max="8191" width="19.85546875" style="278" customWidth="1"/>
    <col min="8192" max="8192" width="21.140625" style="278" customWidth="1"/>
    <col min="8193" max="8198" width="0" style="278" hidden="1" customWidth="1"/>
    <col min="8199" max="8199" width="14.85546875" style="278" bestFit="1" customWidth="1"/>
    <col min="8200" max="8200" width="16.28515625" style="278" customWidth="1"/>
    <col min="8201" max="8442" width="9.140625" style="278"/>
    <col min="8443" max="8443" width="33.140625" style="278" customWidth="1"/>
    <col min="8444" max="8444" width="50.42578125" style="278" customWidth="1"/>
    <col min="8445" max="8445" width="0" style="278" hidden="1" customWidth="1"/>
    <col min="8446" max="8446" width="16.7109375" style="278" customWidth="1"/>
    <col min="8447" max="8447" width="19.85546875" style="278" customWidth="1"/>
    <col min="8448" max="8448" width="21.140625" style="278" customWidth="1"/>
    <col min="8449" max="8454" width="0" style="278" hidden="1" customWidth="1"/>
    <col min="8455" max="8455" width="14.85546875" style="278" bestFit="1" customWidth="1"/>
    <col min="8456" max="8456" width="16.28515625" style="278" customWidth="1"/>
    <col min="8457" max="8698" width="9.140625" style="278"/>
    <col min="8699" max="8699" width="33.140625" style="278" customWidth="1"/>
    <col min="8700" max="8700" width="50.42578125" style="278" customWidth="1"/>
    <col min="8701" max="8701" width="0" style="278" hidden="1" customWidth="1"/>
    <col min="8702" max="8702" width="16.7109375" style="278" customWidth="1"/>
    <col min="8703" max="8703" width="19.85546875" style="278" customWidth="1"/>
    <col min="8704" max="8704" width="21.140625" style="278" customWidth="1"/>
    <col min="8705" max="8710" width="0" style="278" hidden="1" customWidth="1"/>
    <col min="8711" max="8711" width="14.85546875" style="278" bestFit="1" customWidth="1"/>
    <col min="8712" max="8712" width="16.28515625" style="278" customWidth="1"/>
    <col min="8713" max="8954" width="9.140625" style="278"/>
    <col min="8955" max="8955" width="33.140625" style="278" customWidth="1"/>
    <col min="8956" max="8956" width="50.42578125" style="278" customWidth="1"/>
    <col min="8957" max="8957" width="0" style="278" hidden="1" customWidth="1"/>
    <col min="8958" max="8958" width="16.7109375" style="278" customWidth="1"/>
    <col min="8959" max="8959" width="19.85546875" style="278" customWidth="1"/>
    <col min="8960" max="8960" width="21.140625" style="278" customWidth="1"/>
    <col min="8961" max="8966" width="0" style="278" hidden="1" customWidth="1"/>
    <col min="8967" max="8967" width="14.85546875" style="278" bestFit="1" customWidth="1"/>
    <col min="8968" max="8968" width="16.28515625" style="278" customWidth="1"/>
    <col min="8969" max="9210" width="9.140625" style="278"/>
    <col min="9211" max="9211" width="33.140625" style="278" customWidth="1"/>
    <col min="9212" max="9212" width="50.42578125" style="278" customWidth="1"/>
    <col min="9213" max="9213" width="0" style="278" hidden="1" customWidth="1"/>
    <col min="9214" max="9214" width="16.7109375" style="278" customWidth="1"/>
    <col min="9215" max="9215" width="19.85546875" style="278" customWidth="1"/>
    <col min="9216" max="9216" width="21.140625" style="278" customWidth="1"/>
    <col min="9217" max="9222" width="0" style="278" hidden="1" customWidth="1"/>
    <col min="9223" max="9223" width="14.85546875" style="278" bestFit="1" customWidth="1"/>
    <col min="9224" max="9224" width="16.28515625" style="278" customWidth="1"/>
    <col min="9225" max="9466" width="9.140625" style="278"/>
    <col min="9467" max="9467" width="33.140625" style="278" customWidth="1"/>
    <col min="9468" max="9468" width="50.42578125" style="278" customWidth="1"/>
    <col min="9469" max="9469" width="0" style="278" hidden="1" customWidth="1"/>
    <col min="9470" max="9470" width="16.7109375" style="278" customWidth="1"/>
    <col min="9471" max="9471" width="19.85546875" style="278" customWidth="1"/>
    <col min="9472" max="9472" width="21.140625" style="278" customWidth="1"/>
    <col min="9473" max="9478" width="0" style="278" hidden="1" customWidth="1"/>
    <col min="9479" max="9479" width="14.85546875" style="278" bestFit="1" customWidth="1"/>
    <col min="9480" max="9480" width="16.28515625" style="278" customWidth="1"/>
    <col min="9481" max="9722" width="9.140625" style="278"/>
    <col min="9723" max="9723" width="33.140625" style="278" customWidth="1"/>
    <col min="9724" max="9724" width="50.42578125" style="278" customWidth="1"/>
    <col min="9725" max="9725" width="0" style="278" hidden="1" customWidth="1"/>
    <col min="9726" max="9726" width="16.7109375" style="278" customWidth="1"/>
    <col min="9727" max="9727" width="19.85546875" style="278" customWidth="1"/>
    <col min="9728" max="9728" width="21.140625" style="278" customWidth="1"/>
    <col min="9729" max="9734" width="0" style="278" hidden="1" customWidth="1"/>
    <col min="9735" max="9735" width="14.85546875" style="278" bestFit="1" customWidth="1"/>
    <col min="9736" max="9736" width="16.28515625" style="278" customWidth="1"/>
    <col min="9737" max="9978" width="9.140625" style="278"/>
    <col min="9979" max="9979" width="33.140625" style="278" customWidth="1"/>
    <col min="9980" max="9980" width="50.42578125" style="278" customWidth="1"/>
    <col min="9981" max="9981" width="0" style="278" hidden="1" customWidth="1"/>
    <col min="9982" max="9982" width="16.7109375" style="278" customWidth="1"/>
    <col min="9983" max="9983" width="19.85546875" style="278" customWidth="1"/>
    <col min="9984" max="9984" width="21.140625" style="278" customWidth="1"/>
    <col min="9985" max="9990" width="0" style="278" hidden="1" customWidth="1"/>
    <col min="9991" max="9991" width="14.85546875" style="278" bestFit="1" customWidth="1"/>
    <col min="9992" max="9992" width="16.28515625" style="278" customWidth="1"/>
    <col min="9993" max="10234" width="9.140625" style="278"/>
    <col min="10235" max="10235" width="33.140625" style="278" customWidth="1"/>
    <col min="10236" max="10236" width="50.42578125" style="278" customWidth="1"/>
    <col min="10237" max="10237" width="0" style="278" hidden="1" customWidth="1"/>
    <col min="10238" max="10238" width="16.7109375" style="278" customWidth="1"/>
    <col min="10239" max="10239" width="19.85546875" style="278" customWidth="1"/>
    <col min="10240" max="10240" width="21.140625" style="278" customWidth="1"/>
    <col min="10241" max="10246" width="0" style="278" hidden="1" customWidth="1"/>
    <col min="10247" max="10247" width="14.85546875" style="278" bestFit="1" customWidth="1"/>
    <col min="10248" max="10248" width="16.28515625" style="278" customWidth="1"/>
    <col min="10249" max="10490" width="9.140625" style="278"/>
    <col min="10491" max="10491" width="33.140625" style="278" customWidth="1"/>
    <col min="10492" max="10492" width="50.42578125" style="278" customWidth="1"/>
    <col min="10493" max="10493" width="0" style="278" hidden="1" customWidth="1"/>
    <col min="10494" max="10494" width="16.7109375" style="278" customWidth="1"/>
    <col min="10495" max="10495" width="19.85546875" style="278" customWidth="1"/>
    <col min="10496" max="10496" width="21.140625" style="278" customWidth="1"/>
    <col min="10497" max="10502" width="0" style="278" hidden="1" customWidth="1"/>
    <col min="10503" max="10503" width="14.85546875" style="278" bestFit="1" customWidth="1"/>
    <col min="10504" max="10504" width="16.28515625" style="278" customWidth="1"/>
    <col min="10505" max="10746" width="9.140625" style="278"/>
    <col min="10747" max="10747" width="33.140625" style="278" customWidth="1"/>
    <col min="10748" max="10748" width="50.42578125" style="278" customWidth="1"/>
    <col min="10749" max="10749" width="0" style="278" hidden="1" customWidth="1"/>
    <col min="10750" max="10750" width="16.7109375" style="278" customWidth="1"/>
    <col min="10751" max="10751" width="19.85546875" style="278" customWidth="1"/>
    <col min="10752" max="10752" width="21.140625" style="278" customWidth="1"/>
    <col min="10753" max="10758" width="0" style="278" hidden="1" customWidth="1"/>
    <col min="10759" max="10759" width="14.85546875" style="278" bestFit="1" customWidth="1"/>
    <col min="10760" max="10760" width="16.28515625" style="278" customWidth="1"/>
    <col min="10761" max="11002" width="9.140625" style="278"/>
    <col min="11003" max="11003" width="33.140625" style="278" customWidth="1"/>
    <col min="11004" max="11004" width="50.42578125" style="278" customWidth="1"/>
    <col min="11005" max="11005" width="0" style="278" hidden="1" customWidth="1"/>
    <col min="11006" max="11006" width="16.7109375" style="278" customWidth="1"/>
    <col min="11007" max="11007" width="19.85546875" style="278" customWidth="1"/>
    <col min="11008" max="11008" width="21.140625" style="278" customWidth="1"/>
    <col min="11009" max="11014" width="0" style="278" hidden="1" customWidth="1"/>
    <col min="11015" max="11015" width="14.85546875" style="278" bestFit="1" customWidth="1"/>
    <col min="11016" max="11016" width="16.28515625" style="278" customWidth="1"/>
    <col min="11017" max="11258" width="9.140625" style="278"/>
    <col min="11259" max="11259" width="33.140625" style="278" customWidth="1"/>
    <col min="11260" max="11260" width="50.42578125" style="278" customWidth="1"/>
    <col min="11261" max="11261" width="0" style="278" hidden="1" customWidth="1"/>
    <col min="11262" max="11262" width="16.7109375" style="278" customWidth="1"/>
    <col min="11263" max="11263" width="19.85546875" style="278" customWidth="1"/>
    <col min="11264" max="11264" width="21.140625" style="278" customWidth="1"/>
    <col min="11265" max="11270" width="0" style="278" hidden="1" customWidth="1"/>
    <col min="11271" max="11271" width="14.85546875" style="278" bestFit="1" customWidth="1"/>
    <col min="11272" max="11272" width="16.28515625" style="278" customWidth="1"/>
    <col min="11273" max="11514" width="9.140625" style="278"/>
    <col min="11515" max="11515" width="33.140625" style="278" customWidth="1"/>
    <col min="11516" max="11516" width="50.42578125" style="278" customWidth="1"/>
    <col min="11517" max="11517" width="0" style="278" hidden="1" customWidth="1"/>
    <col min="11518" max="11518" width="16.7109375" style="278" customWidth="1"/>
    <col min="11519" max="11519" width="19.85546875" style="278" customWidth="1"/>
    <col min="11520" max="11520" width="21.140625" style="278" customWidth="1"/>
    <col min="11521" max="11526" width="0" style="278" hidden="1" customWidth="1"/>
    <col min="11527" max="11527" width="14.85546875" style="278" bestFit="1" customWidth="1"/>
    <col min="11528" max="11528" width="16.28515625" style="278" customWidth="1"/>
    <col min="11529" max="11770" width="9.140625" style="278"/>
    <col min="11771" max="11771" width="33.140625" style="278" customWidth="1"/>
    <col min="11772" max="11772" width="50.42578125" style="278" customWidth="1"/>
    <col min="11773" max="11773" width="0" style="278" hidden="1" customWidth="1"/>
    <col min="11774" max="11774" width="16.7109375" style="278" customWidth="1"/>
    <col min="11775" max="11775" width="19.85546875" style="278" customWidth="1"/>
    <col min="11776" max="11776" width="21.140625" style="278" customWidth="1"/>
    <col min="11777" max="11782" width="0" style="278" hidden="1" customWidth="1"/>
    <col min="11783" max="11783" width="14.85546875" style="278" bestFit="1" customWidth="1"/>
    <col min="11784" max="11784" width="16.28515625" style="278" customWidth="1"/>
    <col min="11785" max="12026" width="9.140625" style="278"/>
    <col min="12027" max="12027" width="33.140625" style="278" customWidth="1"/>
    <col min="12028" max="12028" width="50.42578125" style="278" customWidth="1"/>
    <col min="12029" max="12029" width="0" style="278" hidden="1" customWidth="1"/>
    <col min="12030" max="12030" width="16.7109375" style="278" customWidth="1"/>
    <col min="12031" max="12031" width="19.85546875" style="278" customWidth="1"/>
    <col min="12032" max="12032" width="21.140625" style="278" customWidth="1"/>
    <col min="12033" max="12038" width="0" style="278" hidden="1" customWidth="1"/>
    <col min="12039" max="12039" width="14.85546875" style="278" bestFit="1" customWidth="1"/>
    <col min="12040" max="12040" width="16.28515625" style="278" customWidth="1"/>
    <col min="12041" max="12282" width="9.140625" style="278"/>
    <col min="12283" max="12283" width="33.140625" style="278" customWidth="1"/>
    <col min="12284" max="12284" width="50.42578125" style="278" customWidth="1"/>
    <col min="12285" max="12285" width="0" style="278" hidden="1" customWidth="1"/>
    <col min="12286" max="12286" width="16.7109375" style="278" customWidth="1"/>
    <col min="12287" max="12287" width="19.85546875" style="278" customWidth="1"/>
    <col min="12288" max="12288" width="21.140625" style="278" customWidth="1"/>
    <col min="12289" max="12294" width="0" style="278" hidden="1" customWidth="1"/>
    <col min="12295" max="12295" width="14.85546875" style="278" bestFit="1" customWidth="1"/>
    <col min="12296" max="12296" width="16.28515625" style="278" customWidth="1"/>
    <col min="12297" max="12538" width="9.140625" style="278"/>
    <col min="12539" max="12539" width="33.140625" style="278" customWidth="1"/>
    <col min="12540" max="12540" width="50.42578125" style="278" customWidth="1"/>
    <col min="12541" max="12541" width="0" style="278" hidden="1" customWidth="1"/>
    <col min="12542" max="12542" width="16.7109375" style="278" customWidth="1"/>
    <col min="12543" max="12543" width="19.85546875" style="278" customWidth="1"/>
    <col min="12544" max="12544" width="21.140625" style="278" customWidth="1"/>
    <col min="12545" max="12550" width="0" style="278" hidden="1" customWidth="1"/>
    <col min="12551" max="12551" width="14.85546875" style="278" bestFit="1" customWidth="1"/>
    <col min="12552" max="12552" width="16.28515625" style="278" customWidth="1"/>
    <col min="12553" max="12794" width="9.140625" style="278"/>
    <col min="12795" max="12795" width="33.140625" style="278" customWidth="1"/>
    <col min="12796" max="12796" width="50.42578125" style="278" customWidth="1"/>
    <col min="12797" max="12797" width="0" style="278" hidden="1" customWidth="1"/>
    <col min="12798" max="12798" width="16.7109375" style="278" customWidth="1"/>
    <col min="12799" max="12799" width="19.85546875" style="278" customWidth="1"/>
    <col min="12800" max="12800" width="21.140625" style="278" customWidth="1"/>
    <col min="12801" max="12806" width="0" style="278" hidden="1" customWidth="1"/>
    <col min="12807" max="12807" width="14.85546875" style="278" bestFit="1" customWidth="1"/>
    <col min="12808" max="12808" width="16.28515625" style="278" customWidth="1"/>
    <col min="12809" max="13050" width="9.140625" style="278"/>
    <col min="13051" max="13051" width="33.140625" style="278" customWidth="1"/>
    <col min="13052" max="13052" width="50.42578125" style="278" customWidth="1"/>
    <col min="13053" max="13053" width="0" style="278" hidden="1" customWidth="1"/>
    <col min="13054" max="13054" width="16.7109375" style="278" customWidth="1"/>
    <col min="13055" max="13055" width="19.85546875" style="278" customWidth="1"/>
    <col min="13056" max="13056" width="21.140625" style="278" customWidth="1"/>
    <col min="13057" max="13062" width="0" style="278" hidden="1" customWidth="1"/>
    <col min="13063" max="13063" width="14.85546875" style="278" bestFit="1" customWidth="1"/>
    <col min="13064" max="13064" width="16.28515625" style="278" customWidth="1"/>
    <col min="13065" max="13306" width="9.140625" style="278"/>
    <col min="13307" max="13307" width="33.140625" style="278" customWidth="1"/>
    <col min="13308" max="13308" width="50.42578125" style="278" customWidth="1"/>
    <col min="13309" max="13309" width="0" style="278" hidden="1" customWidth="1"/>
    <col min="13310" max="13310" width="16.7109375" style="278" customWidth="1"/>
    <col min="13311" max="13311" width="19.85546875" style="278" customWidth="1"/>
    <col min="13312" max="13312" width="21.140625" style="278" customWidth="1"/>
    <col min="13313" max="13318" width="0" style="278" hidden="1" customWidth="1"/>
    <col min="13319" max="13319" width="14.85546875" style="278" bestFit="1" customWidth="1"/>
    <col min="13320" max="13320" width="16.28515625" style="278" customWidth="1"/>
    <col min="13321" max="13562" width="9.140625" style="278"/>
    <col min="13563" max="13563" width="33.140625" style="278" customWidth="1"/>
    <col min="13564" max="13564" width="50.42578125" style="278" customWidth="1"/>
    <col min="13565" max="13565" width="0" style="278" hidden="1" customWidth="1"/>
    <col min="13566" max="13566" width="16.7109375" style="278" customWidth="1"/>
    <col min="13567" max="13567" width="19.85546875" style="278" customWidth="1"/>
    <col min="13568" max="13568" width="21.140625" style="278" customWidth="1"/>
    <col min="13569" max="13574" width="0" style="278" hidden="1" customWidth="1"/>
    <col min="13575" max="13575" width="14.85546875" style="278" bestFit="1" customWidth="1"/>
    <col min="13576" max="13576" width="16.28515625" style="278" customWidth="1"/>
    <col min="13577" max="13818" width="9.140625" style="278"/>
    <col min="13819" max="13819" width="33.140625" style="278" customWidth="1"/>
    <col min="13820" max="13820" width="50.42578125" style="278" customWidth="1"/>
    <col min="13821" max="13821" width="0" style="278" hidden="1" customWidth="1"/>
    <col min="13822" max="13822" width="16.7109375" style="278" customWidth="1"/>
    <col min="13823" max="13823" width="19.85546875" style="278" customWidth="1"/>
    <col min="13824" max="13824" width="21.140625" style="278" customWidth="1"/>
    <col min="13825" max="13830" width="0" style="278" hidden="1" customWidth="1"/>
    <col min="13831" max="13831" width="14.85546875" style="278" bestFit="1" customWidth="1"/>
    <col min="13832" max="13832" width="16.28515625" style="278" customWidth="1"/>
    <col min="13833" max="14074" width="9.140625" style="278"/>
    <col min="14075" max="14075" width="33.140625" style="278" customWidth="1"/>
    <col min="14076" max="14076" width="50.42578125" style="278" customWidth="1"/>
    <col min="14077" max="14077" width="0" style="278" hidden="1" customWidth="1"/>
    <col min="14078" max="14078" width="16.7109375" style="278" customWidth="1"/>
    <col min="14079" max="14079" width="19.85546875" style="278" customWidth="1"/>
    <col min="14080" max="14080" width="21.140625" style="278" customWidth="1"/>
    <col min="14081" max="14086" width="0" style="278" hidden="1" customWidth="1"/>
    <col min="14087" max="14087" width="14.85546875" style="278" bestFit="1" customWidth="1"/>
    <col min="14088" max="14088" width="16.28515625" style="278" customWidth="1"/>
    <col min="14089" max="14330" width="9.140625" style="278"/>
    <col min="14331" max="14331" width="33.140625" style="278" customWidth="1"/>
    <col min="14332" max="14332" width="50.42578125" style="278" customWidth="1"/>
    <col min="14333" max="14333" width="0" style="278" hidden="1" customWidth="1"/>
    <col min="14334" max="14334" width="16.7109375" style="278" customWidth="1"/>
    <col min="14335" max="14335" width="19.85546875" style="278" customWidth="1"/>
    <col min="14336" max="14336" width="21.140625" style="278" customWidth="1"/>
    <col min="14337" max="14342" width="0" style="278" hidden="1" customWidth="1"/>
    <col min="14343" max="14343" width="14.85546875" style="278" bestFit="1" customWidth="1"/>
    <col min="14344" max="14344" width="16.28515625" style="278" customWidth="1"/>
    <col min="14345" max="14586" width="9.140625" style="278"/>
    <col min="14587" max="14587" width="33.140625" style="278" customWidth="1"/>
    <col min="14588" max="14588" width="50.42578125" style="278" customWidth="1"/>
    <col min="14589" max="14589" width="0" style="278" hidden="1" customWidth="1"/>
    <col min="14590" max="14590" width="16.7109375" style="278" customWidth="1"/>
    <col min="14591" max="14591" width="19.85546875" style="278" customWidth="1"/>
    <col min="14592" max="14592" width="21.140625" style="278" customWidth="1"/>
    <col min="14593" max="14598" width="0" style="278" hidden="1" customWidth="1"/>
    <col min="14599" max="14599" width="14.85546875" style="278" bestFit="1" customWidth="1"/>
    <col min="14600" max="14600" width="16.28515625" style="278" customWidth="1"/>
    <col min="14601" max="14842" width="9.140625" style="278"/>
    <col min="14843" max="14843" width="33.140625" style="278" customWidth="1"/>
    <col min="14844" max="14844" width="50.42578125" style="278" customWidth="1"/>
    <col min="14845" max="14845" width="0" style="278" hidden="1" customWidth="1"/>
    <col min="14846" max="14846" width="16.7109375" style="278" customWidth="1"/>
    <col min="14847" max="14847" width="19.85546875" style="278" customWidth="1"/>
    <col min="14848" max="14848" width="21.140625" style="278" customWidth="1"/>
    <col min="14849" max="14854" width="0" style="278" hidden="1" customWidth="1"/>
    <col min="14855" max="14855" width="14.85546875" style="278" bestFit="1" customWidth="1"/>
    <col min="14856" max="14856" width="16.28515625" style="278" customWidth="1"/>
    <col min="14857" max="15098" width="9.140625" style="278"/>
    <col min="15099" max="15099" width="33.140625" style="278" customWidth="1"/>
    <col min="15100" max="15100" width="50.42578125" style="278" customWidth="1"/>
    <col min="15101" max="15101" width="0" style="278" hidden="1" customWidth="1"/>
    <col min="15102" max="15102" width="16.7109375" style="278" customWidth="1"/>
    <col min="15103" max="15103" width="19.85546875" style="278" customWidth="1"/>
    <col min="15104" max="15104" width="21.140625" style="278" customWidth="1"/>
    <col min="15105" max="15110" width="0" style="278" hidden="1" customWidth="1"/>
    <col min="15111" max="15111" width="14.85546875" style="278" bestFit="1" customWidth="1"/>
    <col min="15112" max="15112" width="16.28515625" style="278" customWidth="1"/>
    <col min="15113" max="15354" width="9.140625" style="278"/>
    <col min="15355" max="15355" width="33.140625" style="278" customWidth="1"/>
    <col min="15356" max="15356" width="50.42578125" style="278" customWidth="1"/>
    <col min="15357" max="15357" width="0" style="278" hidden="1" customWidth="1"/>
    <col min="15358" max="15358" width="16.7109375" style="278" customWidth="1"/>
    <col min="15359" max="15359" width="19.85546875" style="278" customWidth="1"/>
    <col min="15360" max="15360" width="21.140625" style="278" customWidth="1"/>
    <col min="15361" max="15366" width="0" style="278" hidden="1" customWidth="1"/>
    <col min="15367" max="15367" width="14.85546875" style="278" bestFit="1" customWidth="1"/>
    <col min="15368" max="15368" width="16.28515625" style="278" customWidth="1"/>
    <col min="15369" max="15610" width="9.140625" style="278"/>
    <col min="15611" max="15611" width="33.140625" style="278" customWidth="1"/>
    <col min="15612" max="15612" width="50.42578125" style="278" customWidth="1"/>
    <col min="15613" max="15613" width="0" style="278" hidden="1" customWidth="1"/>
    <col min="15614" max="15614" width="16.7109375" style="278" customWidth="1"/>
    <col min="15615" max="15615" width="19.85546875" style="278" customWidth="1"/>
    <col min="15616" max="15616" width="21.140625" style="278" customWidth="1"/>
    <col min="15617" max="15622" width="0" style="278" hidden="1" customWidth="1"/>
    <col min="15623" max="15623" width="14.85546875" style="278" bestFit="1" customWidth="1"/>
    <col min="15624" max="15624" width="16.28515625" style="278" customWidth="1"/>
    <col min="15625" max="15866" width="9.140625" style="278"/>
    <col min="15867" max="15867" width="33.140625" style="278" customWidth="1"/>
    <col min="15868" max="15868" width="50.42578125" style="278" customWidth="1"/>
    <col min="15869" max="15869" width="0" style="278" hidden="1" customWidth="1"/>
    <col min="15870" max="15870" width="16.7109375" style="278" customWidth="1"/>
    <col min="15871" max="15871" width="19.85546875" style="278" customWidth="1"/>
    <col min="15872" max="15872" width="21.140625" style="278" customWidth="1"/>
    <col min="15873" max="15878" width="0" style="278" hidden="1" customWidth="1"/>
    <col min="15879" max="15879" width="14.85546875" style="278" bestFit="1" customWidth="1"/>
    <col min="15880" max="15880" width="16.28515625" style="278" customWidth="1"/>
    <col min="15881" max="16122" width="9.140625" style="278"/>
    <col min="16123" max="16123" width="33.140625" style="278" customWidth="1"/>
    <col min="16124" max="16124" width="50.42578125" style="278" customWidth="1"/>
    <col min="16125" max="16125" width="0" style="278" hidden="1" customWidth="1"/>
    <col min="16126" max="16126" width="16.7109375" style="278" customWidth="1"/>
    <col min="16127" max="16127" width="19.85546875" style="278" customWidth="1"/>
    <col min="16128" max="16128" width="21.140625" style="278" customWidth="1"/>
    <col min="16129" max="16134" width="0" style="278" hidden="1" customWidth="1"/>
    <col min="16135" max="16135" width="14.85546875" style="278" bestFit="1" customWidth="1"/>
    <col min="16136" max="16136" width="16.28515625" style="278" customWidth="1"/>
    <col min="16137" max="16384" width="9.140625" style="278"/>
  </cols>
  <sheetData>
    <row r="1" spans="1:12" x14ac:dyDescent="0.25">
      <c r="A1" s="340"/>
      <c r="B1" s="344"/>
      <c r="C1" s="344"/>
      <c r="D1" s="344"/>
      <c r="E1" s="348"/>
    </row>
    <row r="2" spans="1:12" ht="15.75" customHeight="1" x14ac:dyDescent="0.25">
      <c r="A2" s="346"/>
      <c r="B2" s="344"/>
      <c r="C2" s="344"/>
      <c r="D2" s="344"/>
      <c r="E2" s="343"/>
      <c r="I2" s="347"/>
      <c r="J2" s="352" t="s">
        <v>969</v>
      </c>
      <c r="K2" s="352"/>
    </row>
    <row r="3" spans="1:12" ht="40.5" customHeight="1" x14ac:dyDescent="0.25">
      <c r="A3" s="346"/>
      <c r="B3" s="344"/>
      <c r="C3" s="345"/>
      <c r="D3" s="344"/>
      <c r="E3" s="343"/>
      <c r="H3" s="342"/>
      <c r="I3" s="351" t="s">
        <v>970</v>
      </c>
      <c r="J3" s="351"/>
      <c r="K3" s="351"/>
    </row>
    <row r="4" spans="1:12" ht="15.75" hidden="1" customHeight="1" x14ac:dyDescent="0.25">
      <c r="A4" s="340"/>
      <c r="B4" s="341"/>
      <c r="C4" s="341"/>
      <c r="D4" s="341"/>
      <c r="E4" s="340"/>
      <c r="H4" s="353"/>
      <c r="I4" s="353"/>
    </row>
    <row r="5" spans="1:12" ht="15.75" customHeight="1" x14ac:dyDescent="0.25">
      <c r="A5" s="354" t="s">
        <v>968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</row>
    <row r="6" spans="1:12" ht="28.5" customHeight="1" x14ac:dyDescent="0.2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</row>
    <row r="7" spans="1:12" ht="12.75" customHeight="1" x14ac:dyDescent="0.25">
      <c r="A7" s="339"/>
      <c r="B7" s="339"/>
      <c r="C7" s="339"/>
      <c r="D7" s="339"/>
      <c r="E7" s="338"/>
      <c r="H7" s="338"/>
      <c r="K7" s="338" t="s">
        <v>161</v>
      </c>
    </row>
    <row r="8" spans="1:12" s="337" customFormat="1" ht="15.75" customHeight="1" x14ac:dyDescent="0.25">
      <c r="A8" s="355" t="s">
        <v>967</v>
      </c>
      <c r="B8" s="349" t="s">
        <v>208</v>
      </c>
      <c r="C8" s="349" t="s">
        <v>966</v>
      </c>
      <c r="D8" s="356" t="s">
        <v>965</v>
      </c>
      <c r="E8" s="356" t="s">
        <v>964</v>
      </c>
      <c r="F8" s="349" t="s">
        <v>963</v>
      </c>
      <c r="G8" s="349" t="s">
        <v>595</v>
      </c>
      <c r="H8" s="349" t="s">
        <v>962</v>
      </c>
      <c r="I8" s="349" t="s">
        <v>595</v>
      </c>
      <c r="J8" s="349" t="s">
        <v>961</v>
      </c>
      <c r="K8" s="349" t="s">
        <v>594</v>
      </c>
    </row>
    <row r="9" spans="1:12" s="337" customFormat="1" ht="6.75" customHeight="1" x14ac:dyDescent="0.25">
      <c r="A9" s="355"/>
      <c r="B9" s="349"/>
      <c r="C9" s="349"/>
      <c r="D9" s="357"/>
      <c r="E9" s="357"/>
      <c r="F9" s="350"/>
      <c r="G9" s="349"/>
      <c r="H9" s="350"/>
      <c r="I9" s="349"/>
      <c r="J9" s="350"/>
      <c r="K9" s="349"/>
    </row>
    <row r="10" spans="1:12" s="336" customFormat="1" ht="30" customHeight="1" x14ac:dyDescent="0.25">
      <c r="A10" s="355"/>
      <c r="B10" s="349"/>
      <c r="C10" s="349"/>
      <c r="D10" s="358"/>
      <c r="E10" s="358"/>
      <c r="F10" s="350"/>
      <c r="G10" s="349"/>
      <c r="H10" s="350"/>
      <c r="I10" s="349"/>
      <c r="J10" s="350"/>
      <c r="K10" s="349"/>
    </row>
    <row r="11" spans="1:12" s="331" customFormat="1" ht="12.75" x14ac:dyDescent="0.25">
      <c r="A11" s="334">
        <v>1</v>
      </c>
      <c r="B11" s="334">
        <v>2</v>
      </c>
      <c r="C11" s="334"/>
      <c r="D11" s="334">
        <v>3</v>
      </c>
      <c r="E11" s="334">
        <v>3</v>
      </c>
      <c r="F11" s="335">
        <v>4</v>
      </c>
      <c r="G11" s="334">
        <v>3</v>
      </c>
      <c r="H11" s="334">
        <v>4</v>
      </c>
      <c r="I11" s="334">
        <v>5</v>
      </c>
      <c r="J11" s="334"/>
      <c r="K11" s="333"/>
      <c r="L11" s="332"/>
    </row>
    <row r="12" spans="1:12" ht="18.75" x14ac:dyDescent="0.3">
      <c r="A12" s="330" t="s">
        <v>960</v>
      </c>
      <c r="B12" s="329" t="s">
        <v>959</v>
      </c>
      <c r="C12" s="328">
        <f t="shared" ref="C12:H12" si="0">C13+C110</f>
        <v>384409.32</v>
      </c>
      <c r="D12" s="326">
        <f t="shared" si="0"/>
        <v>261130.84539000003</v>
      </c>
      <c r="E12" s="327">
        <f t="shared" si="0"/>
        <v>654009.06539</v>
      </c>
      <c r="F12" s="327">
        <f t="shared" si="0"/>
        <v>1685.1754499999954</v>
      </c>
      <c r="G12" s="326">
        <f t="shared" si="0"/>
        <v>655694.2408400001</v>
      </c>
      <c r="H12" s="319">
        <f t="shared" si="0"/>
        <v>32547.12833</v>
      </c>
      <c r="I12" s="283">
        <f>G12+H12</f>
        <v>688241.36917000008</v>
      </c>
      <c r="J12" s="283">
        <f>J13+J110</f>
        <v>6917.82683</v>
      </c>
      <c r="K12" s="283">
        <f t="shared" ref="K12:K43" si="1">I12+J12</f>
        <v>695159.19600000011</v>
      </c>
    </row>
    <row r="13" spans="1:12" ht="18.75" x14ac:dyDescent="0.3">
      <c r="A13" s="289" t="s">
        <v>958</v>
      </c>
      <c r="B13" s="288" t="s">
        <v>957</v>
      </c>
      <c r="C13" s="325">
        <f>C14+C57</f>
        <v>100767.92</v>
      </c>
      <c r="D13" s="319">
        <f>D14+D57</f>
        <v>10732.145390000005</v>
      </c>
      <c r="E13" s="300">
        <f>E14+E57</f>
        <v>111500.06539000002</v>
      </c>
      <c r="F13" s="300">
        <f>F14+F57</f>
        <v>0</v>
      </c>
      <c r="G13" s="319">
        <f>G14+G57</f>
        <v>111500.06539000002</v>
      </c>
      <c r="H13" s="319"/>
      <c r="I13" s="283">
        <f>G13+H13</f>
        <v>111500.06539000002</v>
      </c>
      <c r="J13" s="284"/>
      <c r="K13" s="283">
        <f t="shared" si="1"/>
        <v>111500.06539000002</v>
      </c>
      <c r="L13" s="297">
        <f>K13+K110</f>
        <v>695159.19600000011</v>
      </c>
    </row>
    <row r="14" spans="1:12" ht="15.75" customHeight="1" x14ac:dyDescent="0.3">
      <c r="A14" s="289"/>
      <c r="B14" s="288" t="s">
        <v>956</v>
      </c>
      <c r="C14" s="301">
        <f>C15+C26+C37+C41+C44+C21</f>
        <v>96178.04</v>
      </c>
      <c r="D14" s="319">
        <f>D15+D26+D37+D41+D44+D21</f>
        <v>9899.0153900000041</v>
      </c>
      <c r="E14" s="300">
        <f>E15+E26+E37+E41+E44+E21</f>
        <v>106077.05539000002</v>
      </c>
      <c r="F14" s="300">
        <f>F15+F26+F37+F41+F44+F21</f>
        <v>0</v>
      </c>
      <c r="G14" s="319">
        <f>G15+G26+G37+G41+G44+G21</f>
        <v>106077.05539000002</v>
      </c>
      <c r="H14" s="319"/>
      <c r="I14" s="283">
        <f>G14+H14</f>
        <v>106077.05539000002</v>
      </c>
      <c r="J14" s="284"/>
      <c r="K14" s="283">
        <f t="shared" si="1"/>
        <v>106077.05539000002</v>
      </c>
    </row>
    <row r="15" spans="1:12" ht="18.75" x14ac:dyDescent="0.3">
      <c r="A15" s="289" t="s">
        <v>955</v>
      </c>
      <c r="B15" s="288" t="s">
        <v>954</v>
      </c>
      <c r="C15" s="301">
        <f>C16</f>
        <v>48821</v>
      </c>
      <c r="D15" s="294">
        <f t="shared" ref="D15:D46" si="2">E15-C15</f>
        <v>3446.3000000000029</v>
      </c>
      <c r="E15" s="300">
        <f>E16</f>
        <v>52267.3</v>
      </c>
      <c r="F15" s="282"/>
      <c r="G15" s="285">
        <f t="shared" ref="G15:G46" si="3">E15+F15</f>
        <v>52267.3</v>
      </c>
      <c r="H15" s="285"/>
      <c r="I15" s="283">
        <f>G15+H15</f>
        <v>52267.3</v>
      </c>
      <c r="J15" s="284"/>
      <c r="K15" s="283">
        <f t="shared" si="1"/>
        <v>52267.3</v>
      </c>
    </row>
    <row r="16" spans="1:12" ht="18.75" x14ac:dyDescent="0.3">
      <c r="A16" s="289" t="s">
        <v>953</v>
      </c>
      <c r="B16" s="288" t="s">
        <v>952</v>
      </c>
      <c r="C16" s="301">
        <f>SUM(C17:C20)</f>
        <v>48821</v>
      </c>
      <c r="D16" s="294">
        <f t="shared" si="2"/>
        <v>3446.3000000000029</v>
      </c>
      <c r="E16" s="300">
        <f>SUM(E17:E20)</f>
        <v>52267.3</v>
      </c>
      <c r="F16" s="282"/>
      <c r="G16" s="285">
        <f t="shared" si="3"/>
        <v>52267.3</v>
      </c>
      <c r="H16" s="285"/>
      <c r="I16" s="283">
        <f>G16+H16</f>
        <v>52267.3</v>
      </c>
      <c r="J16" s="284"/>
      <c r="K16" s="283">
        <f t="shared" si="1"/>
        <v>52267.3</v>
      </c>
    </row>
    <row r="17" spans="1:11" ht="72" customHeight="1" x14ac:dyDescent="0.3">
      <c r="A17" s="289" t="s">
        <v>951</v>
      </c>
      <c r="B17" s="288" t="s">
        <v>950</v>
      </c>
      <c r="C17" s="301">
        <v>45621</v>
      </c>
      <c r="D17" s="294">
        <f t="shared" si="2"/>
        <v>5642.2300000000032</v>
      </c>
      <c r="E17" s="300">
        <v>51263.23</v>
      </c>
      <c r="F17" s="282"/>
      <c r="G17" s="285">
        <f t="shared" si="3"/>
        <v>51263.23</v>
      </c>
      <c r="H17" s="285" t="s">
        <v>679</v>
      </c>
      <c r="I17" s="283">
        <v>51263.23</v>
      </c>
      <c r="J17" s="284"/>
      <c r="K17" s="283">
        <f t="shared" si="1"/>
        <v>51263.23</v>
      </c>
    </row>
    <row r="18" spans="1:11" ht="97.5" customHeight="1" x14ac:dyDescent="0.3">
      <c r="A18" s="289" t="s">
        <v>949</v>
      </c>
      <c r="B18" s="288" t="s">
        <v>948</v>
      </c>
      <c r="C18" s="301">
        <v>2600</v>
      </c>
      <c r="D18" s="294">
        <f t="shared" si="2"/>
        <v>-2442.8000000000002</v>
      </c>
      <c r="E18" s="300">
        <v>157.19999999999999</v>
      </c>
      <c r="F18" s="282"/>
      <c r="G18" s="285">
        <f t="shared" si="3"/>
        <v>157.19999999999999</v>
      </c>
      <c r="H18" s="285"/>
      <c r="I18" s="283">
        <f t="shared" ref="I18:I49" si="4">G18+H18</f>
        <v>157.19999999999999</v>
      </c>
      <c r="J18" s="284"/>
      <c r="K18" s="283">
        <f t="shared" si="1"/>
        <v>157.19999999999999</v>
      </c>
    </row>
    <row r="19" spans="1:11" ht="50.25" customHeight="1" x14ac:dyDescent="0.3">
      <c r="A19" s="289" t="s">
        <v>947</v>
      </c>
      <c r="B19" s="288" t="s">
        <v>946</v>
      </c>
      <c r="C19" s="301">
        <v>600</v>
      </c>
      <c r="D19" s="294">
        <f t="shared" si="2"/>
        <v>246.87</v>
      </c>
      <c r="E19" s="300">
        <v>846.87</v>
      </c>
      <c r="F19" s="282"/>
      <c r="G19" s="285">
        <f t="shared" si="3"/>
        <v>846.87</v>
      </c>
      <c r="H19" s="285"/>
      <c r="I19" s="283">
        <f t="shared" si="4"/>
        <v>846.87</v>
      </c>
      <c r="J19" s="284"/>
      <c r="K19" s="283">
        <f t="shared" si="1"/>
        <v>846.87</v>
      </c>
    </row>
    <row r="20" spans="1:11" ht="83.25" customHeight="1" x14ac:dyDescent="0.3">
      <c r="A20" s="289" t="s">
        <v>945</v>
      </c>
      <c r="B20" s="288" t="s">
        <v>944</v>
      </c>
      <c r="C20" s="301"/>
      <c r="D20" s="294">
        <f t="shared" si="2"/>
        <v>0</v>
      </c>
      <c r="E20" s="300"/>
      <c r="F20" s="282"/>
      <c r="G20" s="285">
        <f t="shared" si="3"/>
        <v>0</v>
      </c>
      <c r="H20" s="285"/>
      <c r="I20" s="283">
        <f t="shared" si="4"/>
        <v>0</v>
      </c>
      <c r="J20" s="284"/>
      <c r="K20" s="283">
        <f t="shared" si="1"/>
        <v>0</v>
      </c>
    </row>
    <row r="21" spans="1:11" ht="31.5" x14ac:dyDescent="0.3">
      <c r="A21" s="289" t="s">
        <v>943</v>
      </c>
      <c r="B21" s="288" t="s">
        <v>942</v>
      </c>
      <c r="C21" s="301">
        <f>C22</f>
        <v>5339.9</v>
      </c>
      <c r="D21" s="294">
        <f t="shared" si="2"/>
        <v>104.90000000000055</v>
      </c>
      <c r="E21" s="300">
        <f>E22</f>
        <v>5444.8</v>
      </c>
      <c r="F21" s="282"/>
      <c r="G21" s="285">
        <f t="shared" si="3"/>
        <v>5444.8</v>
      </c>
      <c r="H21" s="285"/>
      <c r="I21" s="283">
        <f t="shared" si="4"/>
        <v>5444.8</v>
      </c>
      <c r="J21" s="284"/>
      <c r="K21" s="283">
        <f t="shared" si="1"/>
        <v>5444.8</v>
      </c>
    </row>
    <row r="22" spans="1:11" ht="36.75" customHeight="1" x14ac:dyDescent="0.3">
      <c r="A22" s="289" t="s">
        <v>941</v>
      </c>
      <c r="B22" s="288" t="s">
        <v>940</v>
      </c>
      <c r="C22" s="301">
        <f>C23+C24+C25</f>
        <v>5339.9</v>
      </c>
      <c r="D22" s="294">
        <f t="shared" si="2"/>
        <v>104.90000000000055</v>
      </c>
      <c r="E22" s="300">
        <f>E23+E24+E25</f>
        <v>5444.8</v>
      </c>
      <c r="F22" s="282"/>
      <c r="G22" s="285">
        <f t="shared" si="3"/>
        <v>5444.8</v>
      </c>
      <c r="H22" s="285"/>
      <c r="I22" s="283">
        <f t="shared" si="4"/>
        <v>5444.8</v>
      </c>
      <c r="J22" s="284"/>
      <c r="K22" s="283">
        <f t="shared" si="1"/>
        <v>5444.8</v>
      </c>
    </row>
    <row r="23" spans="1:11" ht="63" x14ac:dyDescent="0.3">
      <c r="A23" s="289" t="s">
        <v>939</v>
      </c>
      <c r="B23" s="288" t="s">
        <v>938</v>
      </c>
      <c r="C23" s="301">
        <v>2189.9</v>
      </c>
      <c r="D23" s="294">
        <f t="shared" si="2"/>
        <v>70.900000000000091</v>
      </c>
      <c r="E23" s="300">
        <v>2260.8000000000002</v>
      </c>
      <c r="F23" s="282"/>
      <c r="G23" s="285">
        <f t="shared" si="3"/>
        <v>2260.8000000000002</v>
      </c>
      <c r="H23" s="285"/>
      <c r="I23" s="283">
        <f t="shared" si="4"/>
        <v>2260.8000000000002</v>
      </c>
      <c r="J23" s="284"/>
      <c r="K23" s="283">
        <f t="shared" si="1"/>
        <v>2260.8000000000002</v>
      </c>
    </row>
    <row r="24" spans="1:11" ht="80.25" customHeight="1" x14ac:dyDescent="0.3">
      <c r="A24" s="289" t="s">
        <v>937</v>
      </c>
      <c r="B24" s="288" t="s">
        <v>936</v>
      </c>
      <c r="C24" s="301">
        <v>50</v>
      </c>
      <c r="D24" s="294">
        <f t="shared" si="2"/>
        <v>-20</v>
      </c>
      <c r="E24" s="300">
        <v>30</v>
      </c>
      <c r="F24" s="282"/>
      <c r="G24" s="285">
        <f t="shared" si="3"/>
        <v>30</v>
      </c>
      <c r="H24" s="285"/>
      <c r="I24" s="283">
        <f t="shared" si="4"/>
        <v>30</v>
      </c>
      <c r="J24" s="284"/>
      <c r="K24" s="283">
        <f t="shared" si="1"/>
        <v>30</v>
      </c>
    </row>
    <row r="25" spans="1:11" ht="63" x14ac:dyDescent="0.3">
      <c r="A25" s="289" t="s">
        <v>935</v>
      </c>
      <c r="B25" s="288" t="s">
        <v>934</v>
      </c>
      <c r="C25" s="301">
        <v>3100</v>
      </c>
      <c r="D25" s="294">
        <f t="shared" si="2"/>
        <v>54</v>
      </c>
      <c r="E25" s="300">
        <v>3154</v>
      </c>
      <c r="F25" s="282"/>
      <c r="G25" s="285">
        <f t="shared" si="3"/>
        <v>3154</v>
      </c>
      <c r="H25" s="285"/>
      <c r="I25" s="283">
        <f t="shared" si="4"/>
        <v>3154</v>
      </c>
      <c r="J25" s="284"/>
      <c r="K25" s="283">
        <f t="shared" si="1"/>
        <v>3154</v>
      </c>
    </row>
    <row r="26" spans="1:11" ht="18.75" x14ac:dyDescent="0.3">
      <c r="A26" s="289" t="s">
        <v>933</v>
      </c>
      <c r="B26" s="288" t="s">
        <v>932</v>
      </c>
      <c r="C26" s="301">
        <f>C27+C31+C33+C35</f>
        <v>17351.64</v>
      </c>
      <c r="D26" s="294">
        <f t="shared" si="2"/>
        <v>870.38000000000102</v>
      </c>
      <c r="E26" s="300">
        <f>E27+E31+E33+E35</f>
        <v>18222.02</v>
      </c>
      <c r="F26" s="282"/>
      <c r="G26" s="285">
        <f t="shared" si="3"/>
        <v>18222.02</v>
      </c>
      <c r="H26" s="285"/>
      <c r="I26" s="283">
        <f t="shared" si="4"/>
        <v>18222.02</v>
      </c>
      <c r="J26" s="284"/>
      <c r="K26" s="283">
        <f t="shared" si="1"/>
        <v>18222.02</v>
      </c>
    </row>
    <row r="27" spans="1:11" ht="28.5" customHeight="1" x14ac:dyDescent="0.3">
      <c r="A27" s="289" t="s">
        <v>931</v>
      </c>
      <c r="B27" s="288" t="s">
        <v>930</v>
      </c>
      <c r="C27" s="301">
        <f>SUM(C28:C30)</f>
        <v>8109</v>
      </c>
      <c r="D27" s="294">
        <f t="shared" si="2"/>
        <v>2824.2000000000007</v>
      </c>
      <c r="E27" s="300">
        <f>E28+E29</f>
        <v>10933.2</v>
      </c>
      <c r="F27" s="282"/>
      <c r="G27" s="285">
        <f t="shared" si="3"/>
        <v>10933.2</v>
      </c>
      <c r="H27" s="285"/>
      <c r="I27" s="283">
        <f t="shared" si="4"/>
        <v>10933.2</v>
      </c>
      <c r="J27" s="284"/>
      <c r="K27" s="283">
        <f t="shared" si="1"/>
        <v>10933.2</v>
      </c>
    </row>
    <row r="28" spans="1:11" ht="36.75" customHeight="1" x14ac:dyDescent="0.3">
      <c r="A28" s="289" t="s">
        <v>929</v>
      </c>
      <c r="B28" s="288" t="s">
        <v>928</v>
      </c>
      <c r="C28" s="301">
        <v>4362</v>
      </c>
      <c r="D28" s="294">
        <f t="shared" si="2"/>
        <v>2862.1000000000004</v>
      </c>
      <c r="E28" s="300">
        <v>7224.1</v>
      </c>
      <c r="F28" s="282"/>
      <c r="G28" s="285">
        <f t="shared" si="3"/>
        <v>7224.1</v>
      </c>
      <c r="H28" s="285"/>
      <c r="I28" s="283">
        <f t="shared" si="4"/>
        <v>7224.1</v>
      </c>
      <c r="J28" s="284"/>
      <c r="K28" s="283">
        <f t="shared" si="1"/>
        <v>7224.1</v>
      </c>
    </row>
    <row r="29" spans="1:11" ht="37.5" customHeight="1" x14ac:dyDescent="0.3">
      <c r="A29" s="289" t="s">
        <v>927</v>
      </c>
      <c r="B29" s="288" t="s">
        <v>926</v>
      </c>
      <c r="C29" s="301">
        <v>3747</v>
      </c>
      <c r="D29" s="294">
        <f t="shared" si="2"/>
        <v>-37.900000000000091</v>
      </c>
      <c r="E29" s="300">
        <v>3709.1</v>
      </c>
      <c r="F29" s="282"/>
      <c r="G29" s="285">
        <f t="shared" si="3"/>
        <v>3709.1</v>
      </c>
      <c r="H29" s="285"/>
      <c r="I29" s="283">
        <f t="shared" si="4"/>
        <v>3709.1</v>
      </c>
      <c r="J29" s="284"/>
      <c r="K29" s="283">
        <f t="shared" si="1"/>
        <v>3709.1</v>
      </c>
    </row>
    <row r="30" spans="1:11" ht="31.5" hidden="1" customHeight="1" x14ac:dyDescent="0.3">
      <c r="A30" s="289" t="s">
        <v>925</v>
      </c>
      <c r="B30" s="288" t="s">
        <v>924</v>
      </c>
      <c r="C30" s="301"/>
      <c r="D30" s="294">
        <f t="shared" si="2"/>
        <v>0</v>
      </c>
      <c r="E30" s="300"/>
      <c r="F30" s="282"/>
      <c r="G30" s="285">
        <f t="shared" si="3"/>
        <v>0</v>
      </c>
      <c r="H30" s="285"/>
      <c r="I30" s="283">
        <f t="shared" si="4"/>
        <v>0</v>
      </c>
      <c r="J30" s="284"/>
      <c r="K30" s="283">
        <f t="shared" si="1"/>
        <v>0</v>
      </c>
    </row>
    <row r="31" spans="1:11" ht="22.5" customHeight="1" x14ac:dyDescent="0.3">
      <c r="A31" s="289" t="s">
        <v>923</v>
      </c>
      <c r="B31" s="288" t="s">
        <v>921</v>
      </c>
      <c r="C31" s="301">
        <f>C32</f>
        <v>6417.64</v>
      </c>
      <c r="D31" s="294">
        <f t="shared" si="2"/>
        <v>-162.82000000000062</v>
      </c>
      <c r="E31" s="300">
        <f>E32</f>
        <v>6254.82</v>
      </c>
      <c r="F31" s="282"/>
      <c r="G31" s="285">
        <f t="shared" si="3"/>
        <v>6254.82</v>
      </c>
      <c r="H31" s="285"/>
      <c r="I31" s="283">
        <f t="shared" si="4"/>
        <v>6254.82</v>
      </c>
      <c r="J31" s="284"/>
      <c r="K31" s="283">
        <f t="shared" si="1"/>
        <v>6254.82</v>
      </c>
    </row>
    <row r="32" spans="1:11" ht="21.75" customHeight="1" x14ac:dyDescent="0.3">
      <c r="A32" s="289" t="s">
        <v>922</v>
      </c>
      <c r="B32" s="288" t="s">
        <v>921</v>
      </c>
      <c r="C32" s="301">
        <v>6417.64</v>
      </c>
      <c r="D32" s="294">
        <f t="shared" si="2"/>
        <v>-162.82000000000062</v>
      </c>
      <c r="E32" s="300">
        <v>6254.82</v>
      </c>
      <c r="F32" s="282"/>
      <c r="G32" s="285">
        <f t="shared" si="3"/>
        <v>6254.82</v>
      </c>
      <c r="H32" s="285"/>
      <c r="I32" s="283">
        <f t="shared" si="4"/>
        <v>6254.82</v>
      </c>
      <c r="J32" s="284"/>
      <c r="K32" s="283">
        <f t="shared" si="1"/>
        <v>6254.82</v>
      </c>
    </row>
    <row r="33" spans="1:11" ht="18.75" x14ac:dyDescent="0.3">
      <c r="A33" s="289" t="s">
        <v>920</v>
      </c>
      <c r="B33" s="288" t="s">
        <v>918</v>
      </c>
      <c r="C33" s="301">
        <f>C34</f>
        <v>2800</v>
      </c>
      <c r="D33" s="294">
        <f t="shared" si="2"/>
        <v>-1809</v>
      </c>
      <c r="E33" s="300">
        <f>E34</f>
        <v>991</v>
      </c>
      <c r="F33" s="282"/>
      <c r="G33" s="285">
        <f t="shared" si="3"/>
        <v>991</v>
      </c>
      <c r="H33" s="285"/>
      <c r="I33" s="283">
        <f t="shared" si="4"/>
        <v>991</v>
      </c>
      <c r="J33" s="284"/>
      <c r="K33" s="283">
        <f t="shared" si="1"/>
        <v>991</v>
      </c>
    </row>
    <row r="34" spans="1:11" ht="18.75" x14ac:dyDescent="0.3">
      <c r="A34" s="289" t="s">
        <v>919</v>
      </c>
      <c r="B34" s="288" t="s">
        <v>918</v>
      </c>
      <c r="C34" s="301">
        <v>2800</v>
      </c>
      <c r="D34" s="294">
        <f t="shared" si="2"/>
        <v>-1809</v>
      </c>
      <c r="E34" s="300">
        <v>991</v>
      </c>
      <c r="F34" s="282"/>
      <c r="G34" s="285">
        <f t="shared" si="3"/>
        <v>991</v>
      </c>
      <c r="H34" s="285"/>
      <c r="I34" s="283">
        <f t="shared" si="4"/>
        <v>991</v>
      </c>
      <c r="J34" s="284"/>
      <c r="K34" s="283">
        <f t="shared" si="1"/>
        <v>991</v>
      </c>
    </row>
    <row r="35" spans="1:11" ht="33.75" customHeight="1" x14ac:dyDescent="0.3">
      <c r="A35" s="289" t="s">
        <v>917</v>
      </c>
      <c r="B35" s="288" t="s">
        <v>916</v>
      </c>
      <c r="C35" s="301">
        <f>C36</f>
        <v>25</v>
      </c>
      <c r="D35" s="294">
        <f t="shared" si="2"/>
        <v>18</v>
      </c>
      <c r="E35" s="300">
        <f>E36</f>
        <v>43</v>
      </c>
      <c r="F35" s="282"/>
      <c r="G35" s="285">
        <f t="shared" si="3"/>
        <v>43</v>
      </c>
      <c r="H35" s="285"/>
      <c r="I35" s="283">
        <f t="shared" si="4"/>
        <v>43</v>
      </c>
      <c r="J35" s="284"/>
      <c r="K35" s="283">
        <f t="shared" si="1"/>
        <v>43</v>
      </c>
    </row>
    <row r="36" spans="1:11" ht="39.75" customHeight="1" x14ac:dyDescent="0.3">
      <c r="A36" s="289" t="s">
        <v>915</v>
      </c>
      <c r="B36" s="288" t="s">
        <v>914</v>
      </c>
      <c r="C36" s="301">
        <v>25</v>
      </c>
      <c r="D36" s="294">
        <f t="shared" si="2"/>
        <v>18</v>
      </c>
      <c r="E36" s="300">
        <v>43</v>
      </c>
      <c r="F36" s="282"/>
      <c r="G36" s="285">
        <f t="shared" si="3"/>
        <v>43</v>
      </c>
      <c r="H36" s="285"/>
      <c r="I36" s="283">
        <f t="shared" si="4"/>
        <v>43</v>
      </c>
      <c r="J36" s="284"/>
      <c r="K36" s="283">
        <f t="shared" si="1"/>
        <v>43</v>
      </c>
    </row>
    <row r="37" spans="1:11" ht="18.75" x14ac:dyDescent="0.3">
      <c r="A37" s="289" t="s">
        <v>913</v>
      </c>
      <c r="B37" s="288" t="s">
        <v>912</v>
      </c>
      <c r="C37" s="301">
        <f>C38</f>
        <v>23446</v>
      </c>
      <c r="D37" s="294">
        <f t="shared" si="2"/>
        <v>5253.7999999999993</v>
      </c>
      <c r="E37" s="300">
        <f>E38</f>
        <v>28699.8</v>
      </c>
      <c r="F37" s="282"/>
      <c r="G37" s="285">
        <f t="shared" si="3"/>
        <v>28699.8</v>
      </c>
      <c r="H37" s="285"/>
      <c r="I37" s="283">
        <f t="shared" si="4"/>
        <v>28699.8</v>
      </c>
      <c r="J37" s="284"/>
      <c r="K37" s="283">
        <f t="shared" si="1"/>
        <v>28699.8</v>
      </c>
    </row>
    <row r="38" spans="1:11" ht="18.75" x14ac:dyDescent="0.3">
      <c r="A38" s="289" t="s">
        <v>911</v>
      </c>
      <c r="B38" s="288" t="s">
        <v>910</v>
      </c>
      <c r="C38" s="301">
        <f>C39+C40</f>
        <v>23446</v>
      </c>
      <c r="D38" s="294">
        <f t="shared" si="2"/>
        <v>5253.7999999999993</v>
      </c>
      <c r="E38" s="300">
        <f>E39+E40</f>
        <v>28699.8</v>
      </c>
      <c r="F38" s="282"/>
      <c r="G38" s="285">
        <f t="shared" si="3"/>
        <v>28699.8</v>
      </c>
      <c r="H38" s="285"/>
      <c r="I38" s="283">
        <f t="shared" si="4"/>
        <v>28699.8</v>
      </c>
      <c r="J38" s="284"/>
      <c r="K38" s="283">
        <f t="shared" si="1"/>
        <v>28699.8</v>
      </c>
    </row>
    <row r="39" spans="1:11" ht="31.5" hidden="1" customHeight="1" x14ac:dyDescent="0.3">
      <c r="A39" s="289" t="s">
        <v>909</v>
      </c>
      <c r="B39" s="288" t="s">
        <v>908</v>
      </c>
      <c r="C39" s="301"/>
      <c r="D39" s="294">
        <f t="shared" si="2"/>
        <v>0</v>
      </c>
      <c r="E39" s="300"/>
      <c r="F39" s="282"/>
      <c r="G39" s="285">
        <f t="shared" si="3"/>
        <v>0</v>
      </c>
      <c r="H39" s="285"/>
      <c r="I39" s="283">
        <f t="shared" si="4"/>
        <v>0</v>
      </c>
      <c r="J39" s="284"/>
      <c r="K39" s="283">
        <f t="shared" si="1"/>
        <v>0</v>
      </c>
    </row>
    <row r="40" spans="1:11" ht="31.5" x14ac:dyDescent="0.3">
      <c r="A40" s="289" t="s">
        <v>909</v>
      </c>
      <c r="B40" s="288" t="s">
        <v>908</v>
      </c>
      <c r="C40" s="301">
        <v>23446</v>
      </c>
      <c r="D40" s="294">
        <f t="shared" si="2"/>
        <v>5253.7999999999993</v>
      </c>
      <c r="E40" s="300">
        <v>28699.8</v>
      </c>
      <c r="F40" s="282"/>
      <c r="G40" s="285">
        <f t="shared" si="3"/>
        <v>28699.8</v>
      </c>
      <c r="H40" s="285"/>
      <c r="I40" s="283">
        <f t="shared" si="4"/>
        <v>28699.8</v>
      </c>
      <c r="J40" s="284"/>
      <c r="K40" s="283">
        <f t="shared" si="1"/>
        <v>28699.8</v>
      </c>
    </row>
    <row r="41" spans="1:11" ht="31.5" x14ac:dyDescent="0.3">
      <c r="A41" s="289" t="s">
        <v>907</v>
      </c>
      <c r="B41" s="288" t="s">
        <v>906</v>
      </c>
      <c r="C41" s="301">
        <f>C42</f>
        <v>19.5</v>
      </c>
      <c r="D41" s="294">
        <f t="shared" si="2"/>
        <v>1.7699999999999996</v>
      </c>
      <c r="E41" s="300">
        <f>E42</f>
        <v>21.27</v>
      </c>
      <c r="F41" s="282"/>
      <c r="G41" s="285">
        <f t="shared" si="3"/>
        <v>21.27</v>
      </c>
      <c r="H41" s="285"/>
      <c r="I41" s="283">
        <f t="shared" si="4"/>
        <v>21.27</v>
      </c>
      <c r="J41" s="284"/>
      <c r="K41" s="283">
        <f t="shared" si="1"/>
        <v>21.27</v>
      </c>
    </row>
    <row r="42" spans="1:11" ht="18.75" x14ac:dyDescent="0.3">
      <c r="A42" s="289" t="s">
        <v>905</v>
      </c>
      <c r="B42" s="288" t="s">
        <v>904</v>
      </c>
      <c r="C42" s="301">
        <f>C43</f>
        <v>19.5</v>
      </c>
      <c r="D42" s="294">
        <f t="shared" si="2"/>
        <v>1.7699999999999996</v>
      </c>
      <c r="E42" s="300">
        <f>E43</f>
        <v>21.27</v>
      </c>
      <c r="F42" s="282"/>
      <c r="G42" s="285">
        <f t="shared" si="3"/>
        <v>21.27</v>
      </c>
      <c r="H42" s="285"/>
      <c r="I42" s="283">
        <f t="shared" si="4"/>
        <v>21.27</v>
      </c>
      <c r="J42" s="284"/>
      <c r="K42" s="283">
        <f t="shared" si="1"/>
        <v>21.27</v>
      </c>
    </row>
    <row r="43" spans="1:11" ht="18.75" x14ac:dyDescent="0.3">
      <c r="A43" s="289" t="s">
        <v>903</v>
      </c>
      <c r="B43" s="288" t="s">
        <v>902</v>
      </c>
      <c r="C43" s="301">
        <v>19.5</v>
      </c>
      <c r="D43" s="294">
        <f t="shared" si="2"/>
        <v>1.7699999999999996</v>
      </c>
      <c r="E43" s="300">
        <v>21.27</v>
      </c>
      <c r="F43" s="282"/>
      <c r="G43" s="285">
        <f t="shared" si="3"/>
        <v>21.27</v>
      </c>
      <c r="H43" s="285"/>
      <c r="I43" s="283">
        <f t="shared" si="4"/>
        <v>21.27</v>
      </c>
      <c r="J43" s="284"/>
      <c r="K43" s="283">
        <f t="shared" si="1"/>
        <v>21.27</v>
      </c>
    </row>
    <row r="44" spans="1:11" ht="18.75" x14ac:dyDescent="0.3">
      <c r="A44" s="289" t="s">
        <v>901</v>
      </c>
      <c r="B44" s="288" t="s">
        <v>900</v>
      </c>
      <c r="C44" s="301">
        <f>C45+C50</f>
        <v>1200</v>
      </c>
      <c r="D44" s="294">
        <f t="shared" si="2"/>
        <v>221.86538999999993</v>
      </c>
      <c r="E44" s="300">
        <f>E45+E50</f>
        <v>1421.8653899999999</v>
      </c>
      <c r="F44" s="282"/>
      <c r="G44" s="285">
        <f t="shared" si="3"/>
        <v>1421.8653899999999</v>
      </c>
      <c r="H44" s="285"/>
      <c r="I44" s="283">
        <f t="shared" si="4"/>
        <v>1421.8653899999999</v>
      </c>
      <c r="J44" s="284"/>
      <c r="K44" s="283">
        <f t="shared" ref="K44:K75" si="5">I44+J44</f>
        <v>1421.8653899999999</v>
      </c>
    </row>
    <row r="45" spans="1:11" ht="33" customHeight="1" x14ac:dyDescent="0.3">
      <c r="A45" s="289" t="s">
        <v>899</v>
      </c>
      <c r="B45" s="288" t="s">
        <v>898</v>
      </c>
      <c r="C45" s="301">
        <f>C46</f>
        <v>1045</v>
      </c>
      <c r="D45" s="294">
        <f t="shared" si="2"/>
        <v>241.86538999999993</v>
      </c>
      <c r="E45" s="300">
        <f>E46</f>
        <v>1286.8653899999999</v>
      </c>
      <c r="F45" s="282"/>
      <c r="G45" s="285">
        <f t="shared" si="3"/>
        <v>1286.8653899999999</v>
      </c>
      <c r="H45" s="285"/>
      <c r="I45" s="283">
        <f t="shared" si="4"/>
        <v>1286.8653899999999</v>
      </c>
      <c r="J45" s="284"/>
      <c r="K45" s="283">
        <f t="shared" si="5"/>
        <v>1286.8653899999999</v>
      </c>
    </row>
    <row r="46" spans="1:11" ht="48.75" customHeight="1" x14ac:dyDescent="0.3">
      <c r="A46" s="289" t="s">
        <v>897</v>
      </c>
      <c r="B46" s="324" t="s">
        <v>896</v>
      </c>
      <c r="C46" s="301">
        <v>1045</v>
      </c>
      <c r="D46" s="294">
        <f t="shared" si="2"/>
        <v>241.86538999999993</v>
      </c>
      <c r="E46" s="300">
        <v>1286.8653899999999</v>
      </c>
      <c r="F46" s="282"/>
      <c r="G46" s="285">
        <f t="shared" si="3"/>
        <v>1286.8653899999999</v>
      </c>
      <c r="H46" s="285"/>
      <c r="I46" s="283">
        <f t="shared" si="4"/>
        <v>1286.8653899999999</v>
      </c>
      <c r="J46" s="284"/>
      <c r="K46" s="283">
        <f t="shared" si="5"/>
        <v>1286.8653899999999</v>
      </c>
    </row>
    <row r="47" spans="1:11" ht="48.75" hidden="1" customHeight="1" x14ac:dyDescent="0.3">
      <c r="A47" s="289"/>
      <c r="B47" s="288"/>
      <c r="C47" s="301"/>
      <c r="D47" s="294">
        <f t="shared" ref="D47:D78" si="6">E47-C47</f>
        <v>0</v>
      </c>
      <c r="E47" s="300"/>
      <c r="F47" s="282"/>
      <c r="G47" s="285">
        <f t="shared" ref="G47:G78" si="7">E47+F47</f>
        <v>0</v>
      </c>
      <c r="H47" s="285"/>
      <c r="I47" s="283">
        <f t="shared" si="4"/>
        <v>0</v>
      </c>
      <c r="J47" s="284"/>
      <c r="K47" s="283">
        <f t="shared" si="5"/>
        <v>0</v>
      </c>
    </row>
    <row r="48" spans="1:11" ht="48.75" hidden="1" customHeight="1" x14ac:dyDescent="0.3">
      <c r="A48" s="289"/>
      <c r="B48" s="288"/>
      <c r="C48" s="301"/>
      <c r="D48" s="294">
        <f t="shared" si="6"/>
        <v>0</v>
      </c>
      <c r="E48" s="300"/>
      <c r="F48" s="282"/>
      <c r="G48" s="285">
        <f t="shared" si="7"/>
        <v>0</v>
      </c>
      <c r="H48" s="285"/>
      <c r="I48" s="283">
        <f t="shared" si="4"/>
        <v>0</v>
      </c>
      <c r="J48" s="284"/>
      <c r="K48" s="283">
        <f t="shared" si="5"/>
        <v>0</v>
      </c>
    </row>
    <row r="49" spans="1:11" ht="48.75" hidden="1" customHeight="1" x14ac:dyDescent="0.3">
      <c r="A49" s="289"/>
      <c r="B49" s="288"/>
      <c r="C49" s="301"/>
      <c r="D49" s="294">
        <f t="shared" si="6"/>
        <v>0</v>
      </c>
      <c r="E49" s="300"/>
      <c r="F49" s="282"/>
      <c r="G49" s="285">
        <f t="shared" si="7"/>
        <v>0</v>
      </c>
      <c r="H49" s="285"/>
      <c r="I49" s="283">
        <f t="shared" si="4"/>
        <v>0</v>
      </c>
      <c r="J49" s="284"/>
      <c r="K49" s="283">
        <f t="shared" si="5"/>
        <v>0</v>
      </c>
    </row>
    <row r="50" spans="1:11" ht="31.5" x14ac:dyDescent="0.3">
      <c r="A50" s="289" t="s">
        <v>895</v>
      </c>
      <c r="B50" s="288" t="s">
        <v>894</v>
      </c>
      <c r="C50" s="301">
        <f>C52+C56</f>
        <v>155</v>
      </c>
      <c r="D50" s="294">
        <f t="shared" si="6"/>
        <v>-20</v>
      </c>
      <c r="E50" s="300">
        <v>135</v>
      </c>
      <c r="F50" s="282"/>
      <c r="G50" s="285">
        <f t="shared" si="7"/>
        <v>135</v>
      </c>
      <c r="H50" s="285"/>
      <c r="I50" s="283">
        <f t="shared" ref="I50:I81" si="8">G50+H50</f>
        <v>135</v>
      </c>
      <c r="J50" s="284"/>
      <c r="K50" s="283">
        <f t="shared" si="5"/>
        <v>135</v>
      </c>
    </row>
    <row r="51" spans="1:11" ht="78.75" hidden="1" customHeight="1" x14ac:dyDescent="0.3">
      <c r="A51" s="289" t="s">
        <v>893</v>
      </c>
      <c r="B51" s="288" t="s">
        <v>892</v>
      </c>
      <c r="C51" s="301">
        <v>0</v>
      </c>
      <c r="D51" s="294">
        <f t="shared" si="6"/>
        <v>0</v>
      </c>
      <c r="E51" s="300">
        <v>0</v>
      </c>
      <c r="F51" s="282"/>
      <c r="G51" s="285">
        <f t="shared" si="7"/>
        <v>0</v>
      </c>
      <c r="H51" s="285"/>
      <c r="I51" s="283">
        <f t="shared" si="8"/>
        <v>0</v>
      </c>
      <c r="J51" s="284"/>
      <c r="K51" s="283">
        <f t="shared" si="5"/>
        <v>0</v>
      </c>
    </row>
    <row r="52" spans="1:11" ht="63" x14ac:dyDescent="0.3">
      <c r="A52" s="289" t="s">
        <v>891</v>
      </c>
      <c r="B52" s="288" t="s">
        <v>890</v>
      </c>
      <c r="C52" s="301">
        <v>150</v>
      </c>
      <c r="D52" s="294">
        <f t="shared" si="6"/>
        <v>-20</v>
      </c>
      <c r="E52" s="300">
        <v>130</v>
      </c>
      <c r="F52" s="282"/>
      <c r="G52" s="285">
        <f t="shared" si="7"/>
        <v>130</v>
      </c>
      <c r="H52" s="285"/>
      <c r="I52" s="283">
        <f t="shared" si="8"/>
        <v>130</v>
      </c>
      <c r="J52" s="284"/>
      <c r="K52" s="283">
        <f t="shared" si="5"/>
        <v>130</v>
      </c>
    </row>
    <row r="53" spans="1:11" ht="15.75" hidden="1" customHeight="1" x14ac:dyDescent="0.3">
      <c r="A53" s="289"/>
      <c r="B53" s="288"/>
      <c r="C53" s="301"/>
      <c r="D53" s="294">
        <f t="shared" si="6"/>
        <v>0</v>
      </c>
      <c r="E53" s="300"/>
      <c r="F53" s="282"/>
      <c r="G53" s="285">
        <f t="shared" si="7"/>
        <v>0</v>
      </c>
      <c r="H53" s="285"/>
      <c r="I53" s="283">
        <f t="shared" si="8"/>
        <v>0</v>
      </c>
      <c r="J53" s="284"/>
      <c r="K53" s="283">
        <f t="shared" si="5"/>
        <v>0</v>
      </c>
    </row>
    <row r="54" spans="1:11" ht="15.75" hidden="1" customHeight="1" x14ac:dyDescent="0.3">
      <c r="A54" s="289"/>
      <c r="B54" s="288"/>
      <c r="C54" s="301"/>
      <c r="D54" s="294">
        <f t="shared" si="6"/>
        <v>0</v>
      </c>
      <c r="E54" s="300"/>
      <c r="F54" s="282"/>
      <c r="G54" s="285">
        <f t="shared" si="7"/>
        <v>0</v>
      </c>
      <c r="H54" s="285"/>
      <c r="I54" s="283">
        <f t="shared" si="8"/>
        <v>0</v>
      </c>
      <c r="J54" s="284"/>
      <c r="K54" s="283">
        <f t="shared" si="5"/>
        <v>0</v>
      </c>
    </row>
    <row r="55" spans="1:11" ht="15.75" hidden="1" customHeight="1" x14ac:dyDescent="0.3">
      <c r="A55" s="289"/>
      <c r="B55" s="288"/>
      <c r="C55" s="301"/>
      <c r="D55" s="294">
        <f t="shared" si="6"/>
        <v>0</v>
      </c>
      <c r="E55" s="300"/>
      <c r="F55" s="282"/>
      <c r="G55" s="285">
        <f t="shared" si="7"/>
        <v>0</v>
      </c>
      <c r="H55" s="285"/>
      <c r="I55" s="283">
        <f t="shared" si="8"/>
        <v>0</v>
      </c>
      <c r="J55" s="284"/>
      <c r="K55" s="283">
        <f t="shared" si="5"/>
        <v>0</v>
      </c>
    </row>
    <row r="56" spans="1:11" ht="31.5" x14ac:dyDescent="0.3">
      <c r="A56" s="289" t="s">
        <v>889</v>
      </c>
      <c r="B56" s="288" t="s">
        <v>888</v>
      </c>
      <c r="C56" s="301">
        <v>5</v>
      </c>
      <c r="D56" s="294">
        <f t="shared" si="6"/>
        <v>0</v>
      </c>
      <c r="E56" s="300">
        <v>5</v>
      </c>
      <c r="F56" s="282"/>
      <c r="G56" s="285">
        <f t="shared" si="7"/>
        <v>5</v>
      </c>
      <c r="H56" s="285"/>
      <c r="I56" s="283">
        <f t="shared" si="8"/>
        <v>5</v>
      </c>
      <c r="J56" s="284"/>
      <c r="K56" s="283">
        <f t="shared" si="5"/>
        <v>5</v>
      </c>
    </row>
    <row r="57" spans="1:11" ht="18.75" x14ac:dyDescent="0.3">
      <c r="A57" s="289"/>
      <c r="B57" s="324" t="s">
        <v>887</v>
      </c>
      <c r="C57" s="301">
        <f>C58+C66+C76+C88+C72</f>
        <v>4589.88</v>
      </c>
      <c r="D57" s="294">
        <f t="shared" si="6"/>
        <v>833.13000000000011</v>
      </c>
      <c r="E57" s="300">
        <f>E58+E66+E76+E88+E72</f>
        <v>5423.01</v>
      </c>
      <c r="F57" s="282"/>
      <c r="G57" s="285">
        <f t="shared" si="7"/>
        <v>5423.01</v>
      </c>
      <c r="H57" s="285"/>
      <c r="I57" s="283">
        <f t="shared" si="8"/>
        <v>5423.01</v>
      </c>
      <c r="J57" s="284"/>
      <c r="K57" s="283">
        <f t="shared" si="5"/>
        <v>5423.01</v>
      </c>
    </row>
    <row r="58" spans="1:11" ht="52.5" customHeight="1" x14ac:dyDescent="0.3">
      <c r="A58" s="289" t="s">
        <v>886</v>
      </c>
      <c r="B58" s="288" t="s">
        <v>885</v>
      </c>
      <c r="C58" s="301">
        <f>C59+C61</f>
        <v>1604.88</v>
      </c>
      <c r="D58" s="294">
        <f t="shared" si="6"/>
        <v>607.13000000000011</v>
      </c>
      <c r="E58" s="300">
        <f>E59+E61</f>
        <v>2212.0100000000002</v>
      </c>
      <c r="F58" s="282"/>
      <c r="G58" s="285">
        <f t="shared" si="7"/>
        <v>2212.0100000000002</v>
      </c>
      <c r="H58" s="285"/>
      <c r="I58" s="283">
        <f t="shared" si="8"/>
        <v>2212.0100000000002</v>
      </c>
      <c r="J58" s="284"/>
      <c r="K58" s="283">
        <f t="shared" si="5"/>
        <v>2212.0100000000002</v>
      </c>
    </row>
    <row r="59" spans="1:11" ht="31.5" hidden="1" customHeight="1" x14ac:dyDescent="0.3">
      <c r="A59" s="289" t="s">
        <v>884</v>
      </c>
      <c r="B59" s="288" t="s">
        <v>883</v>
      </c>
      <c r="C59" s="301">
        <f>C60</f>
        <v>0</v>
      </c>
      <c r="D59" s="294">
        <f t="shared" si="6"/>
        <v>0</v>
      </c>
      <c r="E59" s="300">
        <f>E60</f>
        <v>0</v>
      </c>
      <c r="F59" s="282"/>
      <c r="G59" s="285">
        <f t="shared" si="7"/>
        <v>0</v>
      </c>
      <c r="H59" s="285"/>
      <c r="I59" s="283">
        <f t="shared" si="8"/>
        <v>0</v>
      </c>
      <c r="J59" s="284"/>
      <c r="K59" s="283">
        <f t="shared" si="5"/>
        <v>0</v>
      </c>
    </row>
    <row r="60" spans="1:11" ht="47.25" hidden="1" customHeight="1" x14ac:dyDescent="0.3">
      <c r="A60" s="289" t="s">
        <v>882</v>
      </c>
      <c r="B60" s="288" t="s">
        <v>881</v>
      </c>
      <c r="C60" s="301"/>
      <c r="D60" s="294">
        <f t="shared" si="6"/>
        <v>0</v>
      </c>
      <c r="E60" s="300"/>
      <c r="F60" s="282"/>
      <c r="G60" s="285">
        <f t="shared" si="7"/>
        <v>0</v>
      </c>
      <c r="H60" s="285"/>
      <c r="I60" s="283">
        <f t="shared" si="8"/>
        <v>0</v>
      </c>
      <c r="J60" s="284"/>
      <c r="K60" s="283">
        <f t="shared" si="5"/>
        <v>0</v>
      </c>
    </row>
    <row r="61" spans="1:11" ht="78.75" x14ac:dyDescent="0.3">
      <c r="A61" s="289" t="s">
        <v>880</v>
      </c>
      <c r="B61" s="288" t="s">
        <v>879</v>
      </c>
      <c r="C61" s="301">
        <f>C63+C64</f>
        <v>1604.88</v>
      </c>
      <c r="D61" s="294">
        <f t="shared" si="6"/>
        <v>607.13000000000011</v>
      </c>
      <c r="E61" s="300">
        <f>E63+E64</f>
        <v>2212.0100000000002</v>
      </c>
      <c r="F61" s="282"/>
      <c r="G61" s="285">
        <f t="shared" si="7"/>
        <v>2212.0100000000002</v>
      </c>
      <c r="H61" s="285"/>
      <c r="I61" s="283">
        <f t="shared" si="8"/>
        <v>2212.0100000000002</v>
      </c>
      <c r="J61" s="284"/>
      <c r="K61" s="283">
        <f t="shared" si="5"/>
        <v>2212.0100000000002</v>
      </c>
    </row>
    <row r="62" spans="1:11" ht="78.75" x14ac:dyDescent="0.3">
      <c r="A62" s="289" t="s">
        <v>878</v>
      </c>
      <c r="B62" s="288" t="s">
        <v>877</v>
      </c>
      <c r="C62" s="301">
        <f>C63</f>
        <v>1300</v>
      </c>
      <c r="D62" s="294">
        <f t="shared" si="6"/>
        <v>527.45000000000005</v>
      </c>
      <c r="E62" s="300">
        <f>E63</f>
        <v>1827.45</v>
      </c>
      <c r="F62" s="282"/>
      <c r="G62" s="285">
        <f t="shared" si="7"/>
        <v>1827.45</v>
      </c>
      <c r="H62" s="285"/>
      <c r="I62" s="283">
        <f t="shared" si="8"/>
        <v>1827.45</v>
      </c>
      <c r="J62" s="284"/>
      <c r="K62" s="283">
        <f t="shared" si="5"/>
        <v>1827.45</v>
      </c>
    </row>
    <row r="63" spans="1:11" ht="67.5" customHeight="1" x14ac:dyDescent="0.3">
      <c r="A63" s="289" t="s">
        <v>876</v>
      </c>
      <c r="B63" s="288" t="s">
        <v>875</v>
      </c>
      <c r="C63" s="301">
        <v>1300</v>
      </c>
      <c r="D63" s="294">
        <f t="shared" si="6"/>
        <v>527.45000000000005</v>
      </c>
      <c r="E63" s="300">
        <f>1800+27.45</f>
        <v>1827.45</v>
      </c>
      <c r="F63" s="282"/>
      <c r="G63" s="285">
        <f t="shared" si="7"/>
        <v>1827.45</v>
      </c>
      <c r="H63" s="285"/>
      <c r="I63" s="283">
        <f t="shared" si="8"/>
        <v>1827.45</v>
      </c>
      <c r="J63" s="284"/>
      <c r="K63" s="283">
        <f t="shared" si="5"/>
        <v>1827.45</v>
      </c>
    </row>
    <row r="64" spans="1:11" ht="78.75" x14ac:dyDescent="0.3">
      <c r="A64" s="289" t="s">
        <v>874</v>
      </c>
      <c r="B64" s="288" t="s">
        <v>873</v>
      </c>
      <c r="C64" s="301">
        <f>C65</f>
        <v>304.88</v>
      </c>
      <c r="D64" s="294">
        <f t="shared" si="6"/>
        <v>79.680000000000007</v>
      </c>
      <c r="E64" s="300">
        <f>E65</f>
        <v>384.56</v>
      </c>
      <c r="F64" s="282"/>
      <c r="G64" s="285">
        <f t="shared" si="7"/>
        <v>384.56</v>
      </c>
      <c r="H64" s="285"/>
      <c r="I64" s="283">
        <f t="shared" si="8"/>
        <v>384.56</v>
      </c>
      <c r="J64" s="284"/>
      <c r="K64" s="283">
        <f t="shared" si="5"/>
        <v>384.56</v>
      </c>
    </row>
    <row r="65" spans="1:11" ht="63" x14ac:dyDescent="0.3">
      <c r="A65" s="289" t="s">
        <v>872</v>
      </c>
      <c r="B65" s="288" t="s">
        <v>871</v>
      </c>
      <c r="C65" s="301">
        <v>304.88</v>
      </c>
      <c r="D65" s="294">
        <f t="shared" si="6"/>
        <v>79.680000000000007</v>
      </c>
      <c r="E65" s="300">
        <v>384.56</v>
      </c>
      <c r="F65" s="282"/>
      <c r="G65" s="285">
        <f t="shared" si="7"/>
        <v>384.56</v>
      </c>
      <c r="H65" s="285"/>
      <c r="I65" s="283">
        <f t="shared" si="8"/>
        <v>384.56</v>
      </c>
      <c r="J65" s="284"/>
      <c r="K65" s="283">
        <f t="shared" si="5"/>
        <v>384.56</v>
      </c>
    </row>
    <row r="66" spans="1:11" ht="27.75" customHeight="1" x14ac:dyDescent="0.3">
      <c r="A66" s="289" t="s">
        <v>870</v>
      </c>
      <c r="B66" s="288" t="s">
        <v>869</v>
      </c>
      <c r="C66" s="301">
        <f>C67</f>
        <v>195</v>
      </c>
      <c r="D66" s="294">
        <f t="shared" si="6"/>
        <v>-34</v>
      </c>
      <c r="E66" s="300">
        <f>E67</f>
        <v>161</v>
      </c>
      <c r="F66" s="282"/>
      <c r="G66" s="285">
        <f t="shared" si="7"/>
        <v>161</v>
      </c>
      <c r="H66" s="285"/>
      <c r="I66" s="283">
        <f t="shared" si="8"/>
        <v>161</v>
      </c>
      <c r="J66" s="284"/>
      <c r="K66" s="283">
        <f t="shared" si="5"/>
        <v>161</v>
      </c>
    </row>
    <row r="67" spans="1:11" ht="18.75" x14ac:dyDescent="0.3">
      <c r="A67" s="289" t="s">
        <v>868</v>
      </c>
      <c r="B67" s="288" t="s">
        <v>867</v>
      </c>
      <c r="C67" s="301">
        <f>SUM(C68:C71)</f>
        <v>195</v>
      </c>
      <c r="D67" s="294">
        <f t="shared" si="6"/>
        <v>-34</v>
      </c>
      <c r="E67" s="300">
        <f>SUM(E68:E71)</f>
        <v>161</v>
      </c>
      <c r="F67" s="282"/>
      <c r="G67" s="285">
        <f t="shared" si="7"/>
        <v>161</v>
      </c>
      <c r="H67" s="285"/>
      <c r="I67" s="283">
        <f t="shared" si="8"/>
        <v>161</v>
      </c>
      <c r="J67" s="284"/>
      <c r="K67" s="283">
        <f t="shared" si="5"/>
        <v>161</v>
      </c>
    </row>
    <row r="68" spans="1:11" ht="39.75" customHeight="1" x14ac:dyDescent="0.3">
      <c r="A68" s="289" t="s">
        <v>866</v>
      </c>
      <c r="B68" s="288" t="s">
        <v>865</v>
      </c>
      <c r="C68" s="301">
        <v>25</v>
      </c>
      <c r="D68" s="294">
        <f t="shared" si="6"/>
        <v>0</v>
      </c>
      <c r="E68" s="300">
        <v>25</v>
      </c>
      <c r="F68" s="282"/>
      <c r="G68" s="285">
        <f t="shared" si="7"/>
        <v>25</v>
      </c>
      <c r="H68" s="285"/>
      <c r="I68" s="283">
        <f t="shared" si="8"/>
        <v>25</v>
      </c>
      <c r="J68" s="284"/>
      <c r="K68" s="283">
        <f t="shared" si="5"/>
        <v>25</v>
      </c>
    </row>
    <row r="69" spans="1:11" ht="31.5" hidden="1" customHeight="1" x14ac:dyDescent="0.3">
      <c r="A69" s="289" t="s">
        <v>864</v>
      </c>
      <c r="B69" s="288" t="s">
        <v>863</v>
      </c>
      <c r="C69" s="301"/>
      <c r="D69" s="294">
        <f t="shared" si="6"/>
        <v>0</v>
      </c>
      <c r="E69" s="300"/>
      <c r="F69" s="282"/>
      <c r="G69" s="285">
        <f t="shared" si="7"/>
        <v>0</v>
      </c>
      <c r="H69" s="285"/>
      <c r="I69" s="283">
        <f t="shared" si="8"/>
        <v>0</v>
      </c>
      <c r="J69" s="284"/>
      <c r="K69" s="283">
        <f t="shared" si="5"/>
        <v>0</v>
      </c>
    </row>
    <row r="70" spans="1:11" ht="31.5" hidden="1" customHeight="1" x14ac:dyDescent="0.3">
      <c r="A70" s="289" t="s">
        <v>862</v>
      </c>
      <c r="B70" s="288" t="s">
        <v>861</v>
      </c>
      <c r="C70" s="301"/>
      <c r="D70" s="294">
        <f t="shared" si="6"/>
        <v>0</v>
      </c>
      <c r="E70" s="300"/>
      <c r="F70" s="282"/>
      <c r="G70" s="285">
        <f t="shared" si="7"/>
        <v>0</v>
      </c>
      <c r="H70" s="285"/>
      <c r="I70" s="283">
        <f t="shared" si="8"/>
        <v>0</v>
      </c>
      <c r="J70" s="284"/>
      <c r="K70" s="283">
        <f t="shared" si="5"/>
        <v>0</v>
      </c>
    </row>
    <row r="71" spans="1:11" ht="18.75" x14ac:dyDescent="0.3">
      <c r="A71" s="289" t="s">
        <v>860</v>
      </c>
      <c r="B71" s="288" t="s">
        <v>859</v>
      </c>
      <c r="C71" s="301">
        <v>170</v>
      </c>
      <c r="D71" s="294">
        <f t="shared" si="6"/>
        <v>-34</v>
      </c>
      <c r="E71" s="300">
        <v>136</v>
      </c>
      <c r="F71" s="282"/>
      <c r="G71" s="285">
        <f t="shared" si="7"/>
        <v>136</v>
      </c>
      <c r="H71" s="285"/>
      <c r="I71" s="283">
        <f t="shared" si="8"/>
        <v>136</v>
      </c>
      <c r="J71" s="284"/>
      <c r="K71" s="283">
        <f t="shared" si="5"/>
        <v>136</v>
      </c>
    </row>
    <row r="72" spans="1:11" ht="47.25" hidden="1" customHeight="1" x14ac:dyDescent="0.3">
      <c r="A72" s="289" t="s">
        <v>858</v>
      </c>
      <c r="B72" s="288" t="s">
        <v>857</v>
      </c>
      <c r="C72" s="301">
        <f>C73</f>
        <v>0</v>
      </c>
      <c r="D72" s="294">
        <f t="shared" si="6"/>
        <v>0</v>
      </c>
      <c r="E72" s="300">
        <f>E73</f>
        <v>0</v>
      </c>
      <c r="F72" s="282"/>
      <c r="G72" s="285">
        <f t="shared" si="7"/>
        <v>0</v>
      </c>
      <c r="H72" s="285"/>
      <c r="I72" s="283">
        <f t="shared" si="8"/>
        <v>0</v>
      </c>
      <c r="J72" s="284"/>
      <c r="K72" s="283">
        <f t="shared" si="5"/>
        <v>0</v>
      </c>
    </row>
    <row r="73" spans="1:11" ht="15.75" hidden="1" customHeight="1" x14ac:dyDescent="0.3">
      <c r="A73" s="289" t="s">
        <v>856</v>
      </c>
      <c r="B73" s="288" t="s">
        <v>855</v>
      </c>
      <c r="C73" s="301">
        <f>C75</f>
        <v>0</v>
      </c>
      <c r="D73" s="294">
        <f t="shared" si="6"/>
        <v>0</v>
      </c>
      <c r="E73" s="300">
        <f>E75</f>
        <v>0</v>
      </c>
      <c r="F73" s="282"/>
      <c r="G73" s="285">
        <f t="shared" si="7"/>
        <v>0</v>
      </c>
      <c r="H73" s="285"/>
      <c r="I73" s="283">
        <f t="shared" si="8"/>
        <v>0</v>
      </c>
      <c r="J73" s="284"/>
      <c r="K73" s="283">
        <f t="shared" si="5"/>
        <v>0</v>
      </c>
    </row>
    <row r="74" spans="1:11" ht="15.75" hidden="1" customHeight="1" x14ac:dyDescent="0.3">
      <c r="A74" s="289" t="s">
        <v>854</v>
      </c>
      <c r="B74" s="288" t="s">
        <v>853</v>
      </c>
      <c r="C74" s="301">
        <f>C75</f>
        <v>0</v>
      </c>
      <c r="D74" s="294">
        <f t="shared" si="6"/>
        <v>0</v>
      </c>
      <c r="E74" s="300">
        <f>E75</f>
        <v>0</v>
      </c>
      <c r="F74" s="282"/>
      <c r="G74" s="285">
        <f t="shared" si="7"/>
        <v>0</v>
      </c>
      <c r="H74" s="285"/>
      <c r="I74" s="283">
        <f t="shared" si="8"/>
        <v>0</v>
      </c>
      <c r="J74" s="284"/>
      <c r="K74" s="283">
        <f t="shared" si="5"/>
        <v>0</v>
      </c>
    </row>
    <row r="75" spans="1:11" ht="47.25" hidden="1" customHeight="1" x14ac:dyDescent="0.3">
      <c r="A75" s="289" t="s">
        <v>852</v>
      </c>
      <c r="B75" s="288" t="s">
        <v>851</v>
      </c>
      <c r="C75" s="301">
        <v>0</v>
      </c>
      <c r="D75" s="294">
        <f t="shared" si="6"/>
        <v>0</v>
      </c>
      <c r="E75" s="300">
        <v>0</v>
      </c>
      <c r="F75" s="282"/>
      <c r="G75" s="285">
        <f t="shared" si="7"/>
        <v>0</v>
      </c>
      <c r="H75" s="285"/>
      <c r="I75" s="283">
        <f t="shared" si="8"/>
        <v>0</v>
      </c>
      <c r="J75" s="284"/>
      <c r="K75" s="283">
        <f t="shared" si="5"/>
        <v>0</v>
      </c>
    </row>
    <row r="76" spans="1:11" ht="39.75" customHeight="1" x14ac:dyDescent="0.3">
      <c r="A76" s="289" t="s">
        <v>850</v>
      </c>
      <c r="B76" s="288" t="s">
        <v>849</v>
      </c>
      <c r="C76" s="301">
        <v>1050</v>
      </c>
      <c r="D76" s="294">
        <f t="shared" si="6"/>
        <v>150</v>
      </c>
      <c r="E76" s="300">
        <f>E83+E84+E77</f>
        <v>1200</v>
      </c>
      <c r="F76" s="282"/>
      <c r="G76" s="285">
        <f t="shared" si="7"/>
        <v>1200</v>
      </c>
      <c r="H76" s="285"/>
      <c r="I76" s="283">
        <f t="shared" si="8"/>
        <v>1200</v>
      </c>
      <c r="J76" s="284"/>
      <c r="K76" s="283">
        <f t="shared" ref="K76:K107" si="9">I76+J76</f>
        <v>1200</v>
      </c>
    </row>
    <row r="77" spans="1:11" ht="69" customHeight="1" x14ac:dyDescent="0.3">
      <c r="A77" s="289" t="s">
        <v>848</v>
      </c>
      <c r="B77" s="288" t="s">
        <v>847</v>
      </c>
      <c r="C77" s="301">
        <v>0</v>
      </c>
      <c r="D77" s="294">
        <f t="shared" si="6"/>
        <v>400</v>
      </c>
      <c r="E77" s="300">
        <f>E78</f>
        <v>400</v>
      </c>
      <c r="F77" s="282"/>
      <c r="G77" s="285">
        <f t="shared" si="7"/>
        <v>400</v>
      </c>
      <c r="H77" s="285"/>
      <c r="I77" s="283">
        <f t="shared" si="8"/>
        <v>400</v>
      </c>
      <c r="J77" s="284"/>
      <c r="K77" s="283">
        <f t="shared" si="9"/>
        <v>400</v>
      </c>
    </row>
    <row r="78" spans="1:11" ht="110.25" hidden="1" customHeight="1" x14ac:dyDescent="0.3">
      <c r="A78" s="289" t="s">
        <v>846</v>
      </c>
      <c r="B78" s="288" t="s">
        <v>845</v>
      </c>
      <c r="C78" s="301">
        <f>C79</f>
        <v>400</v>
      </c>
      <c r="D78" s="294">
        <f t="shared" si="6"/>
        <v>0</v>
      </c>
      <c r="E78" s="300">
        <f>E79</f>
        <v>400</v>
      </c>
      <c r="F78" s="282"/>
      <c r="G78" s="285">
        <f t="shared" si="7"/>
        <v>400</v>
      </c>
      <c r="H78" s="285"/>
      <c r="I78" s="283">
        <f t="shared" si="8"/>
        <v>400</v>
      </c>
      <c r="J78" s="284"/>
      <c r="K78" s="283">
        <f t="shared" si="9"/>
        <v>400</v>
      </c>
    </row>
    <row r="79" spans="1:11" ht="110.25" hidden="1" customHeight="1" x14ac:dyDescent="0.3">
      <c r="A79" s="289" t="s">
        <v>844</v>
      </c>
      <c r="B79" s="288" t="s">
        <v>843</v>
      </c>
      <c r="C79" s="301">
        <v>400</v>
      </c>
      <c r="D79" s="294">
        <f t="shared" ref="D79:D109" si="10">E79-C79</f>
        <v>0</v>
      </c>
      <c r="E79" s="300">
        <v>400</v>
      </c>
      <c r="F79" s="282"/>
      <c r="G79" s="285">
        <f t="shared" ref="G79:G109" si="11">E79+F79</f>
        <v>400</v>
      </c>
      <c r="H79" s="285"/>
      <c r="I79" s="283">
        <f t="shared" si="8"/>
        <v>400</v>
      </c>
      <c r="J79" s="284"/>
      <c r="K79" s="283">
        <f t="shared" si="9"/>
        <v>400</v>
      </c>
    </row>
    <row r="80" spans="1:11" ht="57" customHeight="1" x14ac:dyDescent="0.3">
      <c r="A80" s="289" t="s">
        <v>842</v>
      </c>
      <c r="B80" s="288" t="s">
        <v>841</v>
      </c>
      <c r="C80" s="301">
        <v>1050</v>
      </c>
      <c r="D80" s="294">
        <f t="shared" si="10"/>
        <v>-250</v>
      </c>
      <c r="E80" s="300">
        <f>E81+E83</f>
        <v>800</v>
      </c>
      <c r="F80" s="282"/>
      <c r="G80" s="285">
        <f t="shared" si="11"/>
        <v>800</v>
      </c>
      <c r="H80" s="285"/>
      <c r="I80" s="283">
        <f t="shared" si="8"/>
        <v>800</v>
      </c>
      <c r="J80" s="284"/>
      <c r="K80" s="283">
        <f t="shared" si="9"/>
        <v>800</v>
      </c>
    </row>
    <row r="81" spans="1:11" ht="21.75" hidden="1" customHeight="1" x14ac:dyDescent="0.3">
      <c r="A81" s="289" t="s">
        <v>840</v>
      </c>
      <c r="B81" s="288" t="s">
        <v>839</v>
      </c>
      <c r="C81" s="301">
        <f>C82</f>
        <v>0</v>
      </c>
      <c r="D81" s="294">
        <f t="shared" si="10"/>
        <v>0</v>
      </c>
      <c r="E81" s="300">
        <f>E82</f>
        <v>0</v>
      </c>
      <c r="F81" s="282"/>
      <c r="G81" s="285">
        <f t="shared" si="11"/>
        <v>0</v>
      </c>
      <c r="H81" s="285"/>
      <c r="I81" s="283">
        <f t="shared" si="8"/>
        <v>0</v>
      </c>
      <c r="J81" s="284"/>
      <c r="K81" s="283">
        <f t="shared" si="9"/>
        <v>0</v>
      </c>
    </row>
    <row r="82" spans="1:11" ht="24.75" hidden="1" customHeight="1" x14ac:dyDescent="0.3">
      <c r="A82" s="289" t="s">
        <v>838</v>
      </c>
      <c r="B82" s="288" t="s">
        <v>837</v>
      </c>
      <c r="C82" s="301">
        <v>0</v>
      </c>
      <c r="D82" s="294">
        <f t="shared" si="10"/>
        <v>0</v>
      </c>
      <c r="E82" s="300">
        <v>0</v>
      </c>
      <c r="F82" s="282"/>
      <c r="G82" s="285">
        <f t="shared" si="11"/>
        <v>0</v>
      </c>
      <c r="H82" s="285"/>
      <c r="I82" s="283">
        <f t="shared" ref="I82:I113" si="12">G82+H82</f>
        <v>0</v>
      </c>
      <c r="J82" s="284"/>
      <c r="K82" s="283">
        <f t="shared" si="9"/>
        <v>0</v>
      </c>
    </row>
    <row r="83" spans="1:11" ht="46.5" hidden="1" customHeight="1" x14ac:dyDescent="0.3">
      <c r="A83" s="289" t="s">
        <v>836</v>
      </c>
      <c r="B83" s="288" t="s">
        <v>835</v>
      </c>
      <c r="C83" s="301">
        <v>800</v>
      </c>
      <c r="D83" s="294">
        <f t="shared" si="10"/>
        <v>0</v>
      </c>
      <c r="E83" s="300">
        <v>800</v>
      </c>
      <c r="F83" s="282"/>
      <c r="G83" s="285">
        <f t="shared" si="11"/>
        <v>800</v>
      </c>
      <c r="H83" s="285"/>
      <c r="I83" s="283">
        <f t="shared" si="12"/>
        <v>800</v>
      </c>
      <c r="J83" s="284"/>
      <c r="K83" s="283">
        <f t="shared" si="9"/>
        <v>800</v>
      </c>
    </row>
    <row r="84" spans="1:11" ht="26.25" hidden="1" customHeight="1" x14ac:dyDescent="0.3">
      <c r="A84" s="289" t="s">
        <v>834</v>
      </c>
      <c r="B84" s="288" t="s">
        <v>833</v>
      </c>
      <c r="C84" s="301">
        <v>0</v>
      </c>
      <c r="D84" s="294">
        <f t="shared" si="10"/>
        <v>0</v>
      </c>
      <c r="E84" s="300">
        <v>0</v>
      </c>
      <c r="F84" s="282"/>
      <c r="G84" s="285">
        <f t="shared" si="11"/>
        <v>0</v>
      </c>
      <c r="H84" s="285"/>
      <c r="I84" s="283">
        <f t="shared" si="12"/>
        <v>0</v>
      </c>
      <c r="J84" s="284"/>
      <c r="K84" s="283">
        <f t="shared" si="9"/>
        <v>0</v>
      </c>
    </row>
    <row r="85" spans="1:11" ht="25.5" hidden="1" customHeight="1" x14ac:dyDescent="0.3">
      <c r="A85" s="289" t="s">
        <v>832</v>
      </c>
      <c r="B85" s="288" t="s">
        <v>831</v>
      </c>
      <c r="C85" s="301">
        <f>C86</f>
        <v>0</v>
      </c>
      <c r="D85" s="294">
        <f t="shared" si="10"/>
        <v>0</v>
      </c>
      <c r="E85" s="300">
        <f>E86</f>
        <v>0</v>
      </c>
      <c r="F85" s="282"/>
      <c r="G85" s="285">
        <f t="shared" si="11"/>
        <v>0</v>
      </c>
      <c r="H85" s="285"/>
      <c r="I85" s="283">
        <f t="shared" si="12"/>
        <v>0</v>
      </c>
      <c r="J85" s="284"/>
      <c r="K85" s="283">
        <f t="shared" si="9"/>
        <v>0</v>
      </c>
    </row>
    <row r="86" spans="1:11" ht="28.5" hidden="1" customHeight="1" x14ac:dyDescent="0.3">
      <c r="A86" s="289" t="s">
        <v>830</v>
      </c>
      <c r="B86" s="288" t="s">
        <v>829</v>
      </c>
      <c r="C86" s="301">
        <f>C87</f>
        <v>0</v>
      </c>
      <c r="D86" s="294">
        <f t="shared" si="10"/>
        <v>0</v>
      </c>
      <c r="E86" s="300">
        <f>E87</f>
        <v>0</v>
      </c>
      <c r="F86" s="282"/>
      <c r="G86" s="285">
        <f t="shared" si="11"/>
        <v>0</v>
      </c>
      <c r="H86" s="285"/>
      <c r="I86" s="283">
        <f t="shared" si="12"/>
        <v>0</v>
      </c>
      <c r="J86" s="284"/>
      <c r="K86" s="283">
        <f t="shared" si="9"/>
        <v>0</v>
      </c>
    </row>
    <row r="87" spans="1:11" ht="32.25" hidden="1" customHeight="1" x14ac:dyDescent="0.3">
      <c r="A87" s="289" t="s">
        <v>828</v>
      </c>
      <c r="B87" s="288" t="s">
        <v>827</v>
      </c>
      <c r="C87" s="301"/>
      <c r="D87" s="294">
        <f t="shared" si="10"/>
        <v>0</v>
      </c>
      <c r="E87" s="300"/>
      <c r="F87" s="282"/>
      <c r="G87" s="285">
        <f t="shared" si="11"/>
        <v>0</v>
      </c>
      <c r="H87" s="285"/>
      <c r="I87" s="283">
        <f t="shared" si="12"/>
        <v>0</v>
      </c>
      <c r="J87" s="284"/>
      <c r="K87" s="283">
        <f t="shared" si="9"/>
        <v>0</v>
      </c>
    </row>
    <row r="88" spans="1:11" ht="18.75" customHeight="1" x14ac:dyDescent="0.3">
      <c r="A88" s="289" t="s">
        <v>826</v>
      </c>
      <c r="B88" s="323" t="s">
        <v>825</v>
      </c>
      <c r="C88" s="301">
        <f>C89+C92+C93+C96+C102+C105+C106+C100+C104+C101</f>
        <v>1740</v>
      </c>
      <c r="D88" s="294">
        <f t="shared" si="10"/>
        <v>110</v>
      </c>
      <c r="E88" s="300">
        <f>E89+E92+E93+E96+E102+E105+E106+E100+E104+E101+E107</f>
        <v>1850</v>
      </c>
      <c r="F88" s="282"/>
      <c r="G88" s="285">
        <f t="shared" si="11"/>
        <v>1850</v>
      </c>
      <c r="H88" s="285"/>
      <c r="I88" s="283">
        <f t="shared" si="12"/>
        <v>1850</v>
      </c>
      <c r="J88" s="284"/>
      <c r="K88" s="283">
        <f t="shared" si="9"/>
        <v>1850</v>
      </c>
    </row>
    <row r="89" spans="1:11" ht="36" customHeight="1" x14ac:dyDescent="0.3">
      <c r="A89" s="289" t="s">
        <v>824</v>
      </c>
      <c r="B89" s="323" t="s">
        <v>823</v>
      </c>
      <c r="C89" s="301">
        <v>36</v>
      </c>
      <c r="D89" s="294">
        <f t="shared" si="10"/>
        <v>0</v>
      </c>
      <c r="E89" s="300">
        <f>E90+E91</f>
        <v>36</v>
      </c>
      <c r="F89" s="282"/>
      <c r="G89" s="285">
        <f t="shared" si="11"/>
        <v>36</v>
      </c>
      <c r="H89" s="285"/>
      <c r="I89" s="283">
        <f t="shared" si="12"/>
        <v>36</v>
      </c>
      <c r="J89" s="284"/>
      <c r="K89" s="283">
        <f t="shared" si="9"/>
        <v>36</v>
      </c>
    </row>
    <row r="90" spans="1:11" ht="64.5" customHeight="1" x14ac:dyDescent="0.3">
      <c r="A90" s="289" t="s">
        <v>822</v>
      </c>
      <c r="B90" s="323" t="s">
        <v>821</v>
      </c>
      <c r="C90" s="301">
        <v>28</v>
      </c>
      <c r="D90" s="294">
        <f t="shared" si="10"/>
        <v>0</v>
      </c>
      <c r="E90" s="300">
        <v>28</v>
      </c>
      <c r="F90" s="282"/>
      <c r="G90" s="285">
        <f t="shared" si="11"/>
        <v>28</v>
      </c>
      <c r="H90" s="285"/>
      <c r="I90" s="283">
        <f t="shared" si="12"/>
        <v>28</v>
      </c>
      <c r="J90" s="284"/>
      <c r="K90" s="283">
        <f t="shared" si="9"/>
        <v>28</v>
      </c>
    </row>
    <row r="91" spans="1:11" ht="54" customHeight="1" x14ac:dyDescent="0.3">
      <c r="A91" s="289" t="s">
        <v>820</v>
      </c>
      <c r="B91" s="323" t="s">
        <v>819</v>
      </c>
      <c r="C91" s="301">
        <v>8</v>
      </c>
      <c r="D91" s="294">
        <f t="shared" si="10"/>
        <v>0</v>
      </c>
      <c r="E91" s="300">
        <v>8</v>
      </c>
      <c r="F91" s="282"/>
      <c r="G91" s="285">
        <f t="shared" si="11"/>
        <v>8</v>
      </c>
      <c r="H91" s="285"/>
      <c r="I91" s="283">
        <f t="shared" si="12"/>
        <v>8</v>
      </c>
      <c r="J91" s="284"/>
      <c r="K91" s="283">
        <f t="shared" si="9"/>
        <v>8</v>
      </c>
    </row>
    <row r="92" spans="1:11" ht="78.75" hidden="1" customHeight="1" x14ac:dyDescent="0.3">
      <c r="A92" s="289" t="s">
        <v>818</v>
      </c>
      <c r="B92" s="323" t="s">
        <v>817</v>
      </c>
      <c r="C92" s="301"/>
      <c r="D92" s="294">
        <f t="shared" si="10"/>
        <v>0</v>
      </c>
      <c r="E92" s="300"/>
      <c r="F92" s="282"/>
      <c r="G92" s="285">
        <f t="shared" si="11"/>
        <v>0</v>
      </c>
      <c r="H92" s="285"/>
      <c r="I92" s="283">
        <f t="shared" si="12"/>
        <v>0</v>
      </c>
      <c r="J92" s="284"/>
      <c r="K92" s="283">
        <f t="shared" si="9"/>
        <v>0</v>
      </c>
    </row>
    <row r="93" spans="1:11" ht="54.75" customHeight="1" x14ac:dyDescent="0.3">
      <c r="A93" s="289" t="s">
        <v>816</v>
      </c>
      <c r="B93" s="323" t="s">
        <v>815</v>
      </c>
      <c r="C93" s="301">
        <v>34</v>
      </c>
      <c r="D93" s="294">
        <f t="shared" si="10"/>
        <v>0</v>
      </c>
      <c r="E93" s="300">
        <v>34</v>
      </c>
      <c r="F93" s="282"/>
      <c r="G93" s="285">
        <f t="shared" si="11"/>
        <v>34</v>
      </c>
      <c r="H93" s="285"/>
      <c r="I93" s="283">
        <f t="shared" si="12"/>
        <v>34</v>
      </c>
      <c r="J93" s="284"/>
      <c r="K93" s="283">
        <f t="shared" si="9"/>
        <v>34</v>
      </c>
    </row>
    <row r="94" spans="1:11" ht="55.5" customHeight="1" x14ac:dyDescent="0.3">
      <c r="A94" s="289" t="s">
        <v>814</v>
      </c>
      <c r="B94" s="323" t="s">
        <v>813</v>
      </c>
      <c r="C94" s="301">
        <v>30</v>
      </c>
      <c r="D94" s="294">
        <f t="shared" si="10"/>
        <v>0</v>
      </c>
      <c r="E94" s="300">
        <v>30</v>
      </c>
      <c r="F94" s="282"/>
      <c r="G94" s="285">
        <f t="shared" si="11"/>
        <v>30</v>
      </c>
      <c r="H94" s="285"/>
      <c r="I94" s="283">
        <f t="shared" si="12"/>
        <v>30</v>
      </c>
      <c r="J94" s="284"/>
      <c r="K94" s="283">
        <f t="shared" si="9"/>
        <v>30</v>
      </c>
    </row>
    <row r="95" spans="1:11" ht="53.25" customHeight="1" x14ac:dyDescent="0.3">
      <c r="A95" s="289" t="s">
        <v>812</v>
      </c>
      <c r="B95" s="323" t="s">
        <v>811</v>
      </c>
      <c r="C95" s="301">
        <v>4</v>
      </c>
      <c r="D95" s="294">
        <f t="shared" si="10"/>
        <v>0</v>
      </c>
      <c r="E95" s="300">
        <v>4</v>
      </c>
      <c r="F95" s="282"/>
      <c r="G95" s="285">
        <f t="shared" si="11"/>
        <v>4</v>
      </c>
      <c r="H95" s="285"/>
      <c r="I95" s="283">
        <f t="shared" si="12"/>
        <v>4</v>
      </c>
      <c r="J95" s="284"/>
      <c r="K95" s="283">
        <f t="shared" si="9"/>
        <v>4</v>
      </c>
    </row>
    <row r="96" spans="1:11" ht="94.5" customHeight="1" x14ac:dyDescent="0.3">
      <c r="A96" s="289" t="s">
        <v>810</v>
      </c>
      <c r="B96" s="323" t="s">
        <v>809</v>
      </c>
      <c r="C96" s="301">
        <v>2</v>
      </c>
      <c r="D96" s="294">
        <f t="shared" si="10"/>
        <v>0</v>
      </c>
      <c r="E96" s="300">
        <v>2</v>
      </c>
      <c r="F96" s="282"/>
      <c r="G96" s="285">
        <f t="shared" si="11"/>
        <v>2</v>
      </c>
      <c r="H96" s="285"/>
      <c r="I96" s="283">
        <f t="shared" si="12"/>
        <v>2</v>
      </c>
      <c r="J96" s="284"/>
      <c r="K96" s="283">
        <f t="shared" si="9"/>
        <v>2</v>
      </c>
    </row>
    <row r="97" spans="1:13" ht="36" customHeight="1" x14ac:dyDescent="0.3">
      <c r="A97" s="289" t="s">
        <v>808</v>
      </c>
      <c r="B97" s="323" t="s">
        <v>806</v>
      </c>
      <c r="C97" s="301">
        <v>2</v>
      </c>
      <c r="D97" s="294">
        <f t="shared" si="10"/>
        <v>0</v>
      </c>
      <c r="E97" s="300">
        <v>2</v>
      </c>
      <c r="F97" s="282"/>
      <c r="G97" s="285">
        <f t="shared" si="11"/>
        <v>2</v>
      </c>
      <c r="H97" s="285"/>
      <c r="I97" s="283">
        <f t="shared" si="12"/>
        <v>2</v>
      </c>
      <c r="J97" s="284"/>
      <c r="K97" s="283">
        <f t="shared" si="9"/>
        <v>2</v>
      </c>
    </row>
    <row r="98" spans="1:13" ht="36.75" hidden="1" customHeight="1" x14ac:dyDescent="0.3">
      <c r="A98" s="289" t="s">
        <v>807</v>
      </c>
      <c r="B98" s="323" t="s">
        <v>806</v>
      </c>
      <c r="C98" s="301">
        <v>0</v>
      </c>
      <c r="D98" s="294">
        <f t="shared" si="10"/>
        <v>0</v>
      </c>
      <c r="E98" s="300">
        <v>0</v>
      </c>
      <c r="F98" s="282"/>
      <c r="G98" s="285">
        <f t="shared" si="11"/>
        <v>0</v>
      </c>
      <c r="H98" s="285"/>
      <c r="I98" s="283">
        <f t="shared" si="12"/>
        <v>0</v>
      </c>
      <c r="J98" s="284"/>
      <c r="K98" s="283">
        <f t="shared" si="9"/>
        <v>0</v>
      </c>
    </row>
    <row r="99" spans="1:13" ht="51" hidden="1" customHeight="1" x14ac:dyDescent="0.3">
      <c r="A99" s="289" t="s">
        <v>805</v>
      </c>
      <c r="B99" s="323" t="s">
        <v>804</v>
      </c>
      <c r="C99" s="301"/>
      <c r="D99" s="294">
        <f t="shared" si="10"/>
        <v>0</v>
      </c>
      <c r="E99" s="300"/>
      <c r="F99" s="282"/>
      <c r="G99" s="285">
        <f t="shared" si="11"/>
        <v>0</v>
      </c>
      <c r="H99" s="285"/>
      <c r="I99" s="283">
        <f t="shared" si="12"/>
        <v>0</v>
      </c>
      <c r="J99" s="284"/>
      <c r="K99" s="283">
        <f t="shared" si="9"/>
        <v>0</v>
      </c>
    </row>
    <row r="100" spans="1:13" ht="50.25" customHeight="1" x14ac:dyDescent="0.3">
      <c r="A100" s="289" t="s">
        <v>803</v>
      </c>
      <c r="B100" s="323" t="s">
        <v>802</v>
      </c>
      <c r="C100" s="301">
        <v>858</v>
      </c>
      <c r="D100" s="294">
        <f t="shared" si="10"/>
        <v>-390</v>
      </c>
      <c r="E100" s="300">
        <v>468</v>
      </c>
      <c r="F100" s="282"/>
      <c r="G100" s="285">
        <f t="shared" si="11"/>
        <v>468</v>
      </c>
      <c r="H100" s="285"/>
      <c r="I100" s="283">
        <f t="shared" si="12"/>
        <v>468</v>
      </c>
      <c r="J100" s="284"/>
      <c r="K100" s="283">
        <f t="shared" si="9"/>
        <v>468</v>
      </c>
    </row>
    <row r="101" spans="1:13" ht="30.75" hidden="1" customHeight="1" x14ac:dyDescent="0.3">
      <c r="A101" s="289" t="s">
        <v>801</v>
      </c>
      <c r="B101" s="323" t="s">
        <v>800</v>
      </c>
      <c r="C101" s="301">
        <v>0</v>
      </c>
      <c r="D101" s="294">
        <f t="shared" si="10"/>
        <v>0</v>
      </c>
      <c r="E101" s="300">
        <v>0</v>
      </c>
      <c r="F101" s="282"/>
      <c r="G101" s="285">
        <f t="shared" si="11"/>
        <v>0</v>
      </c>
      <c r="H101" s="285"/>
      <c r="I101" s="283">
        <f t="shared" si="12"/>
        <v>0</v>
      </c>
      <c r="J101" s="284"/>
      <c r="K101" s="283">
        <f t="shared" si="9"/>
        <v>0</v>
      </c>
    </row>
    <row r="102" spans="1:13" ht="47.25" hidden="1" customHeight="1" x14ac:dyDescent="0.3">
      <c r="A102" s="289" t="s">
        <v>799</v>
      </c>
      <c r="B102" s="323" t="s">
        <v>798</v>
      </c>
      <c r="C102" s="301">
        <f>C103</f>
        <v>0</v>
      </c>
      <c r="D102" s="294">
        <f t="shared" si="10"/>
        <v>0</v>
      </c>
      <c r="E102" s="300">
        <f>E103</f>
        <v>0</v>
      </c>
      <c r="F102" s="282"/>
      <c r="G102" s="285">
        <f t="shared" si="11"/>
        <v>0</v>
      </c>
      <c r="H102" s="285"/>
      <c r="I102" s="283">
        <f t="shared" si="12"/>
        <v>0</v>
      </c>
      <c r="J102" s="284"/>
      <c r="K102" s="283">
        <f t="shared" si="9"/>
        <v>0</v>
      </c>
    </row>
    <row r="103" spans="1:13" ht="63" hidden="1" customHeight="1" x14ac:dyDescent="0.3">
      <c r="A103" s="289" t="s">
        <v>797</v>
      </c>
      <c r="B103" s="323" t="s">
        <v>796</v>
      </c>
      <c r="C103" s="301"/>
      <c r="D103" s="294">
        <f t="shared" si="10"/>
        <v>0</v>
      </c>
      <c r="E103" s="300"/>
      <c r="F103" s="282"/>
      <c r="G103" s="285">
        <f t="shared" si="11"/>
        <v>0</v>
      </c>
      <c r="H103" s="285"/>
      <c r="I103" s="283">
        <f t="shared" si="12"/>
        <v>0</v>
      </c>
      <c r="J103" s="284"/>
      <c r="K103" s="283">
        <f t="shared" si="9"/>
        <v>0</v>
      </c>
    </row>
    <row r="104" spans="1:13" ht="47.25" hidden="1" customHeight="1" x14ac:dyDescent="0.3">
      <c r="A104" s="289" t="s">
        <v>795</v>
      </c>
      <c r="B104" s="323" t="s">
        <v>794</v>
      </c>
      <c r="C104" s="301"/>
      <c r="D104" s="294">
        <f t="shared" si="10"/>
        <v>0</v>
      </c>
      <c r="E104" s="300"/>
      <c r="F104" s="282"/>
      <c r="G104" s="285">
        <f t="shared" si="11"/>
        <v>0</v>
      </c>
      <c r="H104" s="285"/>
      <c r="I104" s="283">
        <f t="shared" si="12"/>
        <v>0</v>
      </c>
      <c r="J104" s="284"/>
      <c r="K104" s="283">
        <f t="shared" si="9"/>
        <v>0</v>
      </c>
    </row>
    <row r="105" spans="1:13" ht="64.5" customHeight="1" x14ac:dyDescent="0.3">
      <c r="A105" s="289" t="s">
        <v>793</v>
      </c>
      <c r="B105" s="323" t="s">
        <v>792</v>
      </c>
      <c r="C105" s="301">
        <v>170</v>
      </c>
      <c r="D105" s="294">
        <f t="shared" si="10"/>
        <v>-41</v>
      </c>
      <c r="E105" s="300">
        <v>129</v>
      </c>
      <c r="F105" s="282"/>
      <c r="G105" s="285">
        <f t="shared" si="11"/>
        <v>129</v>
      </c>
      <c r="H105" s="285"/>
      <c r="I105" s="283">
        <f t="shared" si="12"/>
        <v>129</v>
      </c>
      <c r="J105" s="284"/>
      <c r="K105" s="283">
        <f t="shared" si="9"/>
        <v>129</v>
      </c>
    </row>
    <row r="106" spans="1:13" ht="32.25" customHeight="1" x14ac:dyDescent="0.3">
      <c r="A106" s="289" t="s">
        <v>791</v>
      </c>
      <c r="B106" s="323" t="s">
        <v>790</v>
      </c>
      <c r="C106" s="301">
        <v>640</v>
      </c>
      <c r="D106" s="294">
        <f t="shared" si="10"/>
        <v>391</v>
      </c>
      <c r="E106" s="300">
        <v>1031</v>
      </c>
      <c r="F106" s="282"/>
      <c r="G106" s="285">
        <f t="shared" si="11"/>
        <v>1031</v>
      </c>
      <c r="H106" s="285"/>
      <c r="I106" s="283">
        <f t="shared" si="12"/>
        <v>1031</v>
      </c>
      <c r="J106" s="284"/>
      <c r="K106" s="283">
        <f t="shared" si="9"/>
        <v>1031</v>
      </c>
    </row>
    <row r="107" spans="1:13" ht="34.5" customHeight="1" x14ac:dyDescent="0.3">
      <c r="A107" s="289" t="s">
        <v>789</v>
      </c>
      <c r="B107" s="323" t="s">
        <v>788</v>
      </c>
      <c r="C107" s="301">
        <v>640</v>
      </c>
      <c r="D107" s="294">
        <f t="shared" si="10"/>
        <v>-490</v>
      </c>
      <c r="E107" s="300">
        <v>150</v>
      </c>
      <c r="F107" s="282"/>
      <c r="G107" s="285">
        <f t="shared" si="11"/>
        <v>150</v>
      </c>
      <c r="H107" s="285"/>
      <c r="I107" s="283">
        <f t="shared" si="12"/>
        <v>150</v>
      </c>
      <c r="J107" s="284"/>
      <c r="K107" s="283">
        <f t="shared" si="9"/>
        <v>150</v>
      </c>
    </row>
    <row r="108" spans="1:13" ht="0.75" customHeight="1" x14ac:dyDescent="0.3">
      <c r="A108" s="289" t="s">
        <v>787</v>
      </c>
      <c r="B108" s="288" t="s">
        <v>786</v>
      </c>
      <c r="C108" s="301">
        <f>C109</f>
        <v>0</v>
      </c>
      <c r="D108" s="294">
        <f t="shared" si="10"/>
        <v>0</v>
      </c>
      <c r="E108" s="300">
        <f>E109</f>
        <v>0</v>
      </c>
      <c r="F108" s="282"/>
      <c r="G108" s="285">
        <f t="shared" si="11"/>
        <v>0</v>
      </c>
      <c r="H108" s="285"/>
      <c r="I108" s="283">
        <f t="shared" si="12"/>
        <v>0</v>
      </c>
      <c r="J108" s="284"/>
      <c r="K108" s="283">
        <f t="shared" ref="K108:K139" si="13">I108+J108</f>
        <v>0</v>
      </c>
    </row>
    <row r="109" spans="1:13" ht="22.5" hidden="1" customHeight="1" x14ac:dyDescent="0.3">
      <c r="A109" s="289" t="s">
        <v>785</v>
      </c>
      <c r="B109" s="288" t="s">
        <v>784</v>
      </c>
      <c r="C109" s="301"/>
      <c r="D109" s="294">
        <f t="shared" si="10"/>
        <v>0</v>
      </c>
      <c r="E109" s="300"/>
      <c r="F109" s="282"/>
      <c r="G109" s="285">
        <f t="shared" si="11"/>
        <v>0</v>
      </c>
      <c r="H109" s="285"/>
      <c r="I109" s="283">
        <f t="shared" si="12"/>
        <v>0</v>
      </c>
      <c r="J109" s="284"/>
      <c r="K109" s="283">
        <f t="shared" si="13"/>
        <v>0</v>
      </c>
    </row>
    <row r="110" spans="1:13" ht="23.25" customHeight="1" x14ac:dyDescent="0.3">
      <c r="A110" s="289" t="s">
        <v>783</v>
      </c>
      <c r="B110" s="288" t="s">
        <v>782</v>
      </c>
      <c r="C110" s="301">
        <f>C111</f>
        <v>283641.40000000002</v>
      </c>
      <c r="D110" s="319">
        <f>D111</f>
        <v>250398.7</v>
      </c>
      <c r="E110" s="300">
        <f>E111</f>
        <v>542509</v>
      </c>
      <c r="F110" s="300">
        <f>F111+F181+F182</f>
        <v>1685.1754499999954</v>
      </c>
      <c r="G110" s="319">
        <f>G111+G181+G182</f>
        <v>544194.1754500001</v>
      </c>
      <c r="H110" s="319">
        <f>H111+H178+H181+H182</f>
        <v>32547.12833</v>
      </c>
      <c r="I110" s="283">
        <f t="shared" si="12"/>
        <v>576741.30378000007</v>
      </c>
      <c r="J110" s="283">
        <f>J111</f>
        <v>6917.82683</v>
      </c>
      <c r="K110" s="283">
        <f t="shared" si="13"/>
        <v>583659.13061000011</v>
      </c>
      <c r="L110" s="297">
        <f>K111+K178+K181+K182</f>
        <v>583659.13061000011</v>
      </c>
    </row>
    <row r="111" spans="1:13" ht="39.75" customHeight="1" x14ac:dyDescent="0.3">
      <c r="A111" s="289" t="s">
        <v>781</v>
      </c>
      <c r="B111" s="288" t="s">
        <v>780</v>
      </c>
      <c r="C111" s="301">
        <f t="shared" ref="C111:H111" si="14">C112+C120+C149+C175</f>
        <v>283641.40000000002</v>
      </c>
      <c r="D111" s="319">
        <f t="shared" si="14"/>
        <v>250398.7</v>
      </c>
      <c r="E111" s="300">
        <f t="shared" si="14"/>
        <v>542509</v>
      </c>
      <c r="F111" s="300">
        <f t="shared" si="14"/>
        <v>1716.7673799999964</v>
      </c>
      <c r="G111" s="319">
        <f t="shared" si="14"/>
        <v>544225.76738000009</v>
      </c>
      <c r="H111" s="319">
        <f t="shared" si="14"/>
        <v>30378.002980000001</v>
      </c>
      <c r="I111" s="283">
        <f t="shared" si="12"/>
        <v>574603.77036000008</v>
      </c>
      <c r="J111" s="283">
        <f>J112+J120+J149+J175</f>
        <v>6917.82683</v>
      </c>
      <c r="K111" s="283">
        <f t="shared" si="13"/>
        <v>581521.59719000012</v>
      </c>
      <c r="L111" s="297">
        <f>K112+K120+K149+K175</f>
        <v>581521.59719</v>
      </c>
      <c r="M111" s="297">
        <f>L111+K178+K181+K182</f>
        <v>583659.13060999999</v>
      </c>
    </row>
    <row r="112" spans="1:13" ht="31.5" x14ac:dyDescent="0.3">
      <c r="A112" s="289" t="s">
        <v>779</v>
      </c>
      <c r="B112" s="288" t="s">
        <v>778</v>
      </c>
      <c r="C112" s="301">
        <f>C113+C115+C117</f>
        <v>104579.2</v>
      </c>
      <c r="D112" s="294">
        <f t="shared" ref="D112:D118" si="15">E112-C112</f>
        <v>44114.900000000009</v>
      </c>
      <c r="E112" s="300">
        <f>E113+E115+E117</f>
        <v>148694.1</v>
      </c>
      <c r="F112" s="282">
        <f>F113+F119</f>
        <v>36</v>
      </c>
      <c r="G112" s="285">
        <f>E112+F112</f>
        <v>148730.1</v>
      </c>
      <c r="H112" s="285"/>
      <c r="I112" s="283">
        <f t="shared" si="12"/>
        <v>148730.1</v>
      </c>
      <c r="J112" s="283"/>
      <c r="K112" s="283">
        <f t="shared" si="13"/>
        <v>148730.1</v>
      </c>
    </row>
    <row r="113" spans="1:13" ht="18.75" hidden="1" x14ac:dyDescent="0.3">
      <c r="A113" s="289" t="s">
        <v>777</v>
      </c>
      <c r="B113" s="288" t="s">
        <v>776</v>
      </c>
      <c r="C113" s="301">
        <v>104579.2</v>
      </c>
      <c r="D113" s="294">
        <f t="shared" si="15"/>
        <v>44114.900000000009</v>
      </c>
      <c r="E113" s="300">
        <f>E114</f>
        <v>148694.1</v>
      </c>
      <c r="F113" s="282"/>
      <c r="G113" s="285">
        <f>E113+F113</f>
        <v>148694.1</v>
      </c>
      <c r="H113" s="285"/>
      <c r="I113" s="283">
        <f t="shared" si="12"/>
        <v>148694.1</v>
      </c>
      <c r="J113" s="283"/>
      <c r="K113" s="283">
        <f t="shared" si="13"/>
        <v>148694.1</v>
      </c>
    </row>
    <row r="114" spans="1:13" ht="32.25" customHeight="1" x14ac:dyDescent="0.3">
      <c r="A114" s="289" t="s">
        <v>775</v>
      </c>
      <c r="B114" s="288" t="s">
        <v>774</v>
      </c>
      <c r="C114" s="301">
        <v>104579.2</v>
      </c>
      <c r="D114" s="294">
        <f t="shared" si="15"/>
        <v>44114.900000000009</v>
      </c>
      <c r="E114" s="300">
        <v>148694.1</v>
      </c>
      <c r="F114" s="282"/>
      <c r="G114" s="285">
        <f>E114+F114</f>
        <v>148694.1</v>
      </c>
      <c r="H114" s="285"/>
      <c r="I114" s="283">
        <f t="shared" ref="I114:I145" si="16">G114+H114</f>
        <v>148694.1</v>
      </c>
      <c r="J114" s="283"/>
      <c r="K114" s="283">
        <f t="shared" si="13"/>
        <v>148694.1</v>
      </c>
    </row>
    <row r="115" spans="1:13" ht="51" hidden="1" customHeight="1" x14ac:dyDescent="0.3">
      <c r="A115" s="289" t="s">
        <v>773</v>
      </c>
      <c r="B115" s="288" t="s">
        <v>772</v>
      </c>
      <c r="C115" s="301">
        <f>C116</f>
        <v>0</v>
      </c>
      <c r="D115" s="294">
        <f t="shared" si="15"/>
        <v>0</v>
      </c>
      <c r="E115" s="300">
        <f>E116</f>
        <v>0</v>
      </c>
      <c r="F115" s="282"/>
      <c r="G115" s="285"/>
      <c r="H115" s="285"/>
      <c r="I115" s="283">
        <f t="shared" si="16"/>
        <v>0</v>
      </c>
      <c r="J115" s="283"/>
      <c r="K115" s="283">
        <f t="shared" si="13"/>
        <v>0</v>
      </c>
    </row>
    <row r="116" spans="1:13" ht="45" hidden="1" customHeight="1" x14ac:dyDescent="0.3">
      <c r="A116" s="289" t="s">
        <v>771</v>
      </c>
      <c r="B116" s="288" t="s">
        <v>765</v>
      </c>
      <c r="C116" s="301"/>
      <c r="D116" s="294">
        <f t="shared" si="15"/>
        <v>0</v>
      </c>
      <c r="E116" s="300"/>
      <c r="F116" s="282"/>
      <c r="G116" s="285"/>
      <c r="H116" s="285"/>
      <c r="I116" s="283">
        <f t="shared" si="16"/>
        <v>0</v>
      </c>
      <c r="J116" s="283"/>
      <c r="K116" s="283">
        <f t="shared" si="13"/>
        <v>0</v>
      </c>
    </row>
    <row r="117" spans="1:13" ht="44.25" hidden="1" customHeight="1" x14ac:dyDescent="0.3">
      <c r="A117" s="289" t="s">
        <v>770</v>
      </c>
      <c r="B117" s="288" t="s">
        <v>769</v>
      </c>
      <c r="C117" s="301">
        <f>SUM(C118)</f>
        <v>0</v>
      </c>
      <c r="D117" s="294">
        <f t="shared" si="15"/>
        <v>0</v>
      </c>
      <c r="E117" s="300">
        <f>SUM(E118)</f>
        <v>0</v>
      </c>
      <c r="F117" s="282"/>
      <c r="G117" s="285"/>
      <c r="H117" s="285"/>
      <c r="I117" s="283">
        <f t="shared" si="16"/>
        <v>0</v>
      </c>
      <c r="J117" s="283"/>
      <c r="K117" s="283">
        <f t="shared" si="13"/>
        <v>0</v>
      </c>
    </row>
    <row r="118" spans="1:13" ht="45" hidden="1" customHeight="1" x14ac:dyDescent="0.3">
      <c r="A118" s="289" t="s">
        <v>768</v>
      </c>
      <c r="B118" s="288" t="s">
        <v>767</v>
      </c>
      <c r="C118" s="301"/>
      <c r="D118" s="294">
        <f t="shared" si="15"/>
        <v>0</v>
      </c>
      <c r="E118" s="300"/>
      <c r="F118" s="282"/>
      <c r="G118" s="285"/>
      <c r="H118" s="285"/>
      <c r="I118" s="283">
        <f t="shared" si="16"/>
        <v>0</v>
      </c>
      <c r="J118" s="283"/>
      <c r="K118" s="283">
        <f t="shared" si="13"/>
        <v>0</v>
      </c>
    </row>
    <row r="119" spans="1:13" ht="35.25" customHeight="1" x14ac:dyDescent="0.3">
      <c r="A119" s="289" t="s">
        <v>766</v>
      </c>
      <c r="B119" s="288" t="s">
        <v>765</v>
      </c>
      <c r="C119" s="301"/>
      <c r="D119" s="294"/>
      <c r="E119" s="300"/>
      <c r="F119" s="282">
        <v>36</v>
      </c>
      <c r="G119" s="285">
        <f>E119+F119</f>
        <v>36</v>
      </c>
      <c r="H119" s="285"/>
      <c r="I119" s="283">
        <f t="shared" si="16"/>
        <v>36</v>
      </c>
      <c r="J119" s="283"/>
      <c r="K119" s="283">
        <f t="shared" si="13"/>
        <v>36</v>
      </c>
    </row>
    <row r="120" spans="1:13" ht="31.5" x14ac:dyDescent="0.3">
      <c r="A120" s="289" t="s">
        <v>764</v>
      </c>
      <c r="B120" s="288" t="s">
        <v>763</v>
      </c>
      <c r="C120" s="301"/>
      <c r="D120" s="319">
        <f>D123+D125+D126+D127+D128+D131+D136+D129</f>
        <v>171818</v>
      </c>
      <c r="E120" s="300">
        <v>180286.9</v>
      </c>
      <c r="F120" s="300">
        <f>F136+F131+F123+F125+F126+F127+F128+F134+F124+F129</f>
        <v>2631.5673799999963</v>
      </c>
      <c r="G120" s="319">
        <f>G129+G123+G124+G125+G126+G127+G128+G134+G136</f>
        <v>182918.46737999999</v>
      </c>
      <c r="H120" s="319">
        <f>H122+H123+H124+H125+H126+H127+H128+H134+H136+H129</f>
        <v>30369.002980000001</v>
      </c>
      <c r="I120" s="283">
        <f t="shared" si="16"/>
        <v>213287.47035999998</v>
      </c>
      <c r="J120" s="283">
        <f>J122+J123+J124+J125+J126+J127+J128+J129+J130+J131+J132+J133+J134+J136</f>
        <v>3016.82683</v>
      </c>
      <c r="K120" s="283">
        <f t="shared" si="13"/>
        <v>216304.29718999998</v>
      </c>
      <c r="L120" s="297">
        <f>K122+K123+K124+K125+K126+K127+K128+K129+K134+K136</f>
        <v>216304.29718999998</v>
      </c>
      <c r="M120" s="297"/>
    </row>
    <row r="121" spans="1:13" ht="18.75" hidden="1" x14ac:dyDescent="0.3">
      <c r="A121" s="289" t="s">
        <v>762</v>
      </c>
      <c r="B121" s="288"/>
      <c r="G121" s="322"/>
      <c r="H121" s="322"/>
      <c r="I121" s="283">
        <f t="shared" si="16"/>
        <v>0</v>
      </c>
      <c r="J121" s="283"/>
      <c r="K121" s="283">
        <f t="shared" si="13"/>
        <v>0</v>
      </c>
    </row>
    <row r="122" spans="1:13" ht="66" customHeight="1" x14ac:dyDescent="0.3">
      <c r="A122" s="289" t="s">
        <v>761</v>
      </c>
      <c r="B122" s="288" t="s">
        <v>760</v>
      </c>
      <c r="C122" s="301"/>
      <c r="D122" s="319"/>
      <c r="E122" s="300"/>
      <c r="F122" s="300"/>
      <c r="G122" s="319"/>
      <c r="H122" s="319">
        <v>30000</v>
      </c>
      <c r="I122" s="283">
        <f t="shared" si="16"/>
        <v>30000</v>
      </c>
      <c r="J122" s="283"/>
      <c r="K122" s="283">
        <f t="shared" si="13"/>
        <v>30000</v>
      </c>
    </row>
    <row r="123" spans="1:13" ht="63" x14ac:dyDescent="0.3">
      <c r="A123" s="289" t="s">
        <v>759</v>
      </c>
      <c r="B123" s="288" t="s">
        <v>758</v>
      </c>
      <c r="C123" s="301"/>
      <c r="D123" s="294">
        <f>E123-C123</f>
        <v>2105.3000000000002</v>
      </c>
      <c r="E123" s="300">
        <v>2105.3000000000002</v>
      </c>
      <c r="F123" s="282">
        <v>2631.6</v>
      </c>
      <c r="G123" s="285">
        <f t="shared" ref="G123:G134" si="17">E123+F123</f>
        <v>4736.8999999999996</v>
      </c>
      <c r="H123" s="285">
        <f>-2631.6+2631.57895-0.02884</f>
        <v>-4.988999999983193E-2</v>
      </c>
      <c r="I123" s="283">
        <f t="shared" si="16"/>
        <v>4736.8501099999994</v>
      </c>
      <c r="J123" s="283"/>
      <c r="K123" s="283">
        <f t="shared" si="13"/>
        <v>4736.8501099999994</v>
      </c>
    </row>
    <row r="124" spans="1:13" ht="97.5" customHeight="1" x14ac:dyDescent="0.3">
      <c r="A124" s="289" t="s">
        <v>757</v>
      </c>
      <c r="B124" s="288" t="s">
        <v>756</v>
      </c>
      <c r="C124" s="301"/>
      <c r="D124" s="294"/>
      <c r="E124" s="300"/>
      <c r="F124" s="300">
        <f>86646.978+875.222</f>
        <v>87522.2</v>
      </c>
      <c r="G124" s="285">
        <f t="shared" si="17"/>
        <v>87522.2</v>
      </c>
      <c r="H124" s="285">
        <v>5.5E-2</v>
      </c>
      <c r="I124" s="283">
        <f t="shared" si="16"/>
        <v>87522.25499999999</v>
      </c>
      <c r="J124" s="284"/>
      <c r="K124" s="283">
        <f t="shared" si="13"/>
        <v>87522.25499999999</v>
      </c>
    </row>
    <row r="125" spans="1:13" ht="47.25" x14ac:dyDescent="0.3">
      <c r="A125" s="289" t="s">
        <v>755</v>
      </c>
      <c r="B125" s="288" t="s">
        <v>754</v>
      </c>
      <c r="C125" s="301"/>
      <c r="D125" s="294">
        <v>1707.9</v>
      </c>
      <c r="E125" s="300">
        <v>1707.9</v>
      </c>
      <c r="F125" s="282"/>
      <c r="G125" s="285">
        <f t="shared" si="17"/>
        <v>1707.9</v>
      </c>
      <c r="H125" s="285"/>
      <c r="I125" s="283">
        <f t="shared" si="16"/>
        <v>1707.9</v>
      </c>
      <c r="J125" s="283">
        <v>-28.340959999999999</v>
      </c>
      <c r="K125" s="283">
        <f t="shared" si="13"/>
        <v>1679.5590400000001</v>
      </c>
    </row>
    <row r="126" spans="1:13" ht="47.25" x14ac:dyDescent="0.3">
      <c r="A126" s="289" t="s">
        <v>753</v>
      </c>
      <c r="B126" s="288" t="s">
        <v>752</v>
      </c>
      <c r="C126" s="301"/>
      <c r="D126" s="294">
        <v>455.3</v>
      </c>
      <c r="E126" s="300">
        <v>455.3</v>
      </c>
      <c r="F126" s="282">
        <v>2.8000000000000001E-2</v>
      </c>
      <c r="G126" s="285">
        <f t="shared" si="17"/>
        <v>455.32800000000003</v>
      </c>
      <c r="H126" s="285"/>
      <c r="I126" s="283">
        <f t="shared" si="16"/>
        <v>455.32800000000003</v>
      </c>
      <c r="J126" s="283"/>
      <c r="K126" s="283">
        <f t="shared" si="13"/>
        <v>455.32800000000003</v>
      </c>
    </row>
    <row r="127" spans="1:13" ht="47.25" x14ac:dyDescent="0.3">
      <c r="A127" s="289" t="s">
        <v>751</v>
      </c>
      <c r="B127" s="288" t="s">
        <v>750</v>
      </c>
      <c r="C127" s="301"/>
      <c r="D127" s="294">
        <v>2247.1999999999998</v>
      </c>
      <c r="E127" s="300">
        <v>2247.1999999999998</v>
      </c>
      <c r="F127" s="282"/>
      <c r="G127" s="285">
        <f t="shared" si="17"/>
        <v>2247.1999999999998</v>
      </c>
      <c r="H127" s="285"/>
      <c r="I127" s="283">
        <f t="shared" si="16"/>
        <v>2247.1999999999998</v>
      </c>
      <c r="J127" s="283">
        <v>-22.455390000000001</v>
      </c>
      <c r="K127" s="283">
        <f t="shared" si="13"/>
        <v>2224.7446099999997</v>
      </c>
    </row>
    <row r="128" spans="1:13" ht="31.5" x14ac:dyDescent="0.3">
      <c r="A128" s="289" t="s">
        <v>749</v>
      </c>
      <c r="B128" s="288" t="s">
        <v>748</v>
      </c>
      <c r="C128" s="301"/>
      <c r="D128" s="294">
        <v>659.3</v>
      </c>
      <c r="E128" s="300">
        <v>659.3</v>
      </c>
      <c r="F128" s="282">
        <v>6929.5421100000003</v>
      </c>
      <c r="G128" s="285">
        <f t="shared" si="17"/>
        <v>7588.8421100000005</v>
      </c>
      <c r="H128" s="285">
        <f>-550.57895+200.37682</f>
        <v>-350.20212999999995</v>
      </c>
      <c r="I128" s="283">
        <f t="shared" si="16"/>
        <v>7238.6399800000008</v>
      </c>
      <c r="J128" s="283">
        <v>-200.37682000000001</v>
      </c>
      <c r="K128" s="283">
        <f t="shared" si="13"/>
        <v>7038.2631600000004</v>
      </c>
    </row>
    <row r="129" spans="1:12" ht="30" customHeight="1" x14ac:dyDescent="0.3">
      <c r="A129" s="289" t="s">
        <v>747</v>
      </c>
      <c r="B129" s="288" t="s">
        <v>746</v>
      </c>
      <c r="C129" s="301">
        <v>4934</v>
      </c>
      <c r="D129" s="319">
        <v>-1084</v>
      </c>
      <c r="E129" s="300">
        <f>C129+D129</f>
        <v>3850</v>
      </c>
      <c r="F129" s="300">
        <v>-2.3779999999999999E-2</v>
      </c>
      <c r="G129" s="319">
        <f t="shared" si="17"/>
        <v>3849.97622</v>
      </c>
      <c r="H129" s="319">
        <f>H130</f>
        <v>0</v>
      </c>
      <c r="I129" s="283">
        <f t="shared" si="16"/>
        <v>3849.97622</v>
      </c>
      <c r="J129" s="284"/>
      <c r="K129" s="283">
        <f t="shared" si="13"/>
        <v>3849.97622</v>
      </c>
    </row>
    <row r="130" spans="1:12" ht="51.75" customHeight="1" x14ac:dyDescent="0.3">
      <c r="A130" s="289"/>
      <c r="B130" s="320" t="s">
        <v>745</v>
      </c>
      <c r="C130" s="301"/>
      <c r="D130" s="319"/>
      <c r="E130" s="300">
        <v>3850</v>
      </c>
      <c r="F130" s="300">
        <v>-2.3779999999999999E-2</v>
      </c>
      <c r="G130" s="319">
        <f t="shared" si="17"/>
        <v>3849.97622</v>
      </c>
      <c r="H130" s="319">
        <f>0.02378-0.02378</f>
        <v>0</v>
      </c>
      <c r="I130" s="283">
        <f t="shared" si="16"/>
        <v>3849.97622</v>
      </c>
      <c r="J130" s="284"/>
      <c r="K130" s="283">
        <f t="shared" si="13"/>
        <v>3849.97622</v>
      </c>
    </row>
    <row r="131" spans="1:12" ht="0.75" hidden="1" customHeight="1" x14ac:dyDescent="0.3">
      <c r="A131" s="289" t="s">
        <v>744</v>
      </c>
      <c r="B131" s="288" t="s">
        <v>743</v>
      </c>
      <c r="C131" s="301">
        <v>0</v>
      </c>
      <c r="D131" s="294">
        <v>94890.6</v>
      </c>
      <c r="E131" s="300">
        <v>94890.6</v>
      </c>
      <c r="F131" s="282">
        <v>-94890.6</v>
      </c>
      <c r="G131" s="285">
        <f t="shared" si="17"/>
        <v>0</v>
      </c>
      <c r="H131" s="285"/>
      <c r="I131" s="283">
        <f t="shared" si="16"/>
        <v>0</v>
      </c>
      <c r="J131" s="284"/>
      <c r="K131" s="283">
        <f t="shared" si="13"/>
        <v>0</v>
      </c>
    </row>
    <row r="132" spans="1:12" ht="63" hidden="1" x14ac:dyDescent="0.3">
      <c r="A132" s="289"/>
      <c r="B132" s="320" t="s">
        <v>740</v>
      </c>
      <c r="C132" s="301"/>
      <c r="D132" s="294">
        <v>7368.4</v>
      </c>
      <c r="E132" s="300">
        <v>7368.4</v>
      </c>
      <c r="F132" s="300">
        <v>-7368.4</v>
      </c>
      <c r="G132" s="285">
        <f t="shared" si="17"/>
        <v>0</v>
      </c>
      <c r="H132" s="285"/>
      <c r="I132" s="283">
        <f t="shared" si="16"/>
        <v>0</v>
      </c>
      <c r="J132" s="284"/>
      <c r="K132" s="283">
        <f t="shared" si="13"/>
        <v>0</v>
      </c>
    </row>
    <row r="133" spans="1:12" ht="110.25" hidden="1" x14ac:dyDescent="0.3">
      <c r="A133" s="289"/>
      <c r="B133" s="320" t="s">
        <v>742</v>
      </c>
      <c r="C133" s="301"/>
      <c r="D133" s="294">
        <v>87522.2</v>
      </c>
      <c r="E133" s="300">
        <v>87522.2</v>
      </c>
      <c r="F133" s="300">
        <v>-87522.2</v>
      </c>
      <c r="G133" s="285">
        <f t="shared" si="17"/>
        <v>0</v>
      </c>
      <c r="H133" s="285"/>
      <c r="I133" s="283">
        <f t="shared" si="16"/>
        <v>0</v>
      </c>
      <c r="J133" s="284">
        <f>D120-171818</f>
        <v>0</v>
      </c>
      <c r="K133" s="283">
        <f t="shared" si="13"/>
        <v>0</v>
      </c>
    </row>
    <row r="134" spans="1:12" ht="59.25" customHeight="1" x14ac:dyDescent="0.3">
      <c r="A134" s="289" t="s">
        <v>741</v>
      </c>
      <c r="B134" s="288" t="s">
        <v>740</v>
      </c>
      <c r="C134" s="301"/>
      <c r="D134" s="294"/>
      <c r="E134" s="300"/>
      <c r="F134" s="282">
        <v>7368.4210499999999</v>
      </c>
      <c r="G134" s="285">
        <f t="shared" si="17"/>
        <v>7368.4210499999999</v>
      </c>
      <c r="H134" s="285">
        <f>-0.02105+0.02105</f>
        <v>0</v>
      </c>
      <c r="I134" s="283">
        <f t="shared" si="16"/>
        <v>7368.4210499999999</v>
      </c>
      <c r="J134" s="284"/>
      <c r="K134" s="283">
        <f t="shared" si="13"/>
        <v>7368.4210499999999</v>
      </c>
    </row>
    <row r="135" spans="1:12" ht="108.75" hidden="1" customHeight="1" x14ac:dyDescent="0.3">
      <c r="A135" s="289"/>
      <c r="B135" s="320" t="s">
        <v>739</v>
      </c>
      <c r="C135" s="301">
        <v>0</v>
      </c>
      <c r="D135" s="294"/>
      <c r="E135" s="300"/>
      <c r="F135" s="282"/>
      <c r="G135" s="285"/>
      <c r="H135" s="285"/>
      <c r="I135" s="283">
        <f t="shared" si="16"/>
        <v>0</v>
      </c>
      <c r="J135" s="284"/>
      <c r="K135" s="283">
        <f t="shared" si="13"/>
        <v>0</v>
      </c>
    </row>
    <row r="136" spans="1:12" ht="21.75" customHeight="1" x14ac:dyDescent="0.3">
      <c r="A136" s="289" t="s">
        <v>738</v>
      </c>
      <c r="B136" s="288" t="s">
        <v>737</v>
      </c>
      <c r="C136" s="301">
        <f t="shared" ref="C136:H136" si="18">C137</f>
        <v>3534.9</v>
      </c>
      <c r="D136" s="294">
        <f t="shared" si="18"/>
        <v>70836.399999999994</v>
      </c>
      <c r="E136" s="300">
        <f t="shared" si="18"/>
        <v>74371.3</v>
      </c>
      <c r="F136" s="300">
        <f t="shared" si="18"/>
        <v>-6929.6</v>
      </c>
      <c r="G136" s="319">
        <f t="shared" si="18"/>
        <v>67441.7</v>
      </c>
      <c r="H136" s="319">
        <f t="shared" si="18"/>
        <v>719.2</v>
      </c>
      <c r="I136" s="283">
        <f t="shared" si="16"/>
        <v>68160.899999999994</v>
      </c>
      <c r="J136" s="284">
        <f>J137</f>
        <v>3268</v>
      </c>
      <c r="K136" s="283">
        <f t="shared" si="13"/>
        <v>71428.899999999994</v>
      </c>
    </row>
    <row r="137" spans="1:12" ht="22.5" customHeight="1" x14ac:dyDescent="0.3">
      <c r="A137" s="289" t="s">
        <v>736</v>
      </c>
      <c r="B137" s="288" t="s">
        <v>735</v>
      </c>
      <c r="C137" s="301">
        <f>C142+C144</f>
        <v>3534.9</v>
      </c>
      <c r="D137" s="294">
        <f>D138+D139+D140+D141+D142+D143+D144+D145+D146</f>
        <v>70836.399999999994</v>
      </c>
      <c r="E137" s="300">
        <f>E142+E144+E138+E139+E143+E145+E146+E140+E141</f>
        <v>74371.3</v>
      </c>
      <c r="F137" s="300">
        <f>F142+F144+F138+F139+F143+F145+F146+F140+F141</f>
        <v>-6929.6</v>
      </c>
      <c r="G137" s="319">
        <f>G142+G144+G138+G139+G143+G145+G146+G140+G141</f>
        <v>67441.7</v>
      </c>
      <c r="H137" s="319">
        <f>H138+H139+H141+H142+H143+H144+H145+H146</f>
        <v>719.2</v>
      </c>
      <c r="I137" s="283">
        <f t="shared" si="16"/>
        <v>68160.899999999994</v>
      </c>
      <c r="J137" s="284">
        <f>J138+J139+J140+J141+J142+J143+J144+J145+J146+J147+J148</f>
        <v>3268</v>
      </c>
      <c r="K137" s="283">
        <f t="shared" si="13"/>
        <v>71428.899999999994</v>
      </c>
      <c r="L137" s="322">
        <f>K138+K139+K141+K142+K144+K145+K146+K147+K148</f>
        <v>71428.899999999994</v>
      </c>
    </row>
    <row r="138" spans="1:12" ht="62.25" customHeight="1" x14ac:dyDescent="0.3">
      <c r="A138" s="314" t="s">
        <v>734</v>
      </c>
      <c r="B138" s="321" t="s">
        <v>733</v>
      </c>
      <c r="C138" s="301"/>
      <c r="D138" s="294">
        <f>E138-C138</f>
        <v>30</v>
      </c>
      <c r="E138" s="300">
        <v>30</v>
      </c>
      <c r="F138" s="282"/>
      <c r="G138" s="285">
        <f t="shared" ref="G138:G146" si="19">E138+F138</f>
        <v>30</v>
      </c>
      <c r="H138" s="285"/>
      <c r="I138" s="283">
        <f t="shared" si="16"/>
        <v>30</v>
      </c>
      <c r="J138" s="284"/>
      <c r="K138" s="283">
        <f t="shared" si="13"/>
        <v>30</v>
      </c>
    </row>
    <row r="139" spans="1:12" ht="72" customHeight="1" x14ac:dyDescent="0.3">
      <c r="A139" s="314" t="s">
        <v>732</v>
      </c>
      <c r="B139" s="321" t="s">
        <v>731</v>
      </c>
      <c r="C139" s="301"/>
      <c r="D139" s="294">
        <v>204.1</v>
      </c>
      <c r="E139" s="300">
        <v>204.1</v>
      </c>
      <c r="F139" s="282"/>
      <c r="G139" s="285">
        <f t="shared" si="19"/>
        <v>204.1</v>
      </c>
      <c r="H139" s="285">
        <v>775.5</v>
      </c>
      <c r="I139" s="283">
        <f t="shared" si="16"/>
        <v>979.6</v>
      </c>
      <c r="J139" s="284"/>
      <c r="K139" s="283">
        <f t="shared" si="13"/>
        <v>979.6</v>
      </c>
    </row>
    <row r="140" spans="1:12" ht="72" hidden="1" customHeight="1" x14ac:dyDescent="0.3">
      <c r="A140" s="314"/>
      <c r="B140" s="321" t="s">
        <v>730</v>
      </c>
      <c r="C140" s="301"/>
      <c r="D140" s="294">
        <f>E140-C140</f>
        <v>6929.6</v>
      </c>
      <c r="E140" s="300">
        <v>6929.6</v>
      </c>
      <c r="F140" s="282">
        <v>-6929.6</v>
      </c>
      <c r="G140" s="285">
        <f t="shared" si="19"/>
        <v>0</v>
      </c>
      <c r="H140" s="285"/>
      <c r="I140" s="283">
        <f t="shared" si="16"/>
        <v>0</v>
      </c>
      <c r="J140" s="284"/>
      <c r="K140" s="283">
        <f t="shared" ref="K140:K171" si="20">I140+J140</f>
        <v>0</v>
      </c>
    </row>
    <row r="141" spans="1:12" ht="68.25" customHeight="1" x14ac:dyDescent="0.3">
      <c r="A141" s="314" t="s">
        <v>729</v>
      </c>
      <c r="B141" s="321" t="s">
        <v>556</v>
      </c>
      <c r="C141" s="301"/>
      <c r="D141" s="294">
        <f>E141-C141</f>
        <v>420</v>
      </c>
      <c r="E141" s="300">
        <v>420</v>
      </c>
      <c r="F141" s="282"/>
      <c r="G141" s="285">
        <f t="shared" si="19"/>
        <v>420</v>
      </c>
      <c r="H141" s="285"/>
      <c r="I141" s="283">
        <f t="shared" si="16"/>
        <v>420</v>
      </c>
      <c r="J141" s="284"/>
      <c r="K141" s="283">
        <f t="shared" si="20"/>
        <v>420</v>
      </c>
    </row>
    <row r="142" spans="1:12" ht="56.25" customHeight="1" x14ac:dyDescent="0.3">
      <c r="A142" s="314" t="s">
        <v>728</v>
      </c>
      <c r="B142" s="320" t="s">
        <v>727</v>
      </c>
      <c r="C142" s="301">
        <v>2562</v>
      </c>
      <c r="D142" s="294">
        <f>E142-C142</f>
        <v>184.90000000000009</v>
      </c>
      <c r="E142" s="300">
        <v>2746.9</v>
      </c>
      <c r="F142" s="282"/>
      <c r="G142" s="285">
        <f t="shared" si="19"/>
        <v>2746.9</v>
      </c>
      <c r="H142" s="285"/>
      <c r="I142" s="283">
        <f t="shared" si="16"/>
        <v>2746.9</v>
      </c>
      <c r="J142" s="284"/>
      <c r="K142" s="283">
        <f t="shared" si="20"/>
        <v>2746.9</v>
      </c>
    </row>
    <row r="143" spans="1:12" ht="79.5" hidden="1" customHeight="1" x14ac:dyDescent="0.3">
      <c r="A143" s="314" t="s">
        <v>726</v>
      </c>
      <c r="B143" s="320" t="s">
        <v>725</v>
      </c>
      <c r="C143" s="301"/>
      <c r="D143" s="294">
        <f>E143-C143</f>
        <v>15.4</v>
      </c>
      <c r="E143" s="300">
        <v>15.4</v>
      </c>
      <c r="F143" s="282"/>
      <c r="G143" s="285">
        <f t="shared" si="19"/>
        <v>15.4</v>
      </c>
      <c r="H143" s="285">
        <v>-15.4</v>
      </c>
      <c r="I143" s="283">
        <f t="shared" si="16"/>
        <v>0</v>
      </c>
      <c r="J143" s="284"/>
      <c r="K143" s="283">
        <f t="shared" si="20"/>
        <v>0</v>
      </c>
    </row>
    <row r="144" spans="1:12" ht="66.75" customHeight="1" x14ac:dyDescent="0.3">
      <c r="A144" s="314" t="s">
        <v>724</v>
      </c>
      <c r="B144" s="320" t="s">
        <v>723</v>
      </c>
      <c r="C144" s="301">
        <v>972.9</v>
      </c>
      <c r="D144" s="294">
        <f>E144-C144</f>
        <v>131.39999999999998</v>
      </c>
      <c r="E144" s="300">
        <v>1104.3</v>
      </c>
      <c r="F144" s="282"/>
      <c r="G144" s="285">
        <f t="shared" si="19"/>
        <v>1104.3</v>
      </c>
      <c r="H144" s="285"/>
      <c r="I144" s="283">
        <f t="shared" si="16"/>
        <v>1104.3</v>
      </c>
      <c r="J144" s="284"/>
      <c r="K144" s="283">
        <f t="shared" si="20"/>
        <v>1104.3</v>
      </c>
    </row>
    <row r="145" spans="1:11" ht="78.75" customHeight="1" x14ac:dyDescent="0.3">
      <c r="A145" s="314" t="s">
        <v>722</v>
      </c>
      <c r="B145" s="320" t="s">
        <v>721</v>
      </c>
      <c r="C145" s="301"/>
      <c r="D145" s="294">
        <v>61680.1</v>
      </c>
      <c r="E145" s="300">
        <v>61680.1</v>
      </c>
      <c r="F145" s="282"/>
      <c r="G145" s="285">
        <f t="shared" si="19"/>
        <v>61680.1</v>
      </c>
      <c r="H145" s="285"/>
      <c r="I145" s="283">
        <f t="shared" si="16"/>
        <v>61680.1</v>
      </c>
      <c r="J145" s="283"/>
      <c r="K145" s="283">
        <f t="shared" si="20"/>
        <v>61680.1</v>
      </c>
    </row>
    <row r="146" spans="1:11" ht="74.25" customHeight="1" x14ac:dyDescent="0.3">
      <c r="A146" s="314" t="s">
        <v>720</v>
      </c>
      <c r="B146" s="320" t="s">
        <v>719</v>
      </c>
      <c r="C146" s="301"/>
      <c r="D146" s="294">
        <f>E146-C146</f>
        <v>1240.9000000000001</v>
      </c>
      <c r="E146" s="300">
        <v>1240.9000000000001</v>
      </c>
      <c r="F146" s="282"/>
      <c r="G146" s="285">
        <f t="shared" si="19"/>
        <v>1240.9000000000001</v>
      </c>
      <c r="H146" s="285">
        <v>-40.9</v>
      </c>
      <c r="I146" s="283">
        <f t="shared" ref="I146" si="21">G146+H146</f>
        <v>1200</v>
      </c>
      <c r="J146" s="284"/>
      <c r="K146" s="283">
        <f t="shared" si="20"/>
        <v>1200</v>
      </c>
    </row>
    <row r="147" spans="1:11" ht="74.25" customHeight="1" x14ac:dyDescent="0.3">
      <c r="A147" s="314"/>
      <c r="B147" s="320" t="s">
        <v>718</v>
      </c>
      <c r="C147" s="301"/>
      <c r="D147" s="294"/>
      <c r="E147" s="300"/>
      <c r="F147" s="282"/>
      <c r="G147" s="285"/>
      <c r="H147" s="285"/>
      <c r="I147" s="283"/>
      <c r="J147" s="283">
        <v>2220</v>
      </c>
      <c r="K147" s="283">
        <f t="shared" si="20"/>
        <v>2220</v>
      </c>
    </row>
    <row r="148" spans="1:11" ht="74.25" customHeight="1" x14ac:dyDescent="0.3">
      <c r="A148" s="314" t="s">
        <v>717</v>
      </c>
      <c r="B148" s="320" t="s">
        <v>716</v>
      </c>
      <c r="C148" s="301"/>
      <c r="D148" s="294"/>
      <c r="E148" s="300"/>
      <c r="F148" s="282"/>
      <c r="G148" s="285"/>
      <c r="H148" s="285"/>
      <c r="I148" s="283"/>
      <c r="J148" s="283">
        <v>1048</v>
      </c>
      <c r="K148" s="283">
        <f t="shared" si="20"/>
        <v>1048</v>
      </c>
    </row>
    <row r="149" spans="1:11" ht="40.5" customHeight="1" x14ac:dyDescent="0.3">
      <c r="A149" s="289" t="s">
        <v>715</v>
      </c>
      <c r="B149" s="288" t="s">
        <v>714</v>
      </c>
      <c r="C149" s="301">
        <f>C167+C150+C166+C170</f>
        <v>178972.2</v>
      </c>
      <c r="D149" s="319">
        <f>D167+D150+D166+D169+D171+D173</f>
        <v>34465.799999999981</v>
      </c>
      <c r="E149" s="300">
        <f>E167+E150+E166+E169+E171+E173</f>
        <v>213438</v>
      </c>
      <c r="F149" s="300">
        <f>F167+F150+F166+F169+F171+F173</f>
        <v>-950.8</v>
      </c>
      <c r="G149" s="319">
        <f>G167+G150+G166+G169+G171+G173</f>
        <v>212487.2</v>
      </c>
      <c r="H149" s="319"/>
      <c r="I149" s="283">
        <f t="shared" ref="I149:I182" si="22">G149+H149</f>
        <v>212487.2</v>
      </c>
      <c r="J149" s="283">
        <f>J150+J165+J167+J171+J173</f>
        <v>3901</v>
      </c>
      <c r="K149" s="283">
        <f t="shared" si="20"/>
        <v>216388.2</v>
      </c>
    </row>
    <row r="150" spans="1:11" ht="31.5" x14ac:dyDescent="0.3">
      <c r="A150" s="289" t="s">
        <v>713</v>
      </c>
      <c r="B150" s="288" t="s">
        <v>712</v>
      </c>
      <c r="C150" s="301">
        <f>C151</f>
        <v>173076</v>
      </c>
      <c r="D150" s="319">
        <f>D151</f>
        <v>34144.199999999983</v>
      </c>
      <c r="E150" s="300">
        <f>E151</f>
        <v>207220.2</v>
      </c>
      <c r="F150" s="300">
        <f>F151</f>
        <v>0</v>
      </c>
      <c r="G150" s="319">
        <f>G151</f>
        <v>207220.2</v>
      </c>
      <c r="H150" s="319"/>
      <c r="I150" s="283">
        <f t="shared" si="22"/>
        <v>207220.2</v>
      </c>
      <c r="J150" s="283">
        <f>J151</f>
        <v>3901</v>
      </c>
      <c r="K150" s="283">
        <f t="shared" si="20"/>
        <v>211121.2</v>
      </c>
    </row>
    <row r="151" spans="1:11" ht="31.5" x14ac:dyDescent="0.3">
      <c r="A151" s="289" t="s">
        <v>711</v>
      </c>
      <c r="B151" s="288" t="s">
        <v>710</v>
      </c>
      <c r="C151" s="301">
        <f>C152+C153+C154+C155+C156+C157+C158+C159+C160+C161+C162+C163+C164+C171+C173</f>
        <v>173076</v>
      </c>
      <c r="D151" s="319">
        <f>D152+D153+D154+D155+D156+D157+D158+D159+D160+D161+D162+D163+D164</f>
        <v>34144.199999999983</v>
      </c>
      <c r="E151" s="300">
        <f>E152+E153+E154+E155+E156+E157+E158+E159+E160+E161+E162+E163+E164</f>
        <v>207220.2</v>
      </c>
      <c r="F151" s="300">
        <f>F152+F153+F154+F155+F156+F157+F158+F159+F160+F161+F162+F163+F164</f>
        <v>0</v>
      </c>
      <c r="G151" s="319">
        <f>G152+G153+G154+G155+G156+G157+G158+G159+G160+G161+G162+G163+G164</f>
        <v>207220.2</v>
      </c>
      <c r="H151" s="319"/>
      <c r="I151" s="283">
        <f t="shared" si="22"/>
        <v>207220.2</v>
      </c>
      <c r="J151" s="283">
        <f>J152+J153+J155+J156+J157+J158+J159+J160+J161+J162+J163+J164</f>
        <v>3901</v>
      </c>
      <c r="K151" s="283">
        <f t="shared" si="20"/>
        <v>211121.2</v>
      </c>
    </row>
    <row r="152" spans="1:11" s="308" customFormat="1" ht="84" customHeight="1" x14ac:dyDescent="0.3">
      <c r="A152" s="314"/>
      <c r="B152" s="318" t="s">
        <v>709</v>
      </c>
      <c r="C152" s="317">
        <v>5863</v>
      </c>
      <c r="D152" s="294">
        <f t="shared" ref="D152:D177" si="23">E152-C152</f>
        <v>-6.5</v>
      </c>
      <c r="E152" s="316">
        <v>5856.5</v>
      </c>
      <c r="F152" s="310"/>
      <c r="G152" s="285">
        <f t="shared" ref="G152:G177" si="24">E152+F152</f>
        <v>5856.5</v>
      </c>
      <c r="H152" s="285"/>
      <c r="I152" s="283">
        <f t="shared" si="22"/>
        <v>5856.5</v>
      </c>
      <c r="J152" s="283"/>
      <c r="K152" s="283">
        <f t="shared" si="20"/>
        <v>5856.5</v>
      </c>
    </row>
    <row r="153" spans="1:11" s="308" customFormat="1" ht="72.75" customHeight="1" x14ac:dyDescent="0.3">
      <c r="A153" s="314" t="s">
        <v>708</v>
      </c>
      <c r="B153" s="315" t="s">
        <v>707</v>
      </c>
      <c r="C153" s="312">
        <v>99.5</v>
      </c>
      <c r="D153" s="294">
        <f t="shared" si="23"/>
        <v>691.2</v>
      </c>
      <c r="E153" s="311">
        <v>790.7</v>
      </c>
      <c r="F153" s="310"/>
      <c r="G153" s="285">
        <f t="shared" si="24"/>
        <v>790.7</v>
      </c>
      <c r="H153" s="285"/>
      <c r="I153" s="283">
        <f t="shared" si="22"/>
        <v>790.7</v>
      </c>
      <c r="J153" s="309"/>
      <c r="K153" s="283">
        <f t="shared" si="20"/>
        <v>790.7</v>
      </c>
    </row>
    <row r="154" spans="1:11" s="308" customFormat="1" ht="90" hidden="1" customHeight="1" x14ac:dyDescent="0.3">
      <c r="A154" s="314"/>
      <c r="B154" s="313" t="s">
        <v>706</v>
      </c>
      <c r="C154" s="312">
        <v>0.3</v>
      </c>
      <c r="D154" s="294">
        <f t="shared" si="23"/>
        <v>-0.3</v>
      </c>
      <c r="E154" s="311">
        <v>0</v>
      </c>
      <c r="F154" s="310"/>
      <c r="G154" s="285">
        <f t="shared" si="24"/>
        <v>0</v>
      </c>
      <c r="H154" s="285"/>
      <c r="I154" s="283">
        <f t="shared" si="22"/>
        <v>0</v>
      </c>
      <c r="J154" s="309"/>
      <c r="K154" s="283">
        <f t="shared" si="20"/>
        <v>0</v>
      </c>
    </row>
    <row r="155" spans="1:11" s="308" customFormat="1" ht="60" x14ac:dyDescent="0.3">
      <c r="A155" s="314" t="s">
        <v>705</v>
      </c>
      <c r="B155" s="315" t="s">
        <v>704</v>
      </c>
      <c r="C155" s="312">
        <v>1426.1</v>
      </c>
      <c r="D155" s="294">
        <f t="shared" si="23"/>
        <v>5.4000000000000909</v>
      </c>
      <c r="E155" s="311">
        <v>1431.5</v>
      </c>
      <c r="F155" s="310"/>
      <c r="G155" s="285">
        <f t="shared" si="24"/>
        <v>1431.5</v>
      </c>
      <c r="H155" s="285"/>
      <c r="I155" s="283">
        <f t="shared" si="22"/>
        <v>1431.5</v>
      </c>
      <c r="J155" s="309"/>
      <c r="K155" s="283">
        <f t="shared" si="20"/>
        <v>1431.5</v>
      </c>
    </row>
    <row r="156" spans="1:11" s="308" customFormat="1" ht="132" customHeight="1" x14ac:dyDescent="0.3">
      <c r="A156" s="314" t="s">
        <v>703</v>
      </c>
      <c r="B156" s="313" t="s">
        <v>702</v>
      </c>
      <c r="C156" s="312">
        <v>163364.6</v>
      </c>
      <c r="D156" s="294">
        <f t="shared" si="23"/>
        <v>32843.199999999983</v>
      </c>
      <c r="E156" s="311">
        <v>196207.8</v>
      </c>
      <c r="F156" s="310"/>
      <c r="G156" s="285">
        <f t="shared" si="24"/>
        <v>196207.8</v>
      </c>
      <c r="H156" s="285"/>
      <c r="I156" s="283">
        <f t="shared" si="22"/>
        <v>196207.8</v>
      </c>
      <c r="J156" s="283">
        <v>3901</v>
      </c>
      <c r="K156" s="283">
        <f t="shared" si="20"/>
        <v>200108.79999999999</v>
      </c>
    </row>
    <row r="157" spans="1:11" s="308" customFormat="1" ht="51" customHeight="1" x14ac:dyDescent="0.3">
      <c r="A157" s="314" t="s">
        <v>701</v>
      </c>
      <c r="B157" s="315" t="s">
        <v>700</v>
      </c>
      <c r="C157" s="312">
        <v>611.70000000000005</v>
      </c>
      <c r="D157" s="294">
        <f t="shared" si="23"/>
        <v>157.79999999999995</v>
      </c>
      <c r="E157" s="311">
        <v>769.5</v>
      </c>
      <c r="F157" s="310"/>
      <c r="G157" s="285">
        <f t="shared" si="24"/>
        <v>769.5</v>
      </c>
      <c r="H157" s="285"/>
      <c r="I157" s="283">
        <f t="shared" si="22"/>
        <v>769.5</v>
      </c>
      <c r="J157" s="309"/>
      <c r="K157" s="283">
        <f t="shared" si="20"/>
        <v>769.5</v>
      </c>
    </row>
    <row r="158" spans="1:11" s="308" customFormat="1" ht="60" x14ac:dyDescent="0.3">
      <c r="A158" s="314" t="s">
        <v>699</v>
      </c>
      <c r="B158" s="313" t="s">
        <v>698</v>
      </c>
      <c r="C158" s="312">
        <v>799.1</v>
      </c>
      <c r="D158" s="294">
        <f t="shared" si="23"/>
        <v>409.9</v>
      </c>
      <c r="E158" s="311">
        <v>1209</v>
      </c>
      <c r="F158" s="310"/>
      <c r="G158" s="285">
        <f t="shared" si="24"/>
        <v>1209</v>
      </c>
      <c r="H158" s="285"/>
      <c r="I158" s="283">
        <f t="shared" si="22"/>
        <v>1209</v>
      </c>
      <c r="J158" s="309"/>
      <c r="K158" s="283">
        <f t="shared" si="20"/>
        <v>1209</v>
      </c>
    </row>
    <row r="159" spans="1:11" s="308" customFormat="1" ht="60" x14ac:dyDescent="0.3">
      <c r="A159" s="314" t="s">
        <v>697</v>
      </c>
      <c r="B159" s="313" t="s">
        <v>696</v>
      </c>
      <c r="C159" s="312">
        <v>51.6</v>
      </c>
      <c r="D159" s="294">
        <f t="shared" si="23"/>
        <v>0.5</v>
      </c>
      <c r="E159" s="311">
        <v>52.1</v>
      </c>
      <c r="F159" s="310"/>
      <c r="G159" s="285">
        <f t="shared" si="24"/>
        <v>52.1</v>
      </c>
      <c r="H159" s="285"/>
      <c r="I159" s="283">
        <f t="shared" si="22"/>
        <v>52.1</v>
      </c>
      <c r="J159" s="309"/>
      <c r="K159" s="283">
        <f t="shared" si="20"/>
        <v>52.1</v>
      </c>
    </row>
    <row r="160" spans="1:11" s="308" customFormat="1" ht="75" x14ac:dyDescent="0.3">
      <c r="A160" s="314" t="s">
        <v>695</v>
      </c>
      <c r="B160" s="313" t="s">
        <v>694</v>
      </c>
      <c r="C160" s="312">
        <v>185.9</v>
      </c>
      <c r="D160" s="294">
        <f t="shared" si="23"/>
        <v>39.199999999999989</v>
      </c>
      <c r="E160" s="311">
        <v>225.1</v>
      </c>
      <c r="F160" s="310"/>
      <c r="G160" s="285">
        <f t="shared" si="24"/>
        <v>225.1</v>
      </c>
      <c r="H160" s="285"/>
      <c r="I160" s="283">
        <f t="shared" si="22"/>
        <v>225.1</v>
      </c>
      <c r="J160" s="309"/>
      <c r="K160" s="283">
        <f t="shared" si="20"/>
        <v>225.1</v>
      </c>
    </row>
    <row r="161" spans="1:14" s="308" customFormat="1" ht="52.5" customHeight="1" x14ac:dyDescent="0.3">
      <c r="A161" s="314" t="s">
        <v>693</v>
      </c>
      <c r="B161" s="313" t="s">
        <v>692</v>
      </c>
      <c r="C161" s="312">
        <v>403.9</v>
      </c>
      <c r="D161" s="294">
        <f t="shared" si="23"/>
        <v>-45.399999999999977</v>
      </c>
      <c r="E161" s="311">
        <v>358.5</v>
      </c>
      <c r="F161" s="310"/>
      <c r="G161" s="285">
        <f t="shared" si="24"/>
        <v>358.5</v>
      </c>
      <c r="H161" s="285"/>
      <c r="I161" s="283">
        <f t="shared" si="22"/>
        <v>358.5</v>
      </c>
      <c r="J161" s="309"/>
      <c r="K161" s="283">
        <f t="shared" si="20"/>
        <v>358.5</v>
      </c>
    </row>
    <row r="162" spans="1:14" s="308" customFormat="1" ht="113.25" customHeight="1" x14ac:dyDescent="0.3">
      <c r="A162" s="314" t="s">
        <v>691</v>
      </c>
      <c r="B162" s="313" t="s">
        <v>690</v>
      </c>
      <c r="C162" s="312">
        <v>191.9</v>
      </c>
      <c r="D162" s="294">
        <f t="shared" si="23"/>
        <v>-9.9999999999994316E-2</v>
      </c>
      <c r="E162" s="311">
        <v>191.8</v>
      </c>
      <c r="F162" s="310"/>
      <c r="G162" s="285">
        <f t="shared" si="24"/>
        <v>191.8</v>
      </c>
      <c r="H162" s="285"/>
      <c r="I162" s="283">
        <f t="shared" si="22"/>
        <v>191.8</v>
      </c>
      <c r="J162" s="309"/>
      <c r="K162" s="283">
        <f t="shared" si="20"/>
        <v>191.8</v>
      </c>
    </row>
    <row r="163" spans="1:14" s="308" customFormat="1" ht="44.25" customHeight="1" x14ac:dyDescent="0.3">
      <c r="A163" s="314" t="s">
        <v>689</v>
      </c>
      <c r="B163" s="313" t="s">
        <v>688</v>
      </c>
      <c r="C163" s="312">
        <v>0.1</v>
      </c>
      <c r="D163" s="294">
        <f t="shared" si="23"/>
        <v>55.6</v>
      </c>
      <c r="E163" s="311">
        <v>55.7</v>
      </c>
      <c r="F163" s="310"/>
      <c r="G163" s="285">
        <f t="shared" si="24"/>
        <v>55.7</v>
      </c>
      <c r="H163" s="285"/>
      <c r="I163" s="283">
        <f t="shared" si="22"/>
        <v>55.7</v>
      </c>
      <c r="J163" s="309"/>
      <c r="K163" s="283">
        <f t="shared" si="20"/>
        <v>55.7</v>
      </c>
    </row>
    <row r="164" spans="1:14" s="308" customFormat="1" ht="68.25" customHeight="1" x14ac:dyDescent="0.3">
      <c r="A164" s="289" t="s">
        <v>687</v>
      </c>
      <c r="B164" s="313" t="s">
        <v>686</v>
      </c>
      <c r="C164" s="312">
        <v>78.3</v>
      </c>
      <c r="D164" s="294">
        <f t="shared" si="23"/>
        <v>-6.2999999999999972</v>
      </c>
      <c r="E164" s="311">
        <v>72</v>
      </c>
      <c r="F164" s="310"/>
      <c r="G164" s="285">
        <f t="shared" si="24"/>
        <v>72</v>
      </c>
      <c r="H164" s="285"/>
      <c r="I164" s="283">
        <f t="shared" si="22"/>
        <v>72</v>
      </c>
      <c r="J164" s="309"/>
      <c r="K164" s="283">
        <f t="shared" si="20"/>
        <v>72</v>
      </c>
    </row>
    <row r="165" spans="1:14" ht="76.5" customHeight="1" x14ac:dyDescent="0.3">
      <c r="A165" s="289" t="s">
        <v>685</v>
      </c>
      <c r="B165" s="288" t="s">
        <v>684</v>
      </c>
      <c r="C165" s="301">
        <f>C166</f>
        <v>5368.4</v>
      </c>
      <c r="D165" s="294">
        <f t="shared" si="23"/>
        <v>-313.5</v>
      </c>
      <c r="E165" s="300">
        <f>E166</f>
        <v>5054.8999999999996</v>
      </c>
      <c r="F165" s="282"/>
      <c r="G165" s="285">
        <f t="shared" si="24"/>
        <v>5054.8999999999996</v>
      </c>
      <c r="H165" s="285"/>
      <c r="I165" s="283">
        <f t="shared" si="22"/>
        <v>5054.8999999999996</v>
      </c>
      <c r="J165" s="284"/>
      <c r="K165" s="283">
        <f t="shared" si="20"/>
        <v>5054.8999999999996</v>
      </c>
    </row>
    <row r="166" spans="1:14" ht="75" customHeight="1" x14ac:dyDescent="0.3">
      <c r="A166" s="289" t="s">
        <v>683</v>
      </c>
      <c r="B166" s="288" t="s">
        <v>682</v>
      </c>
      <c r="C166" s="301">
        <v>5368.4</v>
      </c>
      <c r="D166" s="294">
        <f t="shared" si="23"/>
        <v>-313.5</v>
      </c>
      <c r="E166" s="300">
        <v>5054.8999999999996</v>
      </c>
      <c r="F166" s="282"/>
      <c r="G166" s="285">
        <f t="shared" si="24"/>
        <v>5054.8999999999996</v>
      </c>
      <c r="H166" s="285"/>
      <c r="I166" s="283">
        <f t="shared" si="22"/>
        <v>5054.8999999999996</v>
      </c>
      <c r="J166" s="284"/>
      <c r="K166" s="283">
        <f t="shared" si="20"/>
        <v>5054.8999999999996</v>
      </c>
    </row>
    <row r="167" spans="1:14" ht="53.25" customHeight="1" x14ac:dyDescent="0.3">
      <c r="A167" s="289" t="s">
        <v>681</v>
      </c>
      <c r="B167" s="288" t="s">
        <v>680</v>
      </c>
      <c r="C167" s="301">
        <f>SUM(C168)</f>
        <v>7.6</v>
      </c>
      <c r="D167" s="294">
        <f t="shared" si="23"/>
        <v>2</v>
      </c>
      <c r="E167" s="300">
        <f>SUM(E168)</f>
        <v>9.6</v>
      </c>
      <c r="F167" s="282"/>
      <c r="G167" s="285">
        <f t="shared" si="24"/>
        <v>9.6</v>
      </c>
      <c r="H167" s="285"/>
      <c r="I167" s="283">
        <f t="shared" si="22"/>
        <v>9.6</v>
      </c>
      <c r="J167" s="284"/>
      <c r="K167" s="283">
        <f t="shared" si="20"/>
        <v>9.6</v>
      </c>
      <c r="N167" s="278" t="s">
        <v>679</v>
      </c>
    </row>
    <row r="168" spans="1:14" ht="61.5" customHeight="1" x14ac:dyDescent="0.3">
      <c r="A168" s="289" t="s">
        <v>678</v>
      </c>
      <c r="B168" s="288" t="s">
        <v>677</v>
      </c>
      <c r="C168" s="301">
        <v>7.6</v>
      </c>
      <c r="D168" s="294">
        <f t="shared" si="23"/>
        <v>2</v>
      </c>
      <c r="E168" s="300">
        <v>9.6</v>
      </c>
      <c r="F168" s="282"/>
      <c r="G168" s="285">
        <f t="shared" si="24"/>
        <v>9.6</v>
      </c>
      <c r="H168" s="285"/>
      <c r="I168" s="283">
        <f t="shared" si="22"/>
        <v>9.6</v>
      </c>
      <c r="J168" s="284"/>
      <c r="K168" s="283">
        <f t="shared" si="20"/>
        <v>9.6</v>
      </c>
    </row>
    <row r="169" spans="1:14" ht="35.25" hidden="1" customHeight="1" x14ac:dyDescent="0.3">
      <c r="A169" s="289" t="s">
        <v>676</v>
      </c>
      <c r="B169" s="288" t="s">
        <v>674</v>
      </c>
      <c r="C169" s="301">
        <f>C170</f>
        <v>520.20000000000005</v>
      </c>
      <c r="D169" s="294">
        <f t="shared" si="23"/>
        <v>430.59999999999991</v>
      </c>
      <c r="E169" s="300">
        <v>950.8</v>
      </c>
      <c r="F169" s="282">
        <v>-950.8</v>
      </c>
      <c r="G169" s="285">
        <f t="shared" si="24"/>
        <v>0</v>
      </c>
      <c r="H169" s="285"/>
      <c r="I169" s="283">
        <f t="shared" si="22"/>
        <v>0</v>
      </c>
      <c r="J169" s="284"/>
      <c r="K169" s="283">
        <f t="shared" si="20"/>
        <v>0</v>
      </c>
    </row>
    <row r="170" spans="1:14" ht="36.75" hidden="1" customHeight="1" x14ac:dyDescent="0.3">
      <c r="A170" s="289" t="s">
        <v>675</v>
      </c>
      <c r="B170" s="288" t="s">
        <v>674</v>
      </c>
      <c r="C170" s="301">
        <v>520.20000000000005</v>
      </c>
      <c r="D170" s="294">
        <f t="shared" si="23"/>
        <v>430.59999999999991</v>
      </c>
      <c r="E170" s="300">
        <v>950.8</v>
      </c>
      <c r="F170" s="282">
        <v>-950.8</v>
      </c>
      <c r="G170" s="285">
        <f t="shared" si="24"/>
        <v>0</v>
      </c>
      <c r="H170" s="285"/>
      <c r="I170" s="283">
        <f t="shared" si="22"/>
        <v>0</v>
      </c>
      <c r="J170" s="284"/>
      <c r="K170" s="283">
        <f t="shared" si="20"/>
        <v>0</v>
      </c>
    </row>
    <row r="171" spans="1:14" ht="63" x14ac:dyDescent="0.3">
      <c r="A171" s="307" t="s">
        <v>673</v>
      </c>
      <c r="B171" s="306" t="s">
        <v>671</v>
      </c>
      <c r="C171" s="305">
        <v>0</v>
      </c>
      <c r="D171" s="294">
        <f t="shared" si="23"/>
        <v>86</v>
      </c>
      <c r="E171" s="304">
        <f>E172</f>
        <v>86</v>
      </c>
      <c r="F171" s="282"/>
      <c r="G171" s="285">
        <f t="shared" si="24"/>
        <v>86</v>
      </c>
      <c r="H171" s="285"/>
      <c r="I171" s="283">
        <f t="shared" si="22"/>
        <v>86</v>
      </c>
      <c r="J171" s="284"/>
      <c r="K171" s="283">
        <f t="shared" si="20"/>
        <v>86</v>
      </c>
    </row>
    <row r="172" spans="1:14" ht="53.25" customHeight="1" x14ac:dyDescent="0.3">
      <c r="A172" s="289" t="s">
        <v>672</v>
      </c>
      <c r="B172" s="288" t="s">
        <v>671</v>
      </c>
      <c r="C172" s="303">
        <v>0</v>
      </c>
      <c r="D172" s="294">
        <f t="shared" si="23"/>
        <v>86</v>
      </c>
      <c r="E172" s="302">
        <v>86</v>
      </c>
      <c r="F172" s="282"/>
      <c r="G172" s="285">
        <f t="shared" si="24"/>
        <v>86</v>
      </c>
      <c r="H172" s="285"/>
      <c r="I172" s="283">
        <f t="shared" si="22"/>
        <v>86</v>
      </c>
      <c r="J172" s="284"/>
      <c r="K172" s="283">
        <f t="shared" ref="K172:K182" si="25">I172+J172</f>
        <v>86</v>
      </c>
    </row>
    <row r="173" spans="1:14" ht="57" customHeight="1" x14ac:dyDescent="0.3">
      <c r="A173" s="289" t="s">
        <v>670</v>
      </c>
      <c r="B173" s="288" t="s">
        <v>669</v>
      </c>
      <c r="C173" s="301">
        <v>0</v>
      </c>
      <c r="D173" s="294">
        <f t="shared" si="23"/>
        <v>116.5</v>
      </c>
      <c r="E173" s="300">
        <f>E174</f>
        <v>116.5</v>
      </c>
      <c r="F173" s="282"/>
      <c r="G173" s="285">
        <f t="shared" si="24"/>
        <v>116.5</v>
      </c>
      <c r="H173" s="285"/>
      <c r="I173" s="283">
        <f t="shared" si="22"/>
        <v>116.5</v>
      </c>
      <c r="J173" s="284"/>
      <c r="K173" s="283">
        <f t="shared" si="25"/>
        <v>116.5</v>
      </c>
    </row>
    <row r="174" spans="1:14" ht="63" x14ac:dyDescent="0.3">
      <c r="A174" s="289" t="s">
        <v>668</v>
      </c>
      <c r="B174" s="288" t="s">
        <v>667</v>
      </c>
      <c r="C174" s="301">
        <v>0</v>
      </c>
      <c r="D174" s="294">
        <f t="shared" si="23"/>
        <v>116.5</v>
      </c>
      <c r="E174" s="300">
        <v>116.5</v>
      </c>
      <c r="F174" s="282"/>
      <c r="G174" s="285">
        <f t="shared" si="24"/>
        <v>116.5</v>
      </c>
      <c r="H174" s="285"/>
      <c r="I174" s="283">
        <f t="shared" si="22"/>
        <v>116.5</v>
      </c>
      <c r="J174" s="284"/>
      <c r="K174" s="283">
        <f t="shared" si="25"/>
        <v>116.5</v>
      </c>
    </row>
    <row r="175" spans="1:14" ht="21.75" customHeight="1" x14ac:dyDescent="0.3">
      <c r="A175" s="289" t="s">
        <v>666</v>
      </c>
      <c r="B175" s="288" t="s">
        <v>665</v>
      </c>
      <c r="C175" s="299">
        <v>90</v>
      </c>
      <c r="D175" s="294">
        <f t="shared" si="23"/>
        <v>0</v>
      </c>
      <c r="E175" s="300">
        <f>E176</f>
        <v>90</v>
      </c>
      <c r="F175" s="282"/>
      <c r="G175" s="285">
        <f t="shared" si="24"/>
        <v>90</v>
      </c>
      <c r="H175" s="285">
        <f>H177</f>
        <v>9</v>
      </c>
      <c r="I175" s="283">
        <f t="shared" si="22"/>
        <v>99</v>
      </c>
      <c r="J175" s="284"/>
      <c r="K175" s="283">
        <f t="shared" si="25"/>
        <v>99</v>
      </c>
    </row>
    <row r="176" spans="1:14" ht="52.5" customHeight="1" x14ac:dyDescent="0.3">
      <c r="A176" s="289" t="s">
        <v>664</v>
      </c>
      <c r="B176" s="288" t="s">
        <v>663</v>
      </c>
      <c r="C176" s="299">
        <v>90</v>
      </c>
      <c r="D176" s="294">
        <f t="shared" si="23"/>
        <v>0</v>
      </c>
      <c r="E176" s="300">
        <f>E177</f>
        <v>90</v>
      </c>
      <c r="F176" s="282"/>
      <c r="G176" s="285">
        <f t="shared" si="24"/>
        <v>90</v>
      </c>
      <c r="H176" s="285"/>
      <c r="I176" s="283">
        <f t="shared" si="22"/>
        <v>90</v>
      </c>
      <c r="J176" s="284"/>
      <c r="K176" s="283">
        <f t="shared" si="25"/>
        <v>90</v>
      </c>
    </row>
    <row r="177" spans="1:12" ht="64.5" customHeight="1" x14ac:dyDescent="0.3">
      <c r="A177" s="289" t="s">
        <v>662</v>
      </c>
      <c r="B177" s="288" t="s">
        <v>661</v>
      </c>
      <c r="C177" s="299">
        <v>90</v>
      </c>
      <c r="D177" s="294">
        <f t="shared" si="23"/>
        <v>0</v>
      </c>
      <c r="E177" s="293">
        <v>90</v>
      </c>
      <c r="F177" s="292"/>
      <c r="G177" s="290">
        <f t="shared" si="24"/>
        <v>90</v>
      </c>
      <c r="H177" s="285">
        <v>9</v>
      </c>
      <c r="I177" s="283">
        <f t="shared" si="22"/>
        <v>99</v>
      </c>
      <c r="J177" s="284"/>
      <c r="K177" s="283">
        <f t="shared" si="25"/>
        <v>99</v>
      </c>
    </row>
    <row r="178" spans="1:12" ht="34.5" customHeight="1" x14ac:dyDescent="0.3">
      <c r="A178" s="289" t="s">
        <v>660</v>
      </c>
      <c r="B178" s="288" t="s">
        <v>659</v>
      </c>
      <c r="C178" s="298"/>
      <c r="D178" s="294"/>
      <c r="E178" s="293"/>
      <c r="F178" s="292"/>
      <c r="G178" s="290"/>
      <c r="H178" s="285">
        <f>H179+H180</f>
        <v>1989.12535</v>
      </c>
      <c r="I178" s="283">
        <f t="shared" si="22"/>
        <v>1989.12535</v>
      </c>
      <c r="J178" s="284"/>
      <c r="K178" s="283">
        <f t="shared" si="25"/>
        <v>1989.12535</v>
      </c>
      <c r="L178" s="297"/>
    </row>
    <row r="179" spans="1:12" ht="37.5" customHeight="1" x14ac:dyDescent="0.3">
      <c r="A179" s="289" t="s">
        <v>658</v>
      </c>
      <c r="B179" s="296" t="s">
        <v>657</v>
      </c>
      <c r="C179" s="295"/>
      <c r="D179" s="294"/>
      <c r="E179" s="293"/>
      <c r="F179" s="292"/>
      <c r="G179" s="290"/>
      <c r="H179" s="285">
        <v>1500.1773900000001</v>
      </c>
      <c r="I179" s="283">
        <f t="shared" si="22"/>
        <v>1500.1773900000001</v>
      </c>
      <c r="J179" s="284"/>
      <c r="K179" s="283">
        <f t="shared" si="25"/>
        <v>1500.1773900000001</v>
      </c>
    </row>
    <row r="180" spans="1:12" ht="33.75" customHeight="1" x14ac:dyDescent="0.3">
      <c r="A180" s="289" t="s">
        <v>656</v>
      </c>
      <c r="B180" s="296" t="s">
        <v>655</v>
      </c>
      <c r="C180" s="295"/>
      <c r="D180" s="294"/>
      <c r="E180" s="293"/>
      <c r="F180" s="292"/>
      <c r="G180" s="290"/>
      <c r="H180" s="285">
        <f>18.46646+470.4815</f>
        <v>488.94795999999997</v>
      </c>
      <c r="I180" s="283">
        <f t="shared" si="22"/>
        <v>488.94795999999997</v>
      </c>
      <c r="J180" s="284"/>
      <c r="K180" s="283">
        <f t="shared" si="25"/>
        <v>488.94795999999997</v>
      </c>
    </row>
    <row r="181" spans="1:12" ht="51.75" customHeight="1" x14ac:dyDescent="0.3">
      <c r="A181" s="289" t="s">
        <v>654</v>
      </c>
      <c r="B181" s="288" t="s">
        <v>653</v>
      </c>
      <c r="C181" s="286"/>
      <c r="D181" s="291">
        <v>537.55999999999995</v>
      </c>
      <c r="E181" s="282"/>
      <c r="F181" s="282">
        <f>391.91064-259.8663</f>
        <v>132.04433999999998</v>
      </c>
      <c r="G181" s="290">
        <f>E181+F181</f>
        <v>132.04433999999998</v>
      </c>
      <c r="H181" s="285">
        <f>30+150</f>
        <v>180</v>
      </c>
      <c r="I181" s="283">
        <f t="shared" si="22"/>
        <v>312.04433999999998</v>
      </c>
      <c r="J181" s="284"/>
      <c r="K181" s="283">
        <f t="shared" si="25"/>
        <v>312.04433999999998</v>
      </c>
    </row>
    <row r="182" spans="1:12" ht="53.25" customHeight="1" x14ac:dyDescent="0.3">
      <c r="A182" s="289" t="s">
        <v>652</v>
      </c>
      <c r="B182" s="288" t="s">
        <v>651</v>
      </c>
      <c r="C182" s="287"/>
      <c r="D182" s="286">
        <v>-1924.9</v>
      </c>
      <c r="E182" s="282"/>
      <c r="F182" s="282">
        <f>-5055.57199+259.8663+4632.06942</f>
        <v>-163.63627000000088</v>
      </c>
      <c r="G182" s="285">
        <f>E182+F182</f>
        <v>-163.63627000000088</v>
      </c>
      <c r="H182" s="285"/>
      <c r="I182" s="283">
        <f t="shared" si="22"/>
        <v>-163.63627000000088</v>
      </c>
      <c r="J182" s="284"/>
      <c r="K182" s="283">
        <f t="shared" si="25"/>
        <v>-163.63627000000088</v>
      </c>
    </row>
    <row r="183" spans="1:12" ht="18.75" x14ac:dyDescent="0.3">
      <c r="K183" s="282"/>
    </row>
  </sheetData>
  <mergeCells count="15">
    <mergeCell ref="J8:J10"/>
    <mergeCell ref="K8:K10"/>
    <mergeCell ref="I3:K3"/>
    <mergeCell ref="J2:K2"/>
    <mergeCell ref="H4:I4"/>
    <mergeCell ref="H8:H10"/>
    <mergeCell ref="I8:I10"/>
    <mergeCell ref="A5:K6"/>
    <mergeCell ref="G8:G10"/>
    <mergeCell ref="F8:F10"/>
    <mergeCell ref="A8:A10"/>
    <mergeCell ref="B8:B10"/>
    <mergeCell ref="C8:C10"/>
    <mergeCell ref="D8:D10"/>
    <mergeCell ref="E8:E10"/>
  </mergeCells>
  <pageMargins left="0.9055118110236221" right="0.70866141732283472" top="0.55118110236220474" bottom="0.55118110236220474" header="0" footer="0"/>
  <pageSetup paperSize="9" scale="50" fitToHeight="0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="75" zoomScaleNormal="100" zoomScaleSheetLayoutView="75" workbookViewId="0">
      <selection activeCell="D2" sqref="D2:E2"/>
    </sheetView>
  </sheetViews>
  <sheetFormatPr defaultRowHeight="15" x14ac:dyDescent="0.25"/>
  <cols>
    <col min="1" max="1" width="13" style="202" customWidth="1"/>
    <col min="2" max="2" width="58" style="206" customWidth="1"/>
    <col min="3" max="3" width="15.140625" style="205" customWidth="1"/>
    <col min="4" max="4" width="17.7109375" style="204" customWidth="1"/>
    <col min="5" max="5" width="17.7109375" style="205" customWidth="1"/>
    <col min="6" max="16384" width="9.140625" style="204"/>
  </cols>
  <sheetData>
    <row r="1" spans="1:5" ht="30.75" customHeight="1" x14ac:dyDescent="0.25">
      <c r="A1" s="47"/>
      <c r="B1" s="202"/>
      <c r="C1" s="203"/>
      <c r="D1" s="362" t="s">
        <v>568</v>
      </c>
      <c r="E1" s="363"/>
    </row>
    <row r="2" spans="1:5" ht="75.75" customHeight="1" x14ac:dyDescent="0.25">
      <c r="A2" s="47"/>
      <c r="B2" s="68"/>
      <c r="C2" s="203"/>
      <c r="D2" s="361" t="s">
        <v>971</v>
      </c>
      <c r="E2" s="361"/>
    </row>
    <row r="3" spans="1:5" ht="68.25" customHeight="1" x14ac:dyDescent="0.25">
      <c r="A3" s="359" t="s">
        <v>569</v>
      </c>
      <c r="B3" s="359"/>
      <c r="C3" s="360"/>
      <c r="D3" s="360"/>
      <c r="E3" s="360"/>
    </row>
    <row r="4" spans="1:5" ht="18.75" x14ac:dyDescent="0.3">
      <c r="A4" s="46"/>
      <c r="B4" s="45"/>
      <c r="E4" s="205" t="s">
        <v>161</v>
      </c>
    </row>
    <row r="5" spans="1:5" ht="52.5" customHeight="1" x14ac:dyDescent="0.25">
      <c r="A5" s="44" t="s">
        <v>223</v>
      </c>
      <c r="B5" s="44" t="s">
        <v>222</v>
      </c>
      <c r="C5" s="10" t="s">
        <v>347</v>
      </c>
      <c r="D5" s="52" t="s">
        <v>251</v>
      </c>
      <c r="E5" s="10" t="s">
        <v>347</v>
      </c>
    </row>
    <row r="6" spans="1:5" ht="61.5" customHeight="1" x14ac:dyDescent="0.25">
      <c r="A6" s="43" t="s">
        <v>15</v>
      </c>
      <c r="B6" s="53" t="s">
        <v>230</v>
      </c>
      <c r="C6" s="230">
        <f>'прил 14 КЦСР 19'!D365</f>
        <v>28465.858869999996</v>
      </c>
      <c r="D6" s="230">
        <f>'прил 14 КЦСР 19'!E365</f>
        <v>-811.15899999999999</v>
      </c>
      <c r="E6" s="230">
        <f>'прил 14 КЦСР 19'!F365</f>
        <v>27654.699869999997</v>
      </c>
    </row>
    <row r="7" spans="1:5" ht="61.5" customHeight="1" x14ac:dyDescent="0.25">
      <c r="A7" s="43" t="s">
        <v>27</v>
      </c>
      <c r="B7" s="53" t="s">
        <v>231</v>
      </c>
      <c r="C7" s="230">
        <f>'прил 14 КЦСР 19'!D373</f>
        <v>57439.247799999997</v>
      </c>
      <c r="D7" s="230">
        <f>'прил 14 КЦСР 19'!E373</f>
        <v>-255.26249000000001</v>
      </c>
      <c r="E7" s="230">
        <f>'прил 14 КЦСР 19'!F373</f>
        <v>57183.985310000004</v>
      </c>
    </row>
    <row r="8" spans="1:5" ht="61.5" customHeight="1" x14ac:dyDescent="0.25">
      <c r="A8" s="78" t="s">
        <v>6</v>
      </c>
      <c r="B8" s="54" t="s">
        <v>524</v>
      </c>
      <c r="C8" s="230">
        <f>'прил 14 КЦСР 19'!D380</f>
        <v>44107.438879999994</v>
      </c>
      <c r="D8" s="230">
        <f>'прил 14 КЦСР 19'!E380</f>
        <v>0</v>
      </c>
      <c r="E8" s="230">
        <f>'прил 14 КЦСР 19'!F380</f>
        <v>44107.438879999994</v>
      </c>
    </row>
    <row r="9" spans="1:5" ht="61.5" customHeight="1" x14ac:dyDescent="0.25">
      <c r="A9" s="43" t="s">
        <v>59</v>
      </c>
      <c r="B9" s="53" t="s">
        <v>232</v>
      </c>
      <c r="C9" s="231">
        <f>'прил 14 КЦСР 19'!D388</f>
        <v>21299.201139999997</v>
      </c>
      <c r="D9" s="231">
        <f>'прил 14 КЦСР 19'!E388</f>
        <v>436.71573999999998</v>
      </c>
      <c r="E9" s="231">
        <f>'прил 14 КЦСР 19'!F388</f>
        <v>21735.916879999997</v>
      </c>
    </row>
    <row r="10" spans="1:5" ht="61.5" customHeight="1" x14ac:dyDescent="0.25">
      <c r="A10" s="78" t="s">
        <v>53</v>
      </c>
      <c r="B10" s="53" t="s">
        <v>417</v>
      </c>
      <c r="C10" s="230">
        <f>'прил 14 КЦСР 19'!D400</f>
        <v>27177.497599999999</v>
      </c>
      <c r="D10" s="230">
        <f>'прил 14 КЦСР 19'!E400</f>
        <v>259</v>
      </c>
      <c r="E10" s="230">
        <f>'прил 14 КЦСР 19'!F400</f>
        <v>27436.497599999999</v>
      </c>
    </row>
    <row r="11" spans="1:5" ht="61.5" customHeight="1" x14ac:dyDescent="0.25">
      <c r="A11" s="78" t="s">
        <v>79</v>
      </c>
      <c r="B11" s="53" t="s">
        <v>416</v>
      </c>
      <c r="C11" s="230">
        <f>'прил 14 КЦСР 19'!D396</f>
        <v>514514.57390999998</v>
      </c>
      <c r="D11" s="230">
        <f>'прил 14 КЦСР 19'!E396</f>
        <v>7263.5325800000001</v>
      </c>
      <c r="E11" s="230">
        <f>'прил 14 КЦСР 19'!F396</f>
        <v>521778.10649000009</v>
      </c>
    </row>
    <row r="12" spans="1:5" ht="37.5" customHeight="1" x14ac:dyDescent="0.25">
      <c r="A12" s="43"/>
      <c r="B12" s="53" t="s">
        <v>329</v>
      </c>
      <c r="C12" s="232">
        <f>'прил 14 КЦСР 19'!D403</f>
        <v>7502.2080800000003</v>
      </c>
      <c r="D12" s="232">
        <f>'прил 14 КЦСР 19'!E403</f>
        <v>25</v>
      </c>
      <c r="E12" s="232">
        <f>'прил 14 КЦСР 19'!F403</f>
        <v>7527.2080800000003</v>
      </c>
    </row>
    <row r="13" spans="1:5" ht="46.5" customHeight="1" x14ac:dyDescent="0.25">
      <c r="A13" s="42"/>
      <c r="B13" s="42" t="s">
        <v>221</v>
      </c>
      <c r="C13" s="233">
        <f>SUM(C6:C12)</f>
        <v>700506.02627999999</v>
      </c>
      <c r="D13" s="233">
        <f>SUM(D6:D12)</f>
        <v>6917.82683</v>
      </c>
      <c r="E13" s="233">
        <f>SUM(E6:E12)</f>
        <v>707423.85311000014</v>
      </c>
    </row>
    <row r="14" spans="1:5" x14ac:dyDescent="0.25">
      <c r="C14" s="29">
        <v>700506.02627999999</v>
      </c>
      <c r="D14" s="58">
        <v>6917.82683</v>
      </c>
      <c r="E14" s="58">
        <f>C14+D14</f>
        <v>707423.85311000003</v>
      </c>
    </row>
    <row r="15" spans="1:5" x14ac:dyDescent="0.25">
      <c r="C15" s="207">
        <f>C14-C13</f>
        <v>0</v>
      </c>
      <c r="D15" s="207">
        <f t="shared" ref="D15:E15" si="0">D14-D13</f>
        <v>0</v>
      </c>
      <c r="E15" s="207">
        <f t="shared" si="0"/>
        <v>0</v>
      </c>
    </row>
    <row r="18" spans="1:5" ht="18.75" x14ac:dyDescent="0.25">
      <c r="A18" s="204"/>
      <c r="B18" s="41"/>
      <c r="C18" s="204"/>
      <c r="E18" s="204"/>
    </row>
    <row r="32" spans="1:5" x14ac:dyDescent="0.25">
      <c r="A32" s="208"/>
      <c r="B32" s="208"/>
      <c r="C32" s="204"/>
      <c r="E32" s="204"/>
    </row>
    <row r="33" spans="1:5" x14ac:dyDescent="0.25">
      <c r="A33" s="208"/>
      <c r="B33" s="208"/>
      <c r="C33" s="204"/>
      <c r="E33" s="204"/>
    </row>
  </sheetData>
  <mergeCells count="3">
    <mergeCell ref="A3:E3"/>
    <mergeCell ref="D2:E2"/>
    <mergeCell ref="D1:E1"/>
  </mergeCells>
  <pageMargins left="1.1023622047244095" right="0" top="0.74803149606299213" bottom="0.55118110236220474" header="0.31496062992125984" footer="0.31496062992125984"/>
  <pageSetup paperSize="9" scale="72" orientation="portrait" r:id="rId1"/>
  <colBreaks count="1" manualBreakCount="1">
    <brk id="5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view="pageBreakPreview" zoomScaleNormal="100" zoomScaleSheetLayoutView="100" workbookViewId="0">
      <selection activeCell="H29" sqref="H29"/>
    </sheetView>
  </sheetViews>
  <sheetFormatPr defaultRowHeight="15" x14ac:dyDescent="0.25"/>
  <cols>
    <col min="1" max="1" width="47.42578125" style="12" customWidth="1"/>
    <col min="3" max="3" width="9.140625" style="11"/>
    <col min="4" max="4" width="13.7109375" customWidth="1"/>
    <col min="5" max="5" width="13" customWidth="1"/>
    <col min="6" max="6" width="15.140625" customWidth="1"/>
  </cols>
  <sheetData>
    <row r="1" spans="1:6" s="12" customFormat="1" ht="12.75" customHeight="1" x14ac:dyDescent="0.25">
      <c r="A1" s="25"/>
      <c r="C1" s="373" t="s">
        <v>571</v>
      </c>
      <c r="D1" s="363"/>
      <c r="E1" s="363"/>
      <c r="F1" s="363"/>
    </row>
    <row r="2" spans="1:6" s="12" customFormat="1" ht="52.5" customHeight="1" x14ac:dyDescent="0.2">
      <c r="A2" s="25"/>
      <c r="C2" s="371" t="s">
        <v>972</v>
      </c>
      <c r="D2" s="372"/>
      <c r="E2" s="372"/>
      <c r="F2" s="372"/>
    </row>
    <row r="3" spans="1:6" s="12" customFormat="1" ht="9" customHeight="1" x14ac:dyDescent="0.2">
      <c r="A3" s="25"/>
      <c r="B3" s="24"/>
      <c r="C3" s="24"/>
    </row>
    <row r="4" spans="1:6" s="12" customFormat="1" x14ac:dyDescent="0.25">
      <c r="A4" s="369" t="s">
        <v>209</v>
      </c>
      <c r="B4" s="370"/>
      <c r="C4" s="370"/>
      <c r="D4" s="368"/>
      <c r="E4" s="368"/>
      <c r="F4" s="368"/>
    </row>
    <row r="5" spans="1:6" s="12" customFormat="1" ht="29.25" customHeight="1" x14ac:dyDescent="0.25">
      <c r="A5" s="366" t="s">
        <v>572</v>
      </c>
      <c r="B5" s="367"/>
      <c r="C5" s="367"/>
      <c r="D5" s="368"/>
      <c r="E5" s="368"/>
      <c r="F5" s="368"/>
    </row>
    <row r="6" spans="1:6" s="12" customFormat="1" ht="18" customHeight="1" x14ac:dyDescent="0.2">
      <c r="A6" s="69"/>
      <c r="B6" s="70"/>
      <c r="C6" s="70"/>
      <c r="F6" s="55" t="s">
        <v>161</v>
      </c>
    </row>
    <row r="7" spans="1:6" s="13" customFormat="1" ht="41.25" customHeight="1" x14ac:dyDescent="0.2">
      <c r="A7" s="23" t="s">
        <v>208</v>
      </c>
      <c r="B7" s="374" t="s">
        <v>207</v>
      </c>
      <c r="C7" s="375"/>
      <c r="D7" s="10" t="s">
        <v>595</v>
      </c>
      <c r="E7" s="10" t="s">
        <v>251</v>
      </c>
      <c r="F7" s="10" t="s">
        <v>594</v>
      </c>
    </row>
    <row r="8" spans="1:6" s="13" customFormat="1" ht="18.75" customHeight="1" x14ac:dyDescent="0.2">
      <c r="A8" s="17" t="s">
        <v>157</v>
      </c>
      <c r="B8" s="376" t="s">
        <v>206</v>
      </c>
      <c r="C8" s="377"/>
      <c r="D8" s="234">
        <f>SUM(D9:D16)</f>
        <v>27693.946859999996</v>
      </c>
      <c r="E8" s="234">
        <f>SUM(E9:E16)</f>
        <v>-892.15899999999999</v>
      </c>
      <c r="F8" s="234">
        <f>SUM(F9:F16)</f>
        <v>26801.787859999997</v>
      </c>
    </row>
    <row r="9" spans="1:6" s="13" customFormat="1" ht="25.5" x14ac:dyDescent="0.2">
      <c r="A9" s="20" t="s">
        <v>205</v>
      </c>
      <c r="B9" s="19" t="s">
        <v>15</v>
      </c>
      <c r="C9" s="18" t="s">
        <v>27</v>
      </c>
      <c r="D9" s="235">
        <f>'прил 16  вед стр 19г'!G510</f>
        <v>1980.0735099999999</v>
      </c>
      <c r="E9" s="235">
        <f>'прил 16  вед стр 19г'!H510</f>
        <v>0</v>
      </c>
      <c r="F9" s="235">
        <f>'прил 16  вед стр 19г'!I510</f>
        <v>1980.0735099999999</v>
      </c>
    </row>
    <row r="10" spans="1:6" s="13" customFormat="1" ht="25.5" x14ac:dyDescent="0.2">
      <c r="A10" s="20" t="s">
        <v>204</v>
      </c>
      <c r="B10" s="19" t="s">
        <v>15</v>
      </c>
      <c r="C10" s="18" t="s">
        <v>6</v>
      </c>
      <c r="D10" s="235">
        <f>'прил 16  вед стр 19г'!G511</f>
        <v>2010.4665100000002</v>
      </c>
      <c r="E10" s="235">
        <f>'прил 16  вед стр 19г'!H511</f>
        <v>0</v>
      </c>
      <c r="F10" s="235">
        <f>'прил 16  вед стр 19г'!I511</f>
        <v>2010.4665100000002</v>
      </c>
    </row>
    <row r="11" spans="1:6" s="13" customFormat="1" ht="12.75" x14ac:dyDescent="0.2">
      <c r="A11" s="20" t="s">
        <v>203</v>
      </c>
      <c r="B11" s="19" t="s">
        <v>15</v>
      </c>
      <c r="C11" s="18" t="s">
        <v>59</v>
      </c>
      <c r="D11" s="235">
        <f>'прил 16  вед стр 19г'!G512</f>
        <v>15423.10866</v>
      </c>
      <c r="E11" s="235">
        <f>'прил 16  вед стр 19г'!H512</f>
        <v>-811.15899999999999</v>
      </c>
      <c r="F11" s="235">
        <f>'прил 16  вед стр 19г'!I512</f>
        <v>14611.94966</v>
      </c>
    </row>
    <row r="12" spans="1:6" s="13" customFormat="1" ht="12.75" x14ac:dyDescent="0.2">
      <c r="A12" s="20" t="s">
        <v>202</v>
      </c>
      <c r="B12" s="19" t="s">
        <v>15</v>
      </c>
      <c r="C12" s="18" t="s">
        <v>36</v>
      </c>
      <c r="D12" s="235">
        <f>'прил 16  вед стр 19г'!G513</f>
        <v>9.6</v>
      </c>
      <c r="E12" s="235">
        <f>'прил 16  вед стр 19г'!H513</f>
        <v>0</v>
      </c>
      <c r="F12" s="235">
        <f>'прил 16  вед стр 19г'!I513</f>
        <v>9.6</v>
      </c>
    </row>
    <row r="13" spans="1:6" s="13" customFormat="1" ht="27.75" customHeight="1" x14ac:dyDescent="0.2">
      <c r="A13" s="20" t="s">
        <v>201</v>
      </c>
      <c r="B13" s="19" t="s">
        <v>15</v>
      </c>
      <c r="C13" s="18" t="s">
        <v>53</v>
      </c>
      <c r="D13" s="235">
        <f>'прил 16  вед стр 19г'!G514</f>
        <v>5781.60394</v>
      </c>
      <c r="E13" s="235">
        <f>'прил 16  вед стр 19г'!H514</f>
        <v>0</v>
      </c>
      <c r="F13" s="235">
        <f>'прил 16  вед стр 19г'!I514</f>
        <v>5781.60394</v>
      </c>
    </row>
    <row r="14" spans="1:6" s="13" customFormat="1" ht="15.75" customHeight="1" x14ac:dyDescent="0.2">
      <c r="A14" s="20" t="s">
        <v>130</v>
      </c>
      <c r="B14" s="19" t="s">
        <v>15</v>
      </c>
      <c r="C14" s="18" t="s">
        <v>79</v>
      </c>
      <c r="D14" s="235">
        <f>'прил 16  вед стр 19г'!G515</f>
        <v>0</v>
      </c>
      <c r="E14" s="235">
        <f>'прил 16  вед стр 19г'!H515</f>
        <v>25</v>
      </c>
      <c r="F14" s="235">
        <f>'прил 16  вед стр 19г'!I515</f>
        <v>25</v>
      </c>
    </row>
    <row r="15" spans="1:6" s="13" customFormat="1" ht="12.75" x14ac:dyDescent="0.2">
      <c r="A15" s="20" t="s">
        <v>129</v>
      </c>
      <c r="B15" s="19" t="s">
        <v>15</v>
      </c>
      <c r="C15" s="18" t="s">
        <v>37</v>
      </c>
      <c r="D15" s="235">
        <f>'прил 16  вед стр 19г'!G516</f>
        <v>1341.0820000000001</v>
      </c>
      <c r="E15" s="235">
        <f>'прил 16  вед стр 19г'!H516</f>
        <v>-106</v>
      </c>
      <c r="F15" s="235">
        <f>'прил 16  вед стр 19г'!I516</f>
        <v>1235.0820000000001</v>
      </c>
    </row>
    <row r="16" spans="1:6" s="13" customFormat="1" ht="12.75" x14ac:dyDescent="0.2">
      <c r="A16" s="6" t="s">
        <v>128</v>
      </c>
      <c r="B16" s="19" t="s">
        <v>15</v>
      </c>
      <c r="C16" s="18" t="s">
        <v>24</v>
      </c>
      <c r="D16" s="235">
        <f>'прил 16  вед стр 19г'!G517</f>
        <v>1148.01224</v>
      </c>
      <c r="E16" s="235">
        <f>'прил 16  вед стр 19г'!H517</f>
        <v>0</v>
      </c>
      <c r="F16" s="235">
        <f>'прил 16  вед стр 19г'!I517</f>
        <v>1148.01224</v>
      </c>
    </row>
    <row r="17" spans="1:6" s="15" customFormat="1" ht="12.75" hidden="1" x14ac:dyDescent="0.2">
      <c r="A17" s="17" t="s">
        <v>123</v>
      </c>
      <c r="B17" s="376" t="s">
        <v>200</v>
      </c>
      <c r="C17" s="377"/>
      <c r="D17" s="234">
        <f t="shared" ref="D17:F17" si="0">D18</f>
        <v>0</v>
      </c>
      <c r="E17" s="234">
        <f t="shared" si="0"/>
        <v>0</v>
      </c>
      <c r="F17" s="234">
        <f t="shared" si="0"/>
        <v>0</v>
      </c>
    </row>
    <row r="18" spans="1:6" s="13" customFormat="1" ht="16.5" hidden="1" customHeight="1" x14ac:dyDescent="0.2">
      <c r="A18" s="20" t="s">
        <v>199</v>
      </c>
      <c r="B18" s="19" t="s">
        <v>27</v>
      </c>
      <c r="C18" s="18" t="s">
        <v>6</v>
      </c>
      <c r="D18" s="235">
        <f>'прил 16  вед стр 19г'!G519</f>
        <v>0</v>
      </c>
      <c r="E18" s="235">
        <f>'прил 16  вед стр 19г'!H519</f>
        <v>0</v>
      </c>
      <c r="F18" s="235">
        <f>'прил 16  вед стр 19г'!I519</f>
        <v>0</v>
      </c>
    </row>
    <row r="19" spans="1:6" s="15" customFormat="1" ht="25.5" x14ac:dyDescent="0.2">
      <c r="A19" s="17" t="s">
        <v>122</v>
      </c>
      <c r="B19" s="376" t="s">
        <v>198</v>
      </c>
      <c r="C19" s="378"/>
      <c r="D19" s="234">
        <f t="shared" ref="D19" si="1">SUM(D21:D23)</f>
        <v>7591.2701000000006</v>
      </c>
      <c r="E19" s="234">
        <f>SUM(E21:E23)</f>
        <v>-374.44326000000001</v>
      </c>
      <c r="F19" s="234">
        <f>SUM(F21:F23)</f>
        <v>7216.8268400000006</v>
      </c>
    </row>
    <row r="20" spans="1:6" s="13" customFormat="1" ht="12.75" x14ac:dyDescent="0.2">
      <c r="A20" s="20" t="s">
        <v>197</v>
      </c>
      <c r="B20" s="19" t="s">
        <v>6</v>
      </c>
      <c r="C20" s="18" t="s">
        <v>27</v>
      </c>
      <c r="D20" s="236"/>
      <c r="E20" s="236"/>
      <c r="F20" s="236"/>
    </row>
    <row r="21" spans="1:6" s="13" customFormat="1" ht="38.25" customHeight="1" x14ac:dyDescent="0.2">
      <c r="A21" s="20" t="s">
        <v>196</v>
      </c>
      <c r="B21" s="19" t="s">
        <v>6</v>
      </c>
      <c r="C21" s="18" t="s">
        <v>67</v>
      </c>
      <c r="D21" s="235">
        <f>'прил 16  вед стр 19г'!G522</f>
        <v>6680.2813800000004</v>
      </c>
      <c r="E21" s="235">
        <f>'прил 16  вед стр 19г'!H522</f>
        <v>-374.44326000000001</v>
      </c>
      <c r="F21" s="235">
        <f>'прил 16  вед стр 19г'!I522</f>
        <v>6305.8381200000003</v>
      </c>
    </row>
    <row r="22" spans="1:6" s="197" customFormat="1" ht="12.75" x14ac:dyDescent="0.25">
      <c r="A22" s="67" t="s">
        <v>555</v>
      </c>
      <c r="B22" s="195" t="s">
        <v>6</v>
      </c>
      <c r="C22" s="196" t="s">
        <v>54</v>
      </c>
      <c r="D22" s="237">
        <f>'прил 16  вед стр 19г'!G523</f>
        <v>880.67443000000003</v>
      </c>
      <c r="E22" s="237">
        <f>'прил 16  вед стр 19г'!H523</f>
        <v>0</v>
      </c>
      <c r="F22" s="237">
        <f>'прил 16  вед стр 19г'!I523</f>
        <v>880.67443000000003</v>
      </c>
    </row>
    <row r="23" spans="1:6" s="13" customFormat="1" ht="26.25" customHeight="1" x14ac:dyDescent="0.2">
      <c r="A23" s="20" t="s">
        <v>116</v>
      </c>
      <c r="B23" s="19" t="s">
        <v>6</v>
      </c>
      <c r="C23" s="18" t="s">
        <v>7</v>
      </c>
      <c r="D23" s="235">
        <f>'прил 16  вед стр 19г'!G524</f>
        <v>30.31429</v>
      </c>
      <c r="E23" s="235">
        <f>'прил 16  вед стр 19г'!H524</f>
        <v>0</v>
      </c>
      <c r="F23" s="235">
        <f>'прил 16  вед стр 19г'!I524</f>
        <v>30.31429</v>
      </c>
    </row>
    <row r="24" spans="1:6" s="15" customFormat="1" ht="12.75" x14ac:dyDescent="0.2">
      <c r="A24" s="17" t="s">
        <v>111</v>
      </c>
      <c r="B24" s="376" t="s">
        <v>195</v>
      </c>
      <c r="C24" s="378"/>
      <c r="D24" s="234">
        <f t="shared" ref="D24" si="2">SUM(D26:D28)</f>
        <v>28809.757599999997</v>
      </c>
      <c r="E24" s="234">
        <f>SUM(E26:E28)</f>
        <v>811.15899999999999</v>
      </c>
      <c r="F24" s="234">
        <f>SUM(F26:F28)</f>
        <v>29620.916599999997</v>
      </c>
    </row>
    <row r="25" spans="1:6" s="13" customFormat="1" ht="12.75" x14ac:dyDescent="0.2">
      <c r="A25" s="20" t="s">
        <v>194</v>
      </c>
      <c r="B25" s="19" t="s">
        <v>59</v>
      </c>
      <c r="C25" s="18" t="s">
        <v>15</v>
      </c>
      <c r="D25" s="236"/>
      <c r="E25" s="236"/>
      <c r="F25" s="236"/>
    </row>
    <row r="26" spans="1:6" s="13" customFormat="1" ht="15.75" customHeight="1" x14ac:dyDescent="0.2">
      <c r="A26" s="20" t="s">
        <v>110</v>
      </c>
      <c r="B26" s="19" t="s">
        <v>59</v>
      </c>
      <c r="C26" s="18" t="s">
        <v>36</v>
      </c>
      <c r="D26" s="235">
        <f>'прил 16  вед стр 19г'!G527</f>
        <v>1040.3</v>
      </c>
      <c r="E26" s="235">
        <f>'прил 16  вед стр 19г'!H527</f>
        <v>0</v>
      </c>
      <c r="F26" s="235">
        <f>'прил 16  вед стр 19г'!I527</f>
        <v>1040.3</v>
      </c>
    </row>
    <row r="27" spans="1:6" s="13" customFormat="1" ht="13.5" customHeight="1" x14ac:dyDescent="0.2">
      <c r="A27" s="20" t="s">
        <v>193</v>
      </c>
      <c r="B27" s="19" t="s">
        <v>59</v>
      </c>
      <c r="C27" s="18" t="s">
        <v>67</v>
      </c>
      <c r="D27" s="235">
        <f>'прил 16  вед стр 19г'!G528</f>
        <v>5601.8</v>
      </c>
      <c r="E27" s="235">
        <f>'прил 16  вед стр 19г'!H528</f>
        <v>811.15899999999999</v>
      </c>
      <c r="F27" s="235">
        <f>'прил 16  вед стр 19г'!I528</f>
        <v>6412.9589999999998</v>
      </c>
    </row>
    <row r="28" spans="1:6" s="13" customFormat="1" ht="18" customHeight="1" x14ac:dyDescent="0.2">
      <c r="A28" s="20" t="s">
        <v>192</v>
      </c>
      <c r="B28" s="19" t="s">
        <v>59</v>
      </c>
      <c r="C28" s="18" t="s">
        <v>28</v>
      </c>
      <c r="D28" s="235">
        <f>'прил 16  вед стр 19г'!G529</f>
        <v>22167.657599999999</v>
      </c>
      <c r="E28" s="235">
        <f>'прил 16  вед стр 19г'!H529</f>
        <v>0</v>
      </c>
      <c r="F28" s="235">
        <f>'прил 16  вед стр 19г'!I529</f>
        <v>22167.657599999999</v>
      </c>
    </row>
    <row r="29" spans="1:6" s="15" customFormat="1" ht="16.5" customHeight="1" x14ac:dyDescent="0.2">
      <c r="A29" s="17" t="s">
        <v>191</v>
      </c>
      <c r="B29" s="364" t="s">
        <v>190</v>
      </c>
      <c r="C29" s="365"/>
      <c r="D29" s="234">
        <f t="shared" ref="D29" si="3">SUM(D30:D32)</f>
        <v>21433.676359999998</v>
      </c>
      <c r="E29" s="234">
        <f>SUM(E30:E32)</f>
        <v>265</v>
      </c>
      <c r="F29" s="234">
        <f>SUM(F30:F32)</f>
        <v>21698.676359999998</v>
      </c>
    </row>
    <row r="30" spans="1:6" s="13" customFormat="1" ht="12.75" x14ac:dyDescent="0.2">
      <c r="A30" s="20" t="s">
        <v>99</v>
      </c>
      <c r="B30" s="19" t="s">
        <v>36</v>
      </c>
      <c r="C30" s="18" t="s">
        <v>15</v>
      </c>
      <c r="D30" s="235">
        <f>'прил 16  вед стр 19г'!G531</f>
        <v>11</v>
      </c>
      <c r="E30" s="235">
        <f>'прил 16  вед стр 19г'!H531</f>
        <v>0</v>
      </c>
      <c r="F30" s="235">
        <f>'прил 16  вед стр 19г'!I531</f>
        <v>11</v>
      </c>
    </row>
    <row r="31" spans="1:6" s="13" customFormat="1" ht="12.75" x14ac:dyDescent="0.2">
      <c r="A31" s="20" t="s">
        <v>98</v>
      </c>
      <c r="B31" s="19" t="s">
        <v>36</v>
      </c>
      <c r="C31" s="18" t="s">
        <v>27</v>
      </c>
      <c r="D31" s="235">
        <f>'прил 16  вед стр 19г'!G532</f>
        <v>20744.856359999998</v>
      </c>
      <c r="E31" s="235">
        <f>'прил 16  вед стр 19г'!H532</f>
        <v>259</v>
      </c>
      <c r="F31" s="235">
        <f>'прил 16  вед стр 19г'!I532</f>
        <v>21003.856359999998</v>
      </c>
    </row>
    <row r="32" spans="1:6" s="13" customFormat="1" ht="12.75" x14ac:dyDescent="0.2">
      <c r="A32" s="20" t="s">
        <v>189</v>
      </c>
      <c r="B32" s="19" t="s">
        <v>36</v>
      </c>
      <c r="C32" s="18" t="s">
        <v>6</v>
      </c>
      <c r="D32" s="235">
        <f>'прил 16  вед стр 19г'!G533</f>
        <v>677.82</v>
      </c>
      <c r="E32" s="235">
        <f>'прил 16  вед стр 19г'!H533</f>
        <v>6</v>
      </c>
      <c r="F32" s="235">
        <f>'прил 16  вед стр 19г'!I533</f>
        <v>683.82</v>
      </c>
    </row>
    <row r="33" spans="1:6" s="15" customFormat="1" ht="14.25" hidden="1" customHeight="1" x14ac:dyDescent="0.2">
      <c r="A33" s="17" t="s">
        <v>188</v>
      </c>
      <c r="B33" s="364" t="s">
        <v>187</v>
      </c>
      <c r="C33" s="365"/>
      <c r="D33" s="234"/>
      <c r="E33" s="234"/>
      <c r="F33" s="234"/>
    </row>
    <row r="34" spans="1:6" s="13" customFormat="1" ht="25.5" hidden="1" x14ac:dyDescent="0.2">
      <c r="A34" s="22" t="s">
        <v>186</v>
      </c>
      <c r="B34" s="19" t="s">
        <v>53</v>
      </c>
      <c r="C34" s="18" t="s">
        <v>36</v>
      </c>
      <c r="D34" s="235"/>
      <c r="E34" s="235"/>
      <c r="F34" s="235"/>
    </row>
    <row r="35" spans="1:6" s="15" customFormat="1" ht="12.75" x14ac:dyDescent="0.2">
      <c r="A35" s="17" t="s">
        <v>185</v>
      </c>
      <c r="B35" s="364" t="s">
        <v>184</v>
      </c>
      <c r="C35" s="365"/>
      <c r="D35" s="234">
        <f t="shared" ref="D35" si="4">SUM(D36:D41)</f>
        <v>509522.17391000007</v>
      </c>
      <c r="E35" s="234">
        <f>SUM(E36:E41)</f>
        <v>7263.5325800000001</v>
      </c>
      <c r="F35" s="234">
        <f>SUM(F36:F41)</f>
        <v>516785.70648999995</v>
      </c>
    </row>
    <row r="36" spans="1:6" s="13" customFormat="1" ht="12.75" x14ac:dyDescent="0.2">
      <c r="A36" s="20" t="s">
        <v>89</v>
      </c>
      <c r="B36" s="19" t="s">
        <v>79</v>
      </c>
      <c r="C36" s="18" t="s">
        <v>15</v>
      </c>
      <c r="D36" s="235">
        <f>'прил 16  вед стр 19г'!G537</f>
        <v>171640.26956000002</v>
      </c>
      <c r="E36" s="235">
        <f>'прил 16  вед стр 19г'!H537</f>
        <v>1005</v>
      </c>
      <c r="F36" s="235">
        <f>'прил 16  вед стр 19г'!I537</f>
        <v>172645.26956000002</v>
      </c>
    </row>
    <row r="37" spans="1:6" s="13" customFormat="1" ht="12.75" x14ac:dyDescent="0.2">
      <c r="A37" s="20" t="s">
        <v>88</v>
      </c>
      <c r="B37" s="19" t="s">
        <v>79</v>
      </c>
      <c r="C37" s="18" t="s">
        <v>27</v>
      </c>
      <c r="D37" s="235">
        <f>'прил 16  вед стр 19г'!G538</f>
        <v>289972.22698000004</v>
      </c>
      <c r="E37" s="235">
        <f>'прил 16  вед стр 19г'!H538</f>
        <v>5210.5325800000001</v>
      </c>
      <c r="F37" s="235">
        <f>'прил 16  вед стр 19г'!I538</f>
        <v>295182.75955999998</v>
      </c>
    </row>
    <row r="38" spans="1:6" s="13" customFormat="1" ht="16.5" customHeight="1" x14ac:dyDescent="0.2">
      <c r="A38" s="4" t="s">
        <v>242</v>
      </c>
      <c r="B38" s="19" t="s">
        <v>79</v>
      </c>
      <c r="C38" s="18" t="s">
        <v>6</v>
      </c>
      <c r="D38" s="235">
        <f>'прил 16  вед стр 19г'!G539</f>
        <v>30317.705840000002</v>
      </c>
      <c r="E38" s="235">
        <f>'прил 16  вед стр 19г'!H539</f>
        <v>1048</v>
      </c>
      <c r="F38" s="235">
        <f>'прил 16  вед стр 19г'!I539</f>
        <v>31365.705839999999</v>
      </c>
    </row>
    <row r="39" spans="1:6" s="13" customFormat="1" ht="25.5" hidden="1" x14ac:dyDescent="0.2">
      <c r="A39" s="20" t="s">
        <v>183</v>
      </c>
      <c r="B39" s="19" t="s">
        <v>79</v>
      </c>
      <c r="C39" s="18" t="s">
        <v>36</v>
      </c>
      <c r="D39" s="235">
        <f>'прил 16  вед стр 19г'!G540</f>
        <v>0</v>
      </c>
      <c r="E39" s="235">
        <f>'прил 16  вед стр 19г'!H540</f>
        <v>0</v>
      </c>
      <c r="F39" s="235">
        <f>'прил 16  вед стр 19г'!I540</f>
        <v>0</v>
      </c>
    </row>
    <row r="40" spans="1:6" s="13" customFormat="1" ht="18" customHeight="1" x14ac:dyDescent="0.2">
      <c r="A40" s="20" t="s">
        <v>84</v>
      </c>
      <c r="B40" s="19" t="s">
        <v>79</v>
      </c>
      <c r="C40" s="18" t="s">
        <v>79</v>
      </c>
      <c r="D40" s="235">
        <f>'прил 16  вед стр 19г'!G541</f>
        <v>1481.5</v>
      </c>
      <c r="E40" s="235">
        <f>'прил 16  вед стр 19г'!H541</f>
        <v>0</v>
      </c>
      <c r="F40" s="235">
        <f>'прил 16  вед стр 19г'!I541</f>
        <v>1481.5</v>
      </c>
    </row>
    <row r="41" spans="1:6" s="13" customFormat="1" ht="16.5" customHeight="1" x14ac:dyDescent="0.2">
      <c r="A41" s="20" t="s">
        <v>83</v>
      </c>
      <c r="B41" s="19" t="s">
        <v>79</v>
      </c>
      <c r="C41" s="18" t="s">
        <v>67</v>
      </c>
      <c r="D41" s="235">
        <f>'прил 16  вед стр 19г'!G542</f>
        <v>16110.471529999999</v>
      </c>
      <c r="E41" s="235">
        <f>'прил 16  вед стр 19г'!H542</f>
        <v>0</v>
      </c>
      <c r="F41" s="235">
        <f>'прил 16  вед стр 19г'!I542</f>
        <v>16110.471529999999</v>
      </c>
    </row>
    <row r="42" spans="1:6" s="15" customFormat="1" ht="12.75" x14ac:dyDescent="0.2">
      <c r="A42" s="17" t="s">
        <v>182</v>
      </c>
      <c r="B42" s="364" t="s">
        <v>181</v>
      </c>
      <c r="C42" s="365"/>
      <c r="D42" s="234">
        <f t="shared" ref="D42" si="5">SUM(D43:D44)</f>
        <v>55271.29664</v>
      </c>
      <c r="E42" s="234">
        <f>SUM(E43:E44)</f>
        <v>-155.26249000000001</v>
      </c>
      <c r="F42" s="234">
        <f>SUM(F43:F44)</f>
        <v>55116.034150000007</v>
      </c>
    </row>
    <row r="43" spans="1:6" s="13" customFormat="1" ht="12.75" x14ac:dyDescent="0.2">
      <c r="A43" s="20" t="s">
        <v>77</v>
      </c>
      <c r="B43" s="19" t="s">
        <v>72</v>
      </c>
      <c r="C43" s="18" t="s">
        <v>15</v>
      </c>
      <c r="D43" s="235">
        <f>'прил 16  вед стр 19г'!G544</f>
        <v>46744.881049999996</v>
      </c>
      <c r="E43" s="235">
        <f>'прил 16  вед стр 19г'!H544</f>
        <v>-255.26249000000001</v>
      </c>
      <c r="F43" s="235">
        <f>'прил 16  вед стр 19г'!I544</f>
        <v>46489.618560000003</v>
      </c>
    </row>
    <row r="44" spans="1:6" s="13" customFormat="1" ht="15.75" customHeight="1" x14ac:dyDescent="0.2">
      <c r="A44" s="20" t="s">
        <v>180</v>
      </c>
      <c r="B44" s="19" t="s">
        <v>72</v>
      </c>
      <c r="C44" s="18" t="s">
        <v>59</v>
      </c>
      <c r="D44" s="235">
        <f>'прил 16  вед стр 19г'!G545</f>
        <v>8526.4155900000005</v>
      </c>
      <c r="E44" s="235">
        <f>'прил 16  вед стр 19г'!H545</f>
        <v>100</v>
      </c>
      <c r="F44" s="235">
        <f>'прил 16  вед стр 19г'!I545</f>
        <v>8626.4155900000005</v>
      </c>
    </row>
    <row r="45" spans="1:6" s="15" customFormat="1" ht="12.75" hidden="1" x14ac:dyDescent="0.2">
      <c r="A45" s="17" t="s">
        <v>179</v>
      </c>
      <c r="B45" s="364" t="s">
        <v>178</v>
      </c>
      <c r="C45" s="365"/>
      <c r="D45" s="234">
        <f t="shared" ref="D45" si="6">D49+D46</f>
        <v>0</v>
      </c>
      <c r="E45" s="234">
        <f>E49+E46</f>
        <v>0</v>
      </c>
      <c r="F45" s="234">
        <f>F49+F46</f>
        <v>0</v>
      </c>
    </row>
    <row r="46" spans="1:6" s="13" customFormat="1" ht="12.75" hidden="1" x14ac:dyDescent="0.2">
      <c r="A46" s="20" t="s">
        <v>71</v>
      </c>
      <c r="B46" s="19" t="s">
        <v>67</v>
      </c>
      <c r="C46" s="18" t="s">
        <v>15</v>
      </c>
      <c r="D46" s="236"/>
      <c r="E46" s="236"/>
      <c r="F46" s="236"/>
    </row>
    <row r="47" spans="1:6" s="13" customFormat="1" ht="12.75" hidden="1" x14ac:dyDescent="0.2">
      <c r="A47" s="20" t="s">
        <v>177</v>
      </c>
      <c r="B47" s="19" t="s">
        <v>67</v>
      </c>
      <c r="C47" s="18" t="s">
        <v>27</v>
      </c>
      <c r="D47" s="236"/>
      <c r="E47" s="236"/>
      <c r="F47" s="236"/>
    </row>
    <row r="48" spans="1:6" s="13" customFormat="1" ht="12.75" hidden="1" x14ac:dyDescent="0.2">
      <c r="A48" s="20" t="s">
        <v>176</v>
      </c>
      <c r="B48" s="19" t="s">
        <v>67</v>
      </c>
      <c r="C48" s="18" t="s">
        <v>59</v>
      </c>
      <c r="D48" s="236"/>
      <c r="E48" s="236"/>
      <c r="F48" s="236"/>
    </row>
    <row r="49" spans="1:6" s="13" customFormat="1" ht="18" hidden="1" customHeight="1" x14ac:dyDescent="0.2">
      <c r="A49" s="20" t="s">
        <v>68</v>
      </c>
      <c r="B49" s="19" t="s">
        <v>67</v>
      </c>
      <c r="C49" s="18" t="s">
        <v>67</v>
      </c>
      <c r="D49" s="235">
        <f>'прил 16  вед стр 19г'!G550</f>
        <v>0</v>
      </c>
      <c r="E49" s="235">
        <f>'прил 16  вед стр 19г'!H550</f>
        <v>0</v>
      </c>
      <c r="F49" s="235">
        <f>'прил 16  вед стр 19г'!I550</f>
        <v>0</v>
      </c>
    </row>
    <row r="50" spans="1:6" s="15" customFormat="1" ht="12.75" x14ac:dyDescent="0.2">
      <c r="A50" s="17" t="s">
        <v>66</v>
      </c>
      <c r="B50" s="364" t="s">
        <v>175</v>
      </c>
      <c r="C50" s="365"/>
      <c r="D50" s="234">
        <f>SUM(D51:D55)</f>
        <v>10865.898809999999</v>
      </c>
      <c r="E50" s="234">
        <f>SUM(E51:E55)</f>
        <v>0</v>
      </c>
      <c r="F50" s="234">
        <f>SUM(F51:F55)</f>
        <v>10865.898809999999</v>
      </c>
    </row>
    <row r="51" spans="1:6" s="13" customFormat="1" ht="12.75" x14ac:dyDescent="0.2">
      <c r="A51" s="20" t="s">
        <v>65</v>
      </c>
      <c r="B51" s="19" t="s">
        <v>54</v>
      </c>
      <c r="C51" s="18" t="s">
        <v>15</v>
      </c>
      <c r="D51" s="235">
        <f>'прил 16  вед стр 19г'!G552</f>
        <v>720.73</v>
      </c>
      <c r="E51" s="235">
        <f>'прил 16  вед стр 19г'!H552</f>
        <v>0</v>
      </c>
      <c r="F51" s="235">
        <f>'прил 16  вед стр 19г'!I552</f>
        <v>720.73</v>
      </c>
    </row>
    <row r="52" spans="1:6" s="13" customFormat="1" ht="12.75" x14ac:dyDescent="0.2">
      <c r="A52" s="20" t="s">
        <v>174</v>
      </c>
      <c r="B52" s="19" t="s">
        <v>54</v>
      </c>
      <c r="C52" s="18" t="s">
        <v>27</v>
      </c>
      <c r="D52" s="235">
        <f>'прил 16  вед стр 19г'!G553</f>
        <v>0</v>
      </c>
      <c r="E52" s="235">
        <f>'прил 16  вед стр 19г'!H553</f>
        <v>0</v>
      </c>
      <c r="F52" s="235">
        <f>'прил 16  вед стр 19г'!I553</f>
        <v>0</v>
      </c>
    </row>
    <row r="53" spans="1:6" s="13" customFormat="1" ht="12" customHeight="1" x14ac:dyDescent="0.2">
      <c r="A53" s="20" t="s">
        <v>173</v>
      </c>
      <c r="B53" s="19" t="s">
        <v>54</v>
      </c>
      <c r="C53" s="18" t="s">
        <v>6</v>
      </c>
      <c r="D53" s="235">
        <f>'прил 16  вед стр 19г'!G554</f>
        <v>4970.4688100000003</v>
      </c>
      <c r="E53" s="235">
        <f>'прил 16  вед стр 19г'!H554</f>
        <v>0</v>
      </c>
      <c r="F53" s="235">
        <f>'прил 16  вед стр 19г'!I554</f>
        <v>4970.4688100000003</v>
      </c>
    </row>
    <row r="54" spans="1:6" s="13" customFormat="1" ht="12.75" x14ac:dyDescent="0.2">
      <c r="A54" s="20" t="s">
        <v>172</v>
      </c>
      <c r="B54" s="19" t="s">
        <v>54</v>
      </c>
      <c r="C54" s="18" t="s">
        <v>59</v>
      </c>
      <c r="D54" s="235">
        <f>'прил 16  вед стр 19г'!G555</f>
        <v>5054.8999999999996</v>
      </c>
      <c r="E54" s="235">
        <f>'прил 16  вед стр 19г'!H555</f>
        <v>0</v>
      </c>
      <c r="F54" s="235">
        <f>'прил 16  вед стр 19г'!I555</f>
        <v>5054.8999999999996</v>
      </c>
    </row>
    <row r="55" spans="1:6" s="13" customFormat="1" ht="14.25" customHeight="1" x14ac:dyDescent="0.2">
      <c r="A55" s="20" t="s">
        <v>58</v>
      </c>
      <c r="B55" s="19" t="s">
        <v>54</v>
      </c>
      <c r="C55" s="18" t="s">
        <v>53</v>
      </c>
      <c r="D55" s="235">
        <f>'прил 16  вед стр 19г'!G556</f>
        <v>119.8</v>
      </c>
      <c r="E55" s="235">
        <f>'прил 16  вед стр 19г'!H556</f>
        <v>0</v>
      </c>
      <c r="F55" s="235">
        <f>'прил 16  вед стр 19г'!I556</f>
        <v>119.8</v>
      </c>
    </row>
    <row r="56" spans="1:6" s="15" customFormat="1" ht="12.75" x14ac:dyDescent="0.2">
      <c r="A56" s="17" t="s">
        <v>50</v>
      </c>
      <c r="B56" s="364" t="s">
        <v>171</v>
      </c>
      <c r="C56" s="365"/>
      <c r="D56" s="234">
        <f t="shared" ref="D56" si="7">D57+D58</f>
        <v>1094</v>
      </c>
      <c r="E56" s="234">
        <f>E57+E58</f>
        <v>0</v>
      </c>
      <c r="F56" s="234">
        <f>F57+F58</f>
        <v>1094</v>
      </c>
    </row>
    <row r="57" spans="1:6" s="13" customFormat="1" ht="12.75" x14ac:dyDescent="0.2">
      <c r="A57" s="20" t="s">
        <v>170</v>
      </c>
      <c r="B57" s="19" t="s">
        <v>37</v>
      </c>
      <c r="C57" s="18" t="s">
        <v>15</v>
      </c>
      <c r="D57" s="235">
        <f>'прил 16  вед стр 19г'!G558</f>
        <v>1094</v>
      </c>
      <c r="E57" s="235">
        <f>'прил 16  вед стр 19г'!H558</f>
        <v>0</v>
      </c>
      <c r="F57" s="235">
        <f>'прил 16  вед стр 19г'!I558</f>
        <v>1094</v>
      </c>
    </row>
    <row r="58" spans="1:6" s="13" customFormat="1" ht="25.5" hidden="1" x14ac:dyDescent="0.2">
      <c r="A58" s="20" t="s">
        <v>42</v>
      </c>
      <c r="B58" s="21" t="s">
        <v>37</v>
      </c>
      <c r="C58" s="19" t="s">
        <v>36</v>
      </c>
      <c r="D58" s="235"/>
      <c r="E58" s="235"/>
      <c r="F58" s="235"/>
    </row>
    <row r="59" spans="1:6" s="15" customFormat="1" ht="12" customHeight="1" x14ac:dyDescent="0.2">
      <c r="A59" s="17" t="s">
        <v>33</v>
      </c>
      <c r="B59" s="364" t="s">
        <v>169</v>
      </c>
      <c r="C59" s="365"/>
      <c r="D59" s="234">
        <f t="shared" ref="D59:F59" si="8">D60</f>
        <v>1300.4059999999999</v>
      </c>
      <c r="E59" s="234">
        <f t="shared" si="8"/>
        <v>0</v>
      </c>
      <c r="F59" s="234">
        <f t="shared" si="8"/>
        <v>1300.4059999999999</v>
      </c>
    </row>
    <row r="60" spans="1:6" s="13" customFormat="1" ht="16.5" customHeight="1" x14ac:dyDescent="0.2">
      <c r="A60" s="20" t="s">
        <v>32</v>
      </c>
      <c r="B60" s="19" t="s">
        <v>28</v>
      </c>
      <c r="C60" s="18" t="s">
        <v>27</v>
      </c>
      <c r="D60" s="235">
        <f>'прил 16  вед стр 19г'!G561</f>
        <v>1300.4059999999999</v>
      </c>
      <c r="E60" s="235">
        <f>'прил 16  вед стр 19г'!H561</f>
        <v>0</v>
      </c>
      <c r="F60" s="235">
        <f>'прил 16  вед стр 19г'!I561</f>
        <v>1300.4059999999999</v>
      </c>
    </row>
    <row r="61" spans="1:6" s="15" customFormat="1" ht="27" customHeight="1" x14ac:dyDescent="0.2">
      <c r="A61" s="17" t="s">
        <v>168</v>
      </c>
      <c r="B61" s="364" t="s">
        <v>167</v>
      </c>
      <c r="C61" s="365"/>
      <c r="D61" s="234">
        <f t="shared" ref="D61:F61" si="9">SUM(D62)</f>
        <v>98</v>
      </c>
      <c r="E61" s="234">
        <f t="shared" si="9"/>
        <v>0</v>
      </c>
      <c r="F61" s="234">
        <f t="shared" si="9"/>
        <v>98</v>
      </c>
    </row>
    <row r="62" spans="1:6" s="13" customFormat="1" ht="27.75" customHeight="1" x14ac:dyDescent="0.2">
      <c r="A62" s="20" t="s">
        <v>25</v>
      </c>
      <c r="B62" s="19" t="s">
        <v>24</v>
      </c>
      <c r="C62" s="18" t="s">
        <v>15</v>
      </c>
      <c r="D62" s="235">
        <f>'прил 16  вед стр 19г'!G563</f>
        <v>98</v>
      </c>
      <c r="E62" s="235">
        <f>'прил 16  вед стр 19г'!H563</f>
        <v>0</v>
      </c>
      <c r="F62" s="235">
        <f>'прил 16  вед стр 19г'!I563</f>
        <v>98</v>
      </c>
    </row>
    <row r="63" spans="1:6" s="15" customFormat="1" ht="26.25" customHeight="1" x14ac:dyDescent="0.2">
      <c r="A63" s="17" t="s">
        <v>166</v>
      </c>
      <c r="B63" s="364" t="s">
        <v>165</v>
      </c>
      <c r="C63" s="365"/>
      <c r="D63" s="234">
        <f t="shared" ref="D63" si="10">SUM(D64:D65)</f>
        <v>36825.599999999999</v>
      </c>
      <c r="E63" s="234">
        <f>SUM(E64:E65)</f>
        <v>0</v>
      </c>
      <c r="F63" s="234">
        <f>SUM(F64:F65)</f>
        <v>36825.599999999999</v>
      </c>
    </row>
    <row r="64" spans="1:6" s="13" customFormat="1" ht="29.25" customHeight="1" x14ac:dyDescent="0.2">
      <c r="A64" s="20" t="s">
        <v>164</v>
      </c>
      <c r="B64" s="19" t="s">
        <v>7</v>
      </c>
      <c r="C64" s="18" t="s">
        <v>15</v>
      </c>
      <c r="D64" s="235">
        <f>'прил 16  вед стр 19г'!G565</f>
        <v>25963.5</v>
      </c>
      <c r="E64" s="235">
        <f>'прил 16  вед стр 19г'!H565</f>
        <v>0</v>
      </c>
      <c r="F64" s="235">
        <f>'прил 16  вед стр 19г'!I565</f>
        <v>25963.5</v>
      </c>
    </row>
    <row r="65" spans="1:6" s="13" customFormat="1" ht="26.25" customHeight="1" x14ac:dyDescent="0.2">
      <c r="A65" s="20" t="s">
        <v>163</v>
      </c>
      <c r="B65" s="19" t="s">
        <v>7</v>
      </c>
      <c r="C65" s="18" t="s">
        <v>6</v>
      </c>
      <c r="D65" s="235">
        <f>'прил 16  вед стр 19г'!G566</f>
        <v>10862.1</v>
      </c>
      <c r="E65" s="235">
        <f>'прил 16  вед стр 19г'!H566</f>
        <v>0</v>
      </c>
      <c r="F65" s="235">
        <f>'прил 16  вед стр 19г'!I566</f>
        <v>10862.1</v>
      </c>
    </row>
    <row r="66" spans="1:6" s="15" customFormat="1" ht="12.75" hidden="1" x14ac:dyDescent="0.2">
      <c r="A66" s="51" t="s">
        <v>224</v>
      </c>
      <c r="B66" s="60" t="s">
        <v>225</v>
      </c>
      <c r="C66" s="16" t="s">
        <v>225</v>
      </c>
      <c r="D66" s="238">
        <f>'прил 16  вед стр 19г'!G567</f>
        <v>0</v>
      </c>
      <c r="E66" s="238">
        <f>'прил 16  вед стр 19г'!H567</f>
        <v>0</v>
      </c>
      <c r="F66" s="238">
        <f>'прил 16  вед стр 19г'!I567</f>
        <v>0</v>
      </c>
    </row>
    <row r="67" spans="1:6" s="15" customFormat="1" ht="12.75" x14ac:dyDescent="0.2">
      <c r="A67" s="17" t="s">
        <v>162</v>
      </c>
      <c r="B67" s="60"/>
      <c r="C67" s="16"/>
      <c r="D67" s="234">
        <f>D8+D17+D19+D24+D29+D35+D42+D45+D50+D56+D59+D61+D63+D66+D33</f>
        <v>700506.02627999999</v>
      </c>
      <c r="E67" s="234">
        <f t="shared" ref="E67" si="11">E8+E17+E19+E24+E29+E35+E42+E45+E50+E56+E59+E61+E63+E66+E33</f>
        <v>6917.82683</v>
      </c>
      <c r="F67" s="234">
        <f>F8+F17+F19+F24+F29+F35+F42+F45+F50+F56+F59+F61+F63+F66+F33</f>
        <v>707423.85310999991</v>
      </c>
    </row>
    <row r="68" spans="1:6" s="13" customFormat="1" ht="12.75" x14ac:dyDescent="0.2">
      <c r="A68" s="12"/>
      <c r="C68" s="14"/>
      <c r="D68" s="29">
        <v>700506.02627999999</v>
      </c>
      <c r="E68" s="58">
        <v>6917.82683</v>
      </c>
      <c r="F68" s="58">
        <f>D68+E68</f>
        <v>707423.85311000003</v>
      </c>
    </row>
    <row r="69" spans="1:6" s="13" customFormat="1" ht="12.75" x14ac:dyDescent="0.2">
      <c r="A69" s="12"/>
      <c r="C69" s="14"/>
      <c r="D69" s="79">
        <f>D68-D67</f>
        <v>0</v>
      </c>
      <c r="E69" s="79">
        <f t="shared" ref="E69:F69" si="12">E68-E67</f>
        <v>0</v>
      </c>
      <c r="F69" s="79">
        <f t="shared" si="12"/>
        <v>0</v>
      </c>
    </row>
    <row r="70" spans="1:6" s="13" customFormat="1" ht="12.75" x14ac:dyDescent="0.2">
      <c r="A70" s="12"/>
      <c r="C70" s="14"/>
    </row>
  </sheetData>
  <mergeCells count="19">
    <mergeCell ref="A5:F5"/>
    <mergeCell ref="A4:F4"/>
    <mergeCell ref="C2:F2"/>
    <mergeCell ref="C1:F1"/>
    <mergeCell ref="B35:C35"/>
    <mergeCell ref="B7:C7"/>
    <mergeCell ref="B8:C8"/>
    <mergeCell ref="B17:C17"/>
    <mergeCell ref="B19:C19"/>
    <mergeCell ref="B24:C24"/>
    <mergeCell ref="B29:C29"/>
    <mergeCell ref="B33:C33"/>
    <mergeCell ref="B63:C63"/>
    <mergeCell ref="B42:C42"/>
    <mergeCell ref="B45:C45"/>
    <mergeCell ref="B50:C50"/>
    <mergeCell ref="B56:C56"/>
    <mergeCell ref="B59:C59"/>
    <mergeCell ref="B61:C61"/>
  </mergeCells>
  <pageMargins left="0.9055118110236221" right="0" top="0" bottom="0" header="0" footer="0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6"/>
  <sheetViews>
    <sheetView view="pageBreakPreview" topLeftCell="A211" zoomScaleNormal="100" zoomScaleSheetLayoutView="100" workbookViewId="0">
      <selection activeCell="E216" sqref="E216"/>
    </sheetView>
  </sheetViews>
  <sheetFormatPr defaultRowHeight="12.75" x14ac:dyDescent="0.2"/>
  <cols>
    <col min="1" max="1" width="54.42578125" style="27" customWidth="1"/>
    <col min="2" max="2" width="16" style="26" customWidth="1"/>
    <col min="3" max="3" width="7.85546875" style="26" customWidth="1"/>
    <col min="4" max="4" width="13.7109375" style="58" customWidth="1"/>
    <col min="5" max="5" width="14" style="58" customWidth="1"/>
    <col min="6" max="6" width="13.7109375" style="58" customWidth="1"/>
    <col min="7" max="16384" width="9.140625" style="26"/>
  </cols>
  <sheetData>
    <row r="1" spans="1:9" ht="15" customHeight="1" x14ac:dyDescent="0.25">
      <c r="B1" s="40"/>
      <c r="C1" s="40"/>
      <c r="D1" s="379" t="s">
        <v>570</v>
      </c>
      <c r="E1" s="379"/>
      <c r="F1" s="379"/>
      <c r="G1" s="380"/>
      <c r="H1" s="380"/>
      <c r="I1" s="380"/>
    </row>
    <row r="2" spans="1:9" s="39" customFormat="1" ht="62.25" customHeight="1" x14ac:dyDescent="0.25">
      <c r="A2" s="49"/>
      <c r="B2" s="48"/>
      <c r="C2" s="50"/>
      <c r="D2" s="381" t="s">
        <v>973</v>
      </c>
      <c r="E2" s="382"/>
      <c r="F2" s="382"/>
      <c r="G2" s="213"/>
      <c r="H2" s="213"/>
      <c r="I2" s="213"/>
    </row>
    <row r="3" spans="1:9" s="39" customFormat="1" ht="57" customHeight="1" x14ac:dyDescent="0.25">
      <c r="A3" s="383" t="s">
        <v>580</v>
      </c>
      <c r="B3" s="384"/>
      <c r="C3" s="384"/>
      <c r="D3" s="385"/>
      <c r="E3" s="385"/>
      <c r="F3" s="385"/>
    </row>
    <row r="4" spans="1:9" x14ac:dyDescent="0.2">
      <c r="D4" s="55"/>
      <c r="E4" s="55"/>
      <c r="F4" s="55" t="s">
        <v>161</v>
      </c>
    </row>
    <row r="5" spans="1:9" s="34" customFormat="1" ht="12.75" customHeight="1" x14ac:dyDescent="0.2">
      <c r="A5" s="386" t="s">
        <v>220</v>
      </c>
      <c r="B5" s="389" t="s">
        <v>350</v>
      </c>
      <c r="C5" s="390"/>
      <c r="D5" s="393" t="s">
        <v>595</v>
      </c>
      <c r="E5" s="396" t="s">
        <v>250</v>
      </c>
      <c r="F5" s="393" t="s">
        <v>596</v>
      </c>
    </row>
    <row r="6" spans="1:9" s="34" customFormat="1" ht="12.75" customHeight="1" x14ac:dyDescent="0.2">
      <c r="A6" s="387"/>
      <c r="B6" s="391"/>
      <c r="C6" s="392"/>
      <c r="D6" s="394"/>
      <c r="E6" s="397"/>
      <c r="F6" s="394"/>
    </row>
    <row r="7" spans="1:9" s="34" customFormat="1" ht="25.5" x14ac:dyDescent="0.2">
      <c r="A7" s="388"/>
      <c r="B7" s="38" t="s">
        <v>158</v>
      </c>
      <c r="C7" s="38" t="s">
        <v>217</v>
      </c>
      <c r="D7" s="395"/>
      <c r="E7" s="398"/>
      <c r="F7" s="395"/>
    </row>
    <row r="8" spans="1:9" s="35" customFormat="1" ht="11.25" x14ac:dyDescent="0.25">
      <c r="A8" s="37">
        <v>1</v>
      </c>
      <c r="B8" s="37">
        <v>2</v>
      </c>
      <c r="C8" s="37">
        <v>3</v>
      </c>
      <c r="D8" s="36">
        <v>4</v>
      </c>
      <c r="E8" s="36">
        <v>5</v>
      </c>
      <c r="F8" s="36">
        <v>6</v>
      </c>
    </row>
    <row r="9" spans="1:9" ht="60" x14ac:dyDescent="0.2">
      <c r="A9" s="4" t="s">
        <v>261</v>
      </c>
      <c r="B9" s="3" t="s">
        <v>145</v>
      </c>
      <c r="C9" s="3"/>
      <c r="D9" s="239">
        <f>D10+D16</f>
        <v>14142.10866</v>
      </c>
      <c r="E9" s="239">
        <f t="shared" ref="E9:F9" si="0">E10+E16</f>
        <v>-811.15899999999999</v>
      </c>
      <c r="F9" s="239">
        <f t="shared" si="0"/>
        <v>13330.94966</v>
      </c>
    </row>
    <row r="10" spans="1:9" ht="24" x14ac:dyDescent="0.2">
      <c r="A10" s="4" t="s">
        <v>260</v>
      </c>
      <c r="B10" s="3" t="s">
        <v>262</v>
      </c>
      <c r="C10" s="3"/>
      <c r="D10" s="239">
        <f>D11+D13</f>
        <v>13869.36153</v>
      </c>
      <c r="E10" s="239">
        <f>E11+E13</f>
        <v>-811.15899999999999</v>
      </c>
      <c r="F10" s="239">
        <f>F11+F13</f>
        <v>13058.20253</v>
      </c>
    </row>
    <row r="11" spans="1:9" ht="24" x14ac:dyDescent="0.2">
      <c r="A11" s="4" t="s">
        <v>144</v>
      </c>
      <c r="B11" s="3" t="s">
        <v>143</v>
      </c>
      <c r="C11" s="3"/>
      <c r="D11" s="239">
        <f t="shared" ref="D11:F11" si="1">D12</f>
        <v>13169.37153</v>
      </c>
      <c r="E11" s="239">
        <f t="shared" si="1"/>
        <v>-811.15899999999999</v>
      </c>
      <c r="F11" s="239">
        <f t="shared" si="1"/>
        <v>12358.212530000001</v>
      </c>
    </row>
    <row r="12" spans="1:9" ht="48" x14ac:dyDescent="0.2">
      <c r="A12" s="4" t="s">
        <v>38</v>
      </c>
      <c r="B12" s="3" t="s">
        <v>143</v>
      </c>
      <c r="C12" s="3" t="s">
        <v>34</v>
      </c>
      <c r="D12" s="240">
        <v>13169.37153</v>
      </c>
      <c r="E12" s="239">
        <v>-811.15899999999999</v>
      </c>
      <c r="F12" s="240">
        <f>D12+E12</f>
        <v>12358.212530000001</v>
      </c>
    </row>
    <row r="13" spans="1:9" ht="24" x14ac:dyDescent="0.2">
      <c r="A13" s="4" t="s">
        <v>142</v>
      </c>
      <c r="B13" s="3" t="s">
        <v>141</v>
      </c>
      <c r="C13" s="3"/>
      <c r="D13" s="239">
        <f t="shared" ref="D13" si="2">D14+D15</f>
        <v>699.99</v>
      </c>
      <c r="E13" s="239">
        <f>E14+E15</f>
        <v>0</v>
      </c>
      <c r="F13" s="239">
        <f>F14+F15</f>
        <v>699.99</v>
      </c>
    </row>
    <row r="14" spans="1:9" ht="24" x14ac:dyDescent="0.2">
      <c r="A14" s="4" t="s">
        <v>47</v>
      </c>
      <c r="B14" s="3" t="s">
        <v>141</v>
      </c>
      <c r="C14" s="3" t="s">
        <v>51</v>
      </c>
      <c r="D14" s="240">
        <v>699.99</v>
      </c>
      <c r="E14" s="239"/>
      <c r="F14" s="240">
        <f>D14+E14</f>
        <v>699.99</v>
      </c>
    </row>
    <row r="15" spans="1:9" ht="24" x14ac:dyDescent="0.2">
      <c r="A15" s="4" t="s">
        <v>73</v>
      </c>
      <c r="B15" s="3" t="s">
        <v>141</v>
      </c>
      <c r="C15" s="3" t="s">
        <v>80</v>
      </c>
      <c r="D15" s="240"/>
      <c r="E15" s="239"/>
      <c r="F15" s="240">
        <f>D15+E15</f>
        <v>0</v>
      </c>
    </row>
    <row r="16" spans="1:9" x14ac:dyDescent="0.2">
      <c r="A16" s="4" t="s">
        <v>527</v>
      </c>
      <c r="B16" s="3" t="s">
        <v>539</v>
      </c>
      <c r="C16" s="3"/>
      <c r="D16" s="240">
        <f>D17</f>
        <v>272.74713000000003</v>
      </c>
      <c r="E16" s="240">
        <f t="shared" ref="E16:F16" si="3">E17</f>
        <v>0</v>
      </c>
      <c r="F16" s="240">
        <f t="shared" si="3"/>
        <v>272.74713000000003</v>
      </c>
    </row>
    <row r="17" spans="1:6" ht="48" x14ac:dyDescent="0.2">
      <c r="A17" s="4" t="s">
        <v>38</v>
      </c>
      <c r="B17" s="3" t="s">
        <v>539</v>
      </c>
      <c r="C17" s="3" t="s">
        <v>34</v>
      </c>
      <c r="D17" s="240">
        <v>272.74713000000003</v>
      </c>
      <c r="E17" s="239"/>
      <c r="F17" s="240">
        <f>D17+E17</f>
        <v>272.74713000000003</v>
      </c>
    </row>
    <row r="18" spans="1:6" ht="48" x14ac:dyDescent="0.2">
      <c r="A18" s="4" t="s">
        <v>268</v>
      </c>
      <c r="B18" s="3" t="s">
        <v>63</v>
      </c>
      <c r="C18" s="3"/>
      <c r="D18" s="241">
        <f t="shared" ref="D18" si="4">D19+D27</f>
        <v>12487.644209999999</v>
      </c>
      <c r="E18" s="241">
        <f>E19+E27</f>
        <v>0</v>
      </c>
      <c r="F18" s="241">
        <f>F19+F27</f>
        <v>12487.644209999999</v>
      </c>
    </row>
    <row r="19" spans="1:6" ht="24" x14ac:dyDescent="0.2">
      <c r="A19" s="4" t="s">
        <v>109</v>
      </c>
      <c r="B19" s="3" t="s">
        <v>282</v>
      </c>
      <c r="C19" s="3"/>
      <c r="D19" s="241">
        <f t="shared" ref="D19" si="5">D20+D23+D25</f>
        <v>1040.3</v>
      </c>
      <c r="E19" s="241">
        <f>E20+E23+E25</f>
        <v>0</v>
      </c>
      <c r="F19" s="241">
        <f>F20+F23+F25</f>
        <v>1040.3</v>
      </c>
    </row>
    <row r="20" spans="1:6" x14ac:dyDescent="0.2">
      <c r="A20" s="4" t="s">
        <v>283</v>
      </c>
      <c r="B20" s="3" t="s">
        <v>108</v>
      </c>
      <c r="C20" s="3"/>
      <c r="D20" s="241">
        <f t="shared" ref="D20" si="6">D21+D22</f>
        <v>490</v>
      </c>
      <c r="E20" s="241">
        <f>E21+E22</f>
        <v>0</v>
      </c>
      <c r="F20" s="241">
        <f>F21+F22</f>
        <v>490</v>
      </c>
    </row>
    <row r="21" spans="1:6" ht="24" x14ac:dyDescent="0.2">
      <c r="A21" s="4" t="s">
        <v>47</v>
      </c>
      <c r="B21" s="3" t="s">
        <v>108</v>
      </c>
      <c r="C21" s="3">
        <v>200</v>
      </c>
      <c r="D21" s="240">
        <v>290</v>
      </c>
      <c r="E21" s="241"/>
      <c r="F21" s="240">
        <f>D21+E21</f>
        <v>290</v>
      </c>
    </row>
    <row r="22" spans="1:6" ht="24" x14ac:dyDescent="0.2">
      <c r="A22" s="4" t="s">
        <v>73</v>
      </c>
      <c r="B22" s="3" t="s">
        <v>108</v>
      </c>
      <c r="C22" s="3" t="s">
        <v>80</v>
      </c>
      <c r="D22" s="240">
        <v>200</v>
      </c>
      <c r="E22" s="241"/>
      <c r="F22" s="240">
        <f>D22+E22</f>
        <v>200</v>
      </c>
    </row>
    <row r="23" spans="1:6" ht="72" x14ac:dyDescent="0.2">
      <c r="A23" s="4" t="s">
        <v>339</v>
      </c>
      <c r="B23" s="3" t="s">
        <v>107</v>
      </c>
      <c r="C23" s="3"/>
      <c r="D23" s="241">
        <f t="shared" ref="D23:F23" si="7">D24</f>
        <v>191.8</v>
      </c>
      <c r="E23" s="241">
        <f t="shared" si="7"/>
        <v>0</v>
      </c>
      <c r="F23" s="241">
        <f t="shared" si="7"/>
        <v>191.8</v>
      </c>
    </row>
    <row r="24" spans="1:6" ht="24" x14ac:dyDescent="0.2">
      <c r="A24" s="4" t="s">
        <v>47</v>
      </c>
      <c r="B24" s="3" t="s">
        <v>107</v>
      </c>
      <c r="C24" s="3" t="s">
        <v>51</v>
      </c>
      <c r="D24" s="240">
        <v>191.8</v>
      </c>
      <c r="E24" s="241"/>
      <c r="F24" s="240">
        <f>D24+E24</f>
        <v>191.8</v>
      </c>
    </row>
    <row r="25" spans="1:6" ht="36" x14ac:dyDescent="0.2">
      <c r="A25" s="4" t="s">
        <v>340</v>
      </c>
      <c r="B25" s="3" t="s">
        <v>106</v>
      </c>
      <c r="C25" s="3"/>
      <c r="D25" s="241">
        <f t="shared" ref="D25:F25" si="8">D26</f>
        <v>358.5</v>
      </c>
      <c r="E25" s="241">
        <f t="shared" si="8"/>
        <v>0</v>
      </c>
      <c r="F25" s="241">
        <f t="shared" si="8"/>
        <v>358.5</v>
      </c>
    </row>
    <row r="26" spans="1:6" ht="24" x14ac:dyDescent="0.2">
      <c r="A26" s="4" t="s">
        <v>47</v>
      </c>
      <c r="B26" s="3" t="s">
        <v>106</v>
      </c>
      <c r="C26" s="3" t="s">
        <v>51</v>
      </c>
      <c r="D26" s="240">
        <v>358.5</v>
      </c>
      <c r="E26" s="241"/>
      <c r="F26" s="240">
        <f>D26+E26</f>
        <v>358.5</v>
      </c>
    </row>
    <row r="27" spans="1:6" x14ac:dyDescent="0.2">
      <c r="A27" s="4" t="s">
        <v>87</v>
      </c>
      <c r="B27" s="3" t="s">
        <v>295</v>
      </c>
      <c r="C27" s="3"/>
      <c r="D27" s="241">
        <f>D28+D30</f>
        <v>11447.344209999999</v>
      </c>
      <c r="E27" s="241">
        <f t="shared" ref="E27:F27" si="9">E28+E30</f>
        <v>0</v>
      </c>
      <c r="F27" s="241">
        <f t="shared" si="9"/>
        <v>11447.344209999999</v>
      </c>
    </row>
    <row r="28" spans="1:6" ht="36" x14ac:dyDescent="0.2">
      <c r="A28" s="4" t="s">
        <v>401</v>
      </c>
      <c r="B28" s="3" t="s">
        <v>549</v>
      </c>
      <c r="C28" s="3"/>
      <c r="D28" s="242">
        <f t="shared" ref="D28:F28" si="10">D29</f>
        <v>7518.7965599999998</v>
      </c>
      <c r="E28" s="242">
        <f t="shared" si="10"/>
        <v>0</v>
      </c>
      <c r="F28" s="242">
        <f t="shared" si="10"/>
        <v>7518.7965599999998</v>
      </c>
    </row>
    <row r="29" spans="1:6" ht="24" x14ac:dyDescent="0.2">
      <c r="A29" s="4" t="s">
        <v>70</v>
      </c>
      <c r="B29" s="3" t="s">
        <v>549</v>
      </c>
      <c r="C29" s="3">
        <v>400</v>
      </c>
      <c r="D29" s="240">
        <v>7518.7965599999998</v>
      </c>
      <c r="E29" s="242"/>
      <c r="F29" s="240">
        <f>D29+E29</f>
        <v>7518.7965599999998</v>
      </c>
    </row>
    <row r="30" spans="1:6" s="29" customFormat="1" ht="60" x14ac:dyDescent="0.2">
      <c r="A30" s="4" t="s">
        <v>240</v>
      </c>
      <c r="B30" s="3" t="s">
        <v>542</v>
      </c>
      <c r="C30" s="3"/>
      <c r="D30" s="241">
        <f t="shared" ref="D30:F30" si="11">D31</f>
        <v>3928.54765</v>
      </c>
      <c r="E30" s="241">
        <f t="shared" si="11"/>
        <v>0</v>
      </c>
      <c r="F30" s="241">
        <f t="shared" si="11"/>
        <v>3928.54765</v>
      </c>
    </row>
    <row r="31" spans="1:6" s="29" customFormat="1" x14ac:dyDescent="0.2">
      <c r="A31" s="4" t="s">
        <v>45</v>
      </c>
      <c r="B31" s="3" t="s">
        <v>542</v>
      </c>
      <c r="C31" s="3" t="s">
        <v>43</v>
      </c>
      <c r="D31" s="240">
        <v>3928.54765</v>
      </c>
      <c r="E31" s="241"/>
      <c r="F31" s="240">
        <f>D31+E31</f>
        <v>3928.54765</v>
      </c>
    </row>
    <row r="32" spans="1:6" ht="48" x14ac:dyDescent="0.2">
      <c r="A32" s="4" t="s">
        <v>269</v>
      </c>
      <c r="B32" s="3" t="s">
        <v>31</v>
      </c>
      <c r="C32" s="3"/>
      <c r="D32" s="241">
        <f t="shared" ref="D32" si="12">D33+D36</f>
        <v>1356.106</v>
      </c>
      <c r="E32" s="241">
        <f>E33+E36</f>
        <v>0</v>
      </c>
      <c r="F32" s="241">
        <f>F33+F36</f>
        <v>1356.106</v>
      </c>
    </row>
    <row r="33" spans="1:6" ht="48" x14ac:dyDescent="0.2">
      <c r="A33" s="4" t="s">
        <v>270</v>
      </c>
      <c r="B33" s="3" t="s">
        <v>271</v>
      </c>
      <c r="C33" s="3"/>
      <c r="D33" s="241">
        <f t="shared" ref="D33:F34" si="13">D34</f>
        <v>55.7</v>
      </c>
      <c r="E33" s="241">
        <f t="shared" si="13"/>
        <v>0</v>
      </c>
      <c r="F33" s="241">
        <f t="shared" si="13"/>
        <v>55.7</v>
      </c>
    </row>
    <row r="34" spans="1:6" ht="24" x14ac:dyDescent="0.2">
      <c r="A34" s="4" t="s">
        <v>127</v>
      </c>
      <c r="B34" s="3" t="s">
        <v>126</v>
      </c>
      <c r="C34" s="3"/>
      <c r="D34" s="241">
        <f t="shared" si="13"/>
        <v>55.7</v>
      </c>
      <c r="E34" s="241">
        <f t="shared" si="13"/>
        <v>0</v>
      </c>
      <c r="F34" s="241">
        <f t="shared" si="13"/>
        <v>55.7</v>
      </c>
    </row>
    <row r="35" spans="1:6" ht="24" x14ac:dyDescent="0.2">
      <c r="A35" s="4" t="s">
        <v>47</v>
      </c>
      <c r="B35" s="3" t="s">
        <v>126</v>
      </c>
      <c r="C35" s="3">
        <v>200</v>
      </c>
      <c r="D35" s="240">
        <v>55.7</v>
      </c>
      <c r="E35" s="241"/>
      <c r="F35" s="240">
        <f>D35+E35</f>
        <v>55.7</v>
      </c>
    </row>
    <row r="36" spans="1:6" s="29" customFormat="1" ht="24" x14ac:dyDescent="0.2">
      <c r="A36" s="4" t="s">
        <v>30</v>
      </c>
      <c r="B36" s="3" t="s">
        <v>311</v>
      </c>
      <c r="C36" s="3"/>
      <c r="D36" s="241">
        <f t="shared" ref="D36:F37" si="14">D37</f>
        <v>1300.4059999999999</v>
      </c>
      <c r="E36" s="241">
        <f t="shared" si="14"/>
        <v>0</v>
      </c>
      <c r="F36" s="241">
        <f t="shared" si="14"/>
        <v>1300.4059999999999</v>
      </c>
    </row>
    <row r="37" spans="1:6" s="29" customFormat="1" ht="24" x14ac:dyDescent="0.2">
      <c r="A37" s="4" t="s">
        <v>312</v>
      </c>
      <c r="B37" s="3" t="s">
        <v>313</v>
      </c>
      <c r="C37" s="3"/>
      <c r="D37" s="241">
        <f t="shared" si="14"/>
        <v>1300.4059999999999</v>
      </c>
      <c r="E37" s="241">
        <f t="shared" si="14"/>
        <v>0</v>
      </c>
      <c r="F37" s="241">
        <f t="shared" si="14"/>
        <v>1300.4059999999999</v>
      </c>
    </row>
    <row r="38" spans="1:6" s="29" customFormat="1" ht="25.5" x14ac:dyDescent="0.2">
      <c r="A38" s="1" t="s">
        <v>29</v>
      </c>
      <c r="B38" s="3" t="s">
        <v>313</v>
      </c>
      <c r="C38" s="3" t="s">
        <v>26</v>
      </c>
      <c r="D38" s="240">
        <v>1300.4059999999999</v>
      </c>
      <c r="E38" s="241"/>
      <c r="F38" s="240">
        <f>D38+E38</f>
        <v>1300.4059999999999</v>
      </c>
    </row>
    <row r="39" spans="1:6" ht="36" x14ac:dyDescent="0.2">
      <c r="A39" s="4" t="s">
        <v>284</v>
      </c>
      <c r="B39" s="3" t="s">
        <v>103</v>
      </c>
      <c r="C39" s="3"/>
      <c r="D39" s="243">
        <f t="shared" ref="D39" si="15">D40+D43</f>
        <v>480</v>
      </c>
      <c r="E39" s="243">
        <f>E40+E43</f>
        <v>0</v>
      </c>
      <c r="F39" s="243">
        <f>F40+F43</f>
        <v>480</v>
      </c>
    </row>
    <row r="40" spans="1:6" ht="24" x14ac:dyDescent="0.2">
      <c r="A40" s="4" t="s">
        <v>212</v>
      </c>
      <c r="B40" s="3" t="s">
        <v>285</v>
      </c>
      <c r="C40" s="3"/>
      <c r="D40" s="243">
        <f t="shared" ref="D40:F41" si="16">D41</f>
        <v>430</v>
      </c>
      <c r="E40" s="243">
        <f t="shared" si="16"/>
        <v>0</v>
      </c>
      <c r="F40" s="243">
        <f t="shared" si="16"/>
        <v>430</v>
      </c>
    </row>
    <row r="41" spans="1:6" ht="36" x14ac:dyDescent="0.2">
      <c r="A41" s="4" t="s">
        <v>286</v>
      </c>
      <c r="B41" s="3" t="s">
        <v>102</v>
      </c>
      <c r="C41" s="3"/>
      <c r="D41" s="243">
        <f t="shared" si="16"/>
        <v>430</v>
      </c>
      <c r="E41" s="243">
        <f t="shared" si="16"/>
        <v>0</v>
      </c>
      <c r="F41" s="243">
        <f t="shared" si="16"/>
        <v>430</v>
      </c>
    </row>
    <row r="42" spans="1:6" ht="24" x14ac:dyDescent="0.2">
      <c r="A42" s="67" t="s">
        <v>73</v>
      </c>
      <c r="B42" s="3" t="s">
        <v>102</v>
      </c>
      <c r="C42" s="3" t="s">
        <v>80</v>
      </c>
      <c r="D42" s="240">
        <v>430</v>
      </c>
      <c r="E42" s="243"/>
      <c r="F42" s="240">
        <f>D42+E42</f>
        <v>430</v>
      </c>
    </row>
    <row r="43" spans="1:6" ht="36" x14ac:dyDescent="0.2">
      <c r="A43" s="4" t="s">
        <v>289</v>
      </c>
      <c r="B43" s="3" t="s">
        <v>287</v>
      </c>
      <c r="C43" s="3"/>
      <c r="D43" s="243">
        <f t="shared" ref="D43:F44" si="17">D44</f>
        <v>50</v>
      </c>
      <c r="E43" s="243">
        <f t="shared" si="17"/>
        <v>0</v>
      </c>
      <c r="F43" s="243">
        <f t="shared" si="17"/>
        <v>50</v>
      </c>
    </row>
    <row r="44" spans="1:6" ht="24" x14ac:dyDescent="0.2">
      <c r="A44" s="4" t="s">
        <v>290</v>
      </c>
      <c r="B44" s="3" t="s">
        <v>288</v>
      </c>
      <c r="C44" s="3"/>
      <c r="D44" s="243">
        <f t="shared" si="17"/>
        <v>50</v>
      </c>
      <c r="E44" s="243">
        <f t="shared" si="17"/>
        <v>0</v>
      </c>
      <c r="F44" s="243">
        <f t="shared" si="17"/>
        <v>50</v>
      </c>
    </row>
    <row r="45" spans="1:6" ht="24" x14ac:dyDescent="0.2">
      <c r="A45" s="4" t="s">
        <v>47</v>
      </c>
      <c r="B45" s="3" t="s">
        <v>288</v>
      </c>
      <c r="C45" s="3" t="s">
        <v>51</v>
      </c>
      <c r="D45" s="240">
        <v>50</v>
      </c>
      <c r="E45" s="243"/>
      <c r="F45" s="240">
        <f>D45+E45</f>
        <v>50</v>
      </c>
    </row>
    <row r="46" spans="1:6" s="29" customFormat="1" ht="72" x14ac:dyDescent="0.2">
      <c r="A46" s="7" t="s">
        <v>319</v>
      </c>
      <c r="B46" s="3" t="s">
        <v>609</v>
      </c>
      <c r="C46" s="3"/>
      <c r="D46" s="240">
        <f>D47+D50</f>
        <v>1628.0509999999999</v>
      </c>
      <c r="E46" s="240">
        <f t="shared" ref="E46:F46" si="18">E47+E50</f>
        <v>0</v>
      </c>
      <c r="F46" s="240">
        <f t="shared" si="18"/>
        <v>1628.0509999999999</v>
      </c>
    </row>
    <row r="47" spans="1:6" s="29" customFormat="1" ht="24" x14ac:dyDescent="0.2">
      <c r="A47" s="7" t="s">
        <v>320</v>
      </c>
      <c r="B47" s="3" t="s">
        <v>510</v>
      </c>
      <c r="C47" s="3"/>
      <c r="D47" s="240">
        <f t="shared" ref="D47:F48" si="19">D48</f>
        <v>1613.0591199999999</v>
      </c>
      <c r="E47" s="240">
        <f t="shared" si="19"/>
        <v>0</v>
      </c>
      <c r="F47" s="240">
        <f t="shared" si="19"/>
        <v>1613.0591199999999</v>
      </c>
    </row>
    <row r="48" spans="1:6" s="29" customFormat="1" ht="24" x14ac:dyDescent="0.2">
      <c r="A48" s="4" t="s">
        <v>74</v>
      </c>
      <c r="B48" s="3" t="s">
        <v>511</v>
      </c>
      <c r="C48" s="3"/>
      <c r="D48" s="242">
        <f t="shared" si="19"/>
        <v>1613.0591199999999</v>
      </c>
      <c r="E48" s="242">
        <f t="shared" si="19"/>
        <v>0</v>
      </c>
      <c r="F48" s="242">
        <f t="shared" si="19"/>
        <v>1613.0591199999999</v>
      </c>
    </row>
    <row r="49" spans="1:6" s="29" customFormat="1" ht="48" x14ac:dyDescent="0.2">
      <c r="A49" s="4" t="s">
        <v>38</v>
      </c>
      <c r="B49" s="3" t="s">
        <v>511</v>
      </c>
      <c r="C49" s="3" t="s">
        <v>34</v>
      </c>
      <c r="D49" s="240">
        <v>1613.0591199999999</v>
      </c>
      <c r="E49" s="242"/>
      <c r="F49" s="240">
        <f>D49+E49</f>
        <v>1613.0591199999999</v>
      </c>
    </row>
    <row r="50" spans="1:6" s="29" customFormat="1" x14ac:dyDescent="0.2">
      <c r="A50" s="4" t="s">
        <v>527</v>
      </c>
      <c r="B50" s="3" t="s">
        <v>608</v>
      </c>
      <c r="C50" s="3"/>
      <c r="D50" s="244">
        <f t="shared" ref="D50:F50" si="20">D51</f>
        <v>14.99188</v>
      </c>
      <c r="E50" s="244">
        <f t="shared" si="20"/>
        <v>0</v>
      </c>
      <c r="F50" s="244">
        <f t="shared" si="20"/>
        <v>14.99188</v>
      </c>
    </row>
    <row r="51" spans="1:6" s="29" customFormat="1" ht="48" x14ac:dyDescent="0.2">
      <c r="A51" s="4" t="s">
        <v>38</v>
      </c>
      <c r="B51" s="3" t="s">
        <v>608</v>
      </c>
      <c r="C51" s="3" t="s">
        <v>34</v>
      </c>
      <c r="D51" s="240">
        <v>14.99188</v>
      </c>
      <c r="E51" s="244"/>
      <c r="F51" s="240">
        <f>D51+E51</f>
        <v>14.99188</v>
      </c>
    </row>
    <row r="52" spans="1:6" s="29" customFormat="1" ht="36" x14ac:dyDescent="0.2">
      <c r="A52" s="4" t="s">
        <v>610</v>
      </c>
      <c r="B52" s="3" t="s">
        <v>611</v>
      </c>
      <c r="C52" s="3"/>
      <c r="D52" s="240">
        <f>D53+D59</f>
        <v>6898.3645900000001</v>
      </c>
      <c r="E52" s="240">
        <f>E53+E59</f>
        <v>0</v>
      </c>
      <c r="F52" s="240">
        <f t="shared" ref="F52:F60" si="21">D52+E52</f>
        <v>6898.3645900000001</v>
      </c>
    </row>
    <row r="53" spans="1:6" s="29" customFormat="1" ht="24" x14ac:dyDescent="0.2">
      <c r="A53" s="4" t="s">
        <v>613</v>
      </c>
      <c r="B53" s="3" t="s">
        <v>614</v>
      </c>
      <c r="C53" s="3"/>
      <c r="D53" s="240">
        <f>D54+D56</f>
        <v>6456.1570400000001</v>
      </c>
      <c r="E53" s="240">
        <f>E54+E56</f>
        <v>0</v>
      </c>
      <c r="F53" s="240">
        <f t="shared" si="21"/>
        <v>6456.1570400000001</v>
      </c>
    </row>
    <row r="54" spans="1:6" s="29" customFormat="1" x14ac:dyDescent="0.2">
      <c r="A54" s="4" t="s">
        <v>617</v>
      </c>
      <c r="B54" s="3" t="s">
        <v>612</v>
      </c>
      <c r="C54" s="3"/>
      <c r="D54" s="240">
        <f>D55</f>
        <v>4820.79054</v>
      </c>
      <c r="E54" s="240">
        <f>E55</f>
        <v>0</v>
      </c>
      <c r="F54" s="240">
        <f t="shared" si="21"/>
        <v>4820.79054</v>
      </c>
    </row>
    <row r="55" spans="1:6" s="29" customFormat="1" ht="48" x14ac:dyDescent="0.2">
      <c r="A55" s="4" t="s">
        <v>38</v>
      </c>
      <c r="B55" s="3" t="s">
        <v>612</v>
      </c>
      <c r="C55" s="3" t="s">
        <v>34</v>
      </c>
      <c r="D55" s="240">
        <v>4820.79054</v>
      </c>
      <c r="E55" s="240"/>
      <c r="F55" s="240">
        <f t="shared" si="21"/>
        <v>4820.79054</v>
      </c>
    </row>
    <row r="56" spans="1:6" s="29" customFormat="1" x14ac:dyDescent="0.2">
      <c r="A56" s="7" t="s">
        <v>615</v>
      </c>
      <c r="B56" s="3" t="s">
        <v>616</v>
      </c>
      <c r="C56" s="3"/>
      <c r="D56" s="240">
        <f>D57+D58</f>
        <v>1635.3665000000001</v>
      </c>
      <c r="E56" s="240">
        <f>E57+E58</f>
        <v>0</v>
      </c>
      <c r="F56" s="240">
        <f t="shared" si="21"/>
        <v>1635.3665000000001</v>
      </c>
    </row>
    <row r="57" spans="1:6" s="29" customFormat="1" ht="24" x14ac:dyDescent="0.2">
      <c r="A57" s="4" t="s">
        <v>47</v>
      </c>
      <c r="B57" s="3" t="s">
        <v>616</v>
      </c>
      <c r="C57" s="3" t="s">
        <v>51</v>
      </c>
      <c r="D57" s="240">
        <v>1585.6265000000001</v>
      </c>
      <c r="E57" s="240"/>
      <c r="F57" s="240">
        <f t="shared" si="21"/>
        <v>1585.6265000000001</v>
      </c>
    </row>
    <row r="58" spans="1:6" s="29" customFormat="1" ht="24" x14ac:dyDescent="0.2">
      <c r="A58" s="7" t="s">
        <v>73</v>
      </c>
      <c r="B58" s="3" t="s">
        <v>616</v>
      </c>
      <c r="C58" s="3" t="s">
        <v>80</v>
      </c>
      <c r="D58" s="240">
        <v>49.74</v>
      </c>
      <c r="E58" s="240"/>
      <c r="F58" s="240">
        <f t="shared" si="21"/>
        <v>49.74</v>
      </c>
    </row>
    <row r="59" spans="1:6" s="29" customFormat="1" x14ac:dyDescent="0.2">
      <c r="A59" s="7" t="s">
        <v>527</v>
      </c>
      <c r="B59" s="3" t="s">
        <v>618</v>
      </c>
      <c r="C59" s="3"/>
      <c r="D59" s="240">
        <f>D60</f>
        <v>442.20755000000003</v>
      </c>
      <c r="E59" s="240">
        <f>E60</f>
        <v>0</v>
      </c>
      <c r="F59" s="240">
        <f t="shared" si="21"/>
        <v>442.20755000000003</v>
      </c>
    </row>
    <row r="60" spans="1:6" s="29" customFormat="1" ht="48" x14ac:dyDescent="0.2">
      <c r="A60" s="4" t="s">
        <v>38</v>
      </c>
      <c r="B60" s="3" t="s">
        <v>618</v>
      </c>
      <c r="C60" s="3" t="s">
        <v>34</v>
      </c>
      <c r="D60" s="240">
        <v>442.20755000000003</v>
      </c>
      <c r="E60" s="240"/>
      <c r="F60" s="240">
        <f t="shared" si="21"/>
        <v>442.20755000000003</v>
      </c>
    </row>
    <row r="61" spans="1:6" s="29" customFormat="1" ht="36" x14ac:dyDescent="0.2">
      <c r="A61" s="4" t="s">
        <v>375</v>
      </c>
      <c r="B61" s="3" t="s">
        <v>41</v>
      </c>
      <c r="C61" s="3"/>
      <c r="D61" s="242">
        <f>D62+D77+D81+D84+D93</f>
        <v>46259.381049999996</v>
      </c>
      <c r="E61" s="242">
        <f>E62+E77+E81+E84+E93</f>
        <v>-255.26249000000001</v>
      </c>
      <c r="F61" s="242">
        <f>F62+F77+F81+F84+F93</f>
        <v>46004.118560000003</v>
      </c>
    </row>
    <row r="62" spans="1:6" s="193" customFormat="1" ht="24" x14ac:dyDescent="0.2">
      <c r="A62" s="4" t="s">
        <v>40</v>
      </c>
      <c r="B62" s="3" t="s">
        <v>308</v>
      </c>
      <c r="C62" s="3"/>
      <c r="D62" s="242">
        <f>D63+D67+D65+D69+D71+D75</f>
        <v>25710.744719999999</v>
      </c>
      <c r="E62" s="242">
        <f t="shared" ref="E62:F62" si="22">E63+E67+E65+E69+E71+E75</f>
        <v>-50.796350000000004</v>
      </c>
      <c r="F62" s="242">
        <f t="shared" si="22"/>
        <v>25659.948369999998</v>
      </c>
    </row>
    <row r="63" spans="1:6" s="193" customFormat="1" ht="24" x14ac:dyDescent="0.2">
      <c r="A63" s="4" t="s">
        <v>315</v>
      </c>
      <c r="B63" s="3" t="s">
        <v>39</v>
      </c>
      <c r="C63" s="3"/>
      <c r="D63" s="242">
        <f>D64</f>
        <v>20998.159459999999</v>
      </c>
      <c r="E63" s="242">
        <f>E64</f>
        <v>1.03559</v>
      </c>
      <c r="F63" s="242">
        <f>F64</f>
        <v>20999.195049999998</v>
      </c>
    </row>
    <row r="64" spans="1:6" s="193" customFormat="1" ht="24" x14ac:dyDescent="0.2">
      <c r="A64" s="4" t="s">
        <v>29</v>
      </c>
      <c r="B64" s="3" t="s">
        <v>39</v>
      </c>
      <c r="C64" s="3" t="s">
        <v>26</v>
      </c>
      <c r="D64" s="240">
        <v>20998.159459999999</v>
      </c>
      <c r="E64" s="242">
        <v>1.03559</v>
      </c>
      <c r="F64" s="240">
        <f>D64+E64</f>
        <v>20999.195049999998</v>
      </c>
    </row>
    <row r="65" spans="1:6" s="193" customFormat="1" x14ac:dyDescent="0.2">
      <c r="A65" s="4" t="s">
        <v>527</v>
      </c>
      <c r="B65" s="3" t="s">
        <v>526</v>
      </c>
      <c r="C65" s="3"/>
      <c r="D65" s="240">
        <f>D66</f>
        <v>676.77</v>
      </c>
      <c r="E65" s="240">
        <f t="shared" ref="E65:F65" si="23">E66</f>
        <v>0</v>
      </c>
      <c r="F65" s="240">
        <f t="shared" si="23"/>
        <v>676.77</v>
      </c>
    </row>
    <row r="66" spans="1:6" s="193" customFormat="1" ht="24" x14ac:dyDescent="0.2">
      <c r="A66" s="4" t="s">
        <v>29</v>
      </c>
      <c r="B66" s="3" t="s">
        <v>526</v>
      </c>
      <c r="C66" s="3" t="s">
        <v>26</v>
      </c>
      <c r="D66" s="240">
        <v>676.77</v>
      </c>
      <c r="E66" s="242"/>
      <c r="F66" s="240">
        <f t="shared" ref="F66" si="24">D66+E66</f>
        <v>676.77</v>
      </c>
    </row>
    <row r="67" spans="1:6" s="193" customFormat="1" ht="36" x14ac:dyDescent="0.2">
      <c r="A67" s="4" t="s">
        <v>528</v>
      </c>
      <c r="B67" s="3" t="s">
        <v>529</v>
      </c>
      <c r="C67" s="3"/>
      <c r="D67" s="240">
        <f>D68</f>
        <v>1742.75422</v>
      </c>
      <c r="E67" s="240">
        <f t="shared" ref="E67:F67" si="25">E68</f>
        <v>-28.91846</v>
      </c>
      <c r="F67" s="240">
        <f t="shared" si="25"/>
        <v>1713.8357599999999</v>
      </c>
    </row>
    <row r="68" spans="1:6" s="193" customFormat="1" ht="24" x14ac:dyDescent="0.2">
      <c r="A68" s="4" t="s">
        <v>29</v>
      </c>
      <c r="B68" s="3" t="s">
        <v>529</v>
      </c>
      <c r="C68" s="3" t="s">
        <v>26</v>
      </c>
      <c r="D68" s="240">
        <v>1742.75422</v>
      </c>
      <c r="E68" s="242">
        <v>-28.91846</v>
      </c>
      <c r="F68" s="240">
        <f t="shared" ref="F68" si="26">D68+E68</f>
        <v>1713.8357599999999</v>
      </c>
    </row>
    <row r="69" spans="1:6" s="193" customFormat="1" ht="24" x14ac:dyDescent="0.2">
      <c r="A69" s="4" t="s">
        <v>531</v>
      </c>
      <c r="B69" s="3" t="s">
        <v>532</v>
      </c>
      <c r="C69" s="3"/>
      <c r="D69" s="240">
        <f>D70</f>
        <v>2293.06104</v>
      </c>
      <c r="E69" s="240">
        <f t="shared" ref="E69:F69" si="27">E70</f>
        <v>-22.91348</v>
      </c>
      <c r="F69" s="240">
        <f t="shared" si="27"/>
        <v>2270.1475599999999</v>
      </c>
    </row>
    <row r="70" spans="1:6" s="193" customFormat="1" ht="24" x14ac:dyDescent="0.2">
      <c r="A70" s="4" t="s">
        <v>29</v>
      </c>
      <c r="B70" s="3" t="s">
        <v>532</v>
      </c>
      <c r="C70" s="3" t="s">
        <v>26</v>
      </c>
      <c r="D70" s="240">
        <v>2293.06104</v>
      </c>
      <c r="E70" s="242">
        <v>-22.91348</v>
      </c>
      <c r="F70" s="240">
        <f t="shared" ref="F70" si="28">D70+E70</f>
        <v>2270.1475599999999</v>
      </c>
    </row>
    <row r="71" spans="1:6" s="193" customFormat="1" ht="36" x14ac:dyDescent="0.2">
      <c r="A71" s="7" t="s">
        <v>321</v>
      </c>
      <c r="B71" s="3" t="s">
        <v>35</v>
      </c>
      <c r="C71" s="3"/>
      <c r="D71" s="245">
        <f>D72+D73+D74</f>
        <v>0</v>
      </c>
      <c r="E71" s="245">
        <f>E72+E73+E74</f>
        <v>0</v>
      </c>
      <c r="F71" s="245">
        <f>F72+F73+F74</f>
        <v>0</v>
      </c>
    </row>
    <row r="72" spans="1:6" s="193" customFormat="1" ht="48" x14ac:dyDescent="0.2">
      <c r="A72" s="4" t="s">
        <v>38</v>
      </c>
      <c r="B72" s="3" t="s">
        <v>35</v>
      </c>
      <c r="C72" s="3" t="s">
        <v>34</v>
      </c>
      <c r="D72" s="240"/>
      <c r="E72" s="245"/>
      <c r="F72" s="240">
        <f>D72+E72</f>
        <v>0</v>
      </c>
    </row>
    <row r="73" spans="1:6" s="193" customFormat="1" ht="24" x14ac:dyDescent="0.2">
      <c r="A73" s="4" t="s">
        <v>47</v>
      </c>
      <c r="B73" s="3" t="s">
        <v>35</v>
      </c>
      <c r="C73" s="3" t="s">
        <v>51</v>
      </c>
      <c r="D73" s="240"/>
      <c r="E73" s="245"/>
      <c r="F73" s="240">
        <f>D73+E73</f>
        <v>0</v>
      </c>
    </row>
    <row r="74" spans="1:6" s="193" customFormat="1" ht="24" x14ac:dyDescent="0.2">
      <c r="A74" s="7" t="s">
        <v>73</v>
      </c>
      <c r="B74" s="3" t="s">
        <v>35</v>
      </c>
      <c r="C74" s="3">
        <v>800</v>
      </c>
      <c r="D74" s="240"/>
      <c r="E74" s="245"/>
      <c r="F74" s="240">
        <f>D74+E74</f>
        <v>0</v>
      </c>
    </row>
    <row r="75" spans="1:6" s="193" customFormat="1" x14ac:dyDescent="0.2">
      <c r="A75" s="4" t="s">
        <v>527</v>
      </c>
      <c r="B75" s="3" t="s">
        <v>526</v>
      </c>
      <c r="C75" s="3"/>
      <c r="D75" s="244">
        <f t="shared" ref="D75:F75" si="29">D76</f>
        <v>0</v>
      </c>
      <c r="E75" s="244">
        <f t="shared" si="29"/>
        <v>0</v>
      </c>
      <c r="F75" s="244">
        <f t="shared" si="29"/>
        <v>0</v>
      </c>
    </row>
    <row r="76" spans="1:6" s="193" customFormat="1" ht="48" x14ac:dyDescent="0.2">
      <c r="A76" s="4" t="s">
        <v>38</v>
      </c>
      <c r="B76" s="3" t="s">
        <v>526</v>
      </c>
      <c r="C76" s="3" t="s">
        <v>34</v>
      </c>
      <c r="D76" s="240"/>
      <c r="E76" s="244"/>
      <c r="F76" s="240">
        <f>D76+E76</f>
        <v>0</v>
      </c>
    </row>
    <row r="77" spans="1:6" s="193" customFormat="1" ht="36" x14ac:dyDescent="0.2">
      <c r="A77" s="4" t="s">
        <v>328</v>
      </c>
      <c r="B77" s="3" t="s">
        <v>272</v>
      </c>
      <c r="C77" s="3"/>
      <c r="D77" s="241">
        <f t="shared" ref="D77:F77" si="30">D78</f>
        <v>769.50000000000011</v>
      </c>
      <c r="E77" s="241">
        <f t="shared" si="30"/>
        <v>0</v>
      </c>
      <c r="F77" s="241">
        <f t="shared" si="30"/>
        <v>769.50000000000011</v>
      </c>
    </row>
    <row r="78" spans="1:6" s="193" customFormat="1" ht="60" x14ac:dyDescent="0.2">
      <c r="A78" s="4" t="s">
        <v>376</v>
      </c>
      <c r="B78" s="3" t="s">
        <v>125</v>
      </c>
      <c r="C78" s="3"/>
      <c r="D78" s="241">
        <f t="shared" ref="D78:F78" si="31">D79+D80</f>
        <v>769.50000000000011</v>
      </c>
      <c r="E78" s="241">
        <f t="shared" si="31"/>
        <v>0</v>
      </c>
      <c r="F78" s="241">
        <f t="shared" si="31"/>
        <v>769.50000000000011</v>
      </c>
    </row>
    <row r="79" spans="1:6" s="193" customFormat="1" ht="48" x14ac:dyDescent="0.2">
      <c r="A79" s="4" t="s">
        <v>38</v>
      </c>
      <c r="B79" s="3" t="s">
        <v>125</v>
      </c>
      <c r="C79" s="3" t="s">
        <v>34</v>
      </c>
      <c r="D79" s="240">
        <f>423.23502+4.848+127.81698</f>
        <v>555.90000000000009</v>
      </c>
      <c r="E79" s="241"/>
      <c r="F79" s="240">
        <f>D79+E79</f>
        <v>555.90000000000009</v>
      </c>
    </row>
    <row r="80" spans="1:6" s="193" customFormat="1" ht="24" x14ac:dyDescent="0.2">
      <c r="A80" s="4" t="s">
        <v>47</v>
      </c>
      <c r="B80" s="3" t="s">
        <v>125</v>
      </c>
      <c r="C80" s="3" t="s">
        <v>51</v>
      </c>
      <c r="D80" s="240">
        <v>213.6</v>
      </c>
      <c r="E80" s="241"/>
      <c r="F80" s="240">
        <f>D80+E80</f>
        <v>213.6</v>
      </c>
    </row>
    <row r="81" spans="1:6" s="193" customFormat="1" ht="24" x14ac:dyDescent="0.2">
      <c r="A81" s="4" t="s">
        <v>460</v>
      </c>
      <c r="B81" s="3" t="s">
        <v>461</v>
      </c>
      <c r="C81" s="3"/>
      <c r="D81" s="242">
        <f t="shared" ref="D81:F82" si="32">D82</f>
        <v>0</v>
      </c>
      <c r="E81" s="242">
        <f t="shared" si="32"/>
        <v>0</v>
      </c>
      <c r="F81" s="242">
        <f t="shared" si="32"/>
        <v>0</v>
      </c>
    </row>
    <row r="82" spans="1:6" s="193" customFormat="1" ht="36" x14ac:dyDescent="0.2">
      <c r="A82" s="4" t="s">
        <v>545</v>
      </c>
      <c r="B82" s="3" t="s">
        <v>546</v>
      </c>
      <c r="C82" s="3"/>
      <c r="D82" s="242">
        <f>D83</f>
        <v>0</v>
      </c>
      <c r="E82" s="242">
        <f t="shared" si="32"/>
        <v>0</v>
      </c>
      <c r="F82" s="242">
        <f t="shared" si="32"/>
        <v>0</v>
      </c>
    </row>
    <row r="83" spans="1:6" s="193" customFormat="1" ht="24" x14ac:dyDescent="0.2">
      <c r="A83" s="4" t="s">
        <v>47</v>
      </c>
      <c r="B83" s="3" t="s">
        <v>546</v>
      </c>
      <c r="C83" s="3" t="s">
        <v>51</v>
      </c>
      <c r="D83" s="240"/>
      <c r="E83" s="242"/>
      <c r="F83" s="240">
        <f>D83+E83</f>
        <v>0</v>
      </c>
    </row>
    <row r="84" spans="1:6" s="193" customFormat="1" ht="24" x14ac:dyDescent="0.2">
      <c r="A84" s="4" t="s">
        <v>239</v>
      </c>
      <c r="B84" s="3" t="s">
        <v>316</v>
      </c>
      <c r="C84" s="3"/>
      <c r="D84" s="242">
        <f>D85+D87+D89+D91</f>
        <v>12503.671259999999</v>
      </c>
      <c r="E84" s="242">
        <f t="shared" ref="E84:F84" si="33">E85+E87+E89+E91</f>
        <v>0</v>
      </c>
      <c r="F84" s="242">
        <f t="shared" si="33"/>
        <v>12503.671259999999</v>
      </c>
    </row>
    <row r="85" spans="1:6" s="193" customFormat="1" ht="24" x14ac:dyDescent="0.2">
      <c r="A85" s="4" t="s">
        <v>318</v>
      </c>
      <c r="B85" s="3" t="s">
        <v>317</v>
      </c>
      <c r="C85" s="3"/>
      <c r="D85" s="242">
        <f>D86</f>
        <v>12392.769</v>
      </c>
      <c r="E85" s="242">
        <f t="shared" ref="E85:F85" si="34">E86</f>
        <v>0</v>
      </c>
      <c r="F85" s="242">
        <f t="shared" si="34"/>
        <v>12392.769</v>
      </c>
    </row>
    <row r="86" spans="1:6" s="193" customFormat="1" ht="24" x14ac:dyDescent="0.2">
      <c r="A86" s="4" t="s">
        <v>29</v>
      </c>
      <c r="B86" s="3" t="s">
        <v>317</v>
      </c>
      <c r="C86" s="3" t="s">
        <v>26</v>
      </c>
      <c r="D86" s="240">
        <v>12392.769</v>
      </c>
      <c r="E86" s="242"/>
      <c r="F86" s="240">
        <f>D86+E86</f>
        <v>12392.769</v>
      </c>
    </row>
    <row r="87" spans="1:6" s="193" customFormat="1" x14ac:dyDescent="0.2">
      <c r="A87" s="7" t="s">
        <v>530</v>
      </c>
      <c r="B87" s="3" t="s">
        <v>581</v>
      </c>
      <c r="C87" s="3"/>
      <c r="D87" s="240">
        <f>D88</f>
        <v>0</v>
      </c>
      <c r="E87" s="240">
        <f t="shared" ref="E87:F87" si="35">E88</f>
        <v>0</v>
      </c>
      <c r="F87" s="240">
        <f t="shared" si="35"/>
        <v>0</v>
      </c>
    </row>
    <row r="88" spans="1:6" s="193" customFormat="1" ht="24" x14ac:dyDescent="0.2">
      <c r="A88" s="7" t="s">
        <v>29</v>
      </c>
      <c r="B88" s="3" t="s">
        <v>581</v>
      </c>
      <c r="C88" s="3" t="s">
        <v>26</v>
      </c>
      <c r="D88" s="240"/>
      <c r="E88" s="242"/>
      <c r="F88" s="240">
        <f t="shared" ref="F88" si="36">D88+E88</f>
        <v>0</v>
      </c>
    </row>
    <row r="89" spans="1:6" s="193" customFormat="1" x14ac:dyDescent="0.2">
      <c r="A89" s="7" t="s">
        <v>628</v>
      </c>
      <c r="B89" s="3" t="s">
        <v>604</v>
      </c>
      <c r="C89" s="3"/>
      <c r="D89" s="240">
        <f>D90</f>
        <v>6.9710000000000001</v>
      </c>
      <c r="E89" s="240">
        <f t="shared" ref="E89:F91" si="37">E90</f>
        <v>0</v>
      </c>
      <c r="F89" s="240">
        <f t="shared" si="37"/>
        <v>6.9710000000000001</v>
      </c>
    </row>
    <row r="90" spans="1:6" s="193" customFormat="1" ht="24" x14ac:dyDescent="0.2">
      <c r="A90" s="7" t="s">
        <v>29</v>
      </c>
      <c r="B90" s="3" t="s">
        <v>604</v>
      </c>
      <c r="C90" s="3" t="s">
        <v>26</v>
      </c>
      <c r="D90" s="240">
        <v>6.9710000000000001</v>
      </c>
      <c r="E90" s="242"/>
      <c r="F90" s="240">
        <f t="shared" ref="F90" si="38">D90+E90</f>
        <v>6.9710000000000001</v>
      </c>
    </row>
    <row r="91" spans="1:6" s="193" customFormat="1" ht="24" x14ac:dyDescent="0.2">
      <c r="A91" s="7" t="s">
        <v>629</v>
      </c>
      <c r="B91" s="3" t="s">
        <v>605</v>
      </c>
      <c r="C91" s="3"/>
      <c r="D91" s="240">
        <f>D92</f>
        <v>103.93125999999999</v>
      </c>
      <c r="E91" s="240">
        <f t="shared" si="37"/>
        <v>0</v>
      </c>
      <c r="F91" s="240">
        <f t="shared" si="37"/>
        <v>103.93125999999999</v>
      </c>
    </row>
    <row r="92" spans="1:6" s="193" customFormat="1" ht="24" x14ac:dyDescent="0.2">
      <c r="A92" s="7" t="s">
        <v>29</v>
      </c>
      <c r="B92" s="3" t="s">
        <v>605</v>
      </c>
      <c r="C92" s="3" t="s">
        <v>26</v>
      </c>
      <c r="D92" s="240">
        <v>103.93125999999999</v>
      </c>
      <c r="E92" s="242"/>
      <c r="F92" s="240">
        <f t="shared" ref="F92" si="39">D92+E92</f>
        <v>103.93125999999999</v>
      </c>
    </row>
    <row r="93" spans="1:6" s="193" customFormat="1" ht="24" x14ac:dyDescent="0.2">
      <c r="A93" s="4" t="s">
        <v>626</v>
      </c>
      <c r="B93" s="3" t="s">
        <v>627</v>
      </c>
      <c r="C93" s="3"/>
      <c r="D93" s="240">
        <f>D94+D96</f>
        <v>7275.4650700000002</v>
      </c>
      <c r="E93" s="240">
        <f t="shared" ref="E93:F93" si="40">E94+E96</f>
        <v>-204.46614</v>
      </c>
      <c r="F93" s="240">
        <f t="shared" si="40"/>
        <v>7070.9989299999997</v>
      </c>
    </row>
    <row r="94" spans="1:6" s="193" customFormat="1" ht="36" x14ac:dyDescent="0.2">
      <c r="A94" s="4" t="s">
        <v>545</v>
      </c>
      <c r="B94" s="3" t="s">
        <v>621</v>
      </c>
      <c r="C94" s="3"/>
      <c r="D94" s="242">
        <f>D95</f>
        <v>7070.9989299999997</v>
      </c>
      <c r="E94" s="242">
        <f t="shared" ref="E94:F94" si="41">E95</f>
        <v>0</v>
      </c>
      <c r="F94" s="242">
        <f t="shared" si="41"/>
        <v>7070.9989299999997</v>
      </c>
    </row>
    <row r="95" spans="1:6" s="193" customFormat="1" ht="24" x14ac:dyDescent="0.2">
      <c r="A95" s="4" t="s">
        <v>47</v>
      </c>
      <c r="B95" s="3" t="s">
        <v>621</v>
      </c>
      <c r="C95" s="3" t="s">
        <v>51</v>
      </c>
      <c r="D95" s="240">
        <v>7070.9989299999997</v>
      </c>
      <c r="E95" s="242"/>
      <c r="F95" s="240">
        <f>D95+E95</f>
        <v>7070.9989299999997</v>
      </c>
    </row>
    <row r="96" spans="1:6" s="193" customFormat="1" x14ac:dyDescent="0.2">
      <c r="A96" s="4" t="s">
        <v>607</v>
      </c>
      <c r="B96" s="3" t="s">
        <v>606</v>
      </c>
      <c r="C96" s="3"/>
      <c r="D96" s="240">
        <f>D97</f>
        <v>204.46614</v>
      </c>
      <c r="E96" s="240">
        <f t="shared" ref="E96:F96" si="42">E97</f>
        <v>-204.46614</v>
      </c>
      <c r="F96" s="240">
        <f t="shared" si="42"/>
        <v>0</v>
      </c>
    </row>
    <row r="97" spans="1:6" s="193" customFormat="1" ht="24" x14ac:dyDescent="0.2">
      <c r="A97" s="4" t="s">
        <v>29</v>
      </c>
      <c r="B97" s="3" t="s">
        <v>606</v>
      </c>
      <c r="C97" s="3" t="s">
        <v>26</v>
      </c>
      <c r="D97" s="240">
        <v>204.46614</v>
      </c>
      <c r="E97" s="242">
        <v>-204.46614</v>
      </c>
      <c r="F97" s="240">
        <f t="shared" ref="F97" si="43">D97+E97</f>
        <v>0</v>
      </c>
    </row>
    <row r="98" spans="1:6" ht="38.25" x14ac:dyDescent="0.2">
      <c r="A98" s="8" t="s">
        <v>263</v>
      </c>
      <c r="B98" s="3" t="s">
        <v>57</v>
      </c>
      <c r="C98" s="3"/>
      <c r="D98" s="246">
        <f t="shared" ref="D98:F98" si="44">D99+D108</f>
        <v>1338.53</v>
      </c>
      <c r="E98" s="246">
        <f t="shared" si="44"/>
        <v>0</v>
      </c>
      <c r="F98" s="246">
        <f t="shared" si="44"/>
        <v>1338.53</v>
      </c>
    </row>
    <row r="99" spans="1:6" s="29" customFormat="1" ht="24" x14ac:dyDescent="0.2">
      <c r="A99" s="4" t="s">
        <v>55</v>
      </c>
      <c r="B99" s="3" t="s">
        <v>264</v>
      </c>
      <c r="C99" s="3"/>
      <c r="D99" s="240">
        <f>D100+D102+D104+D106</f>
        <v>394.3</v>
      </c>
      <c r="E99" s="240">
        <f t="shared" ref="E99:F99" si="45">E100+E102+E104+E106</f>
        <v>0</v>
      </c>
      <c r="F99" s="240">
        <f t="shared" si="45"/>
        <v>394.3</v>
      </c>
    </row>
    <row r="100" spans="1:6" s="29" customFormat="1" ht="24" x14ac:dyDescent="0.2">
      <c r="A100" s="4" t="s">
        <v>322</v>
      </c>
      <c r="B100" s="3" t="s">
        <v>52</v>
      </c>
      <c r="C100" s="3"/>
      <c r="D100" s="240">
        <f t="shared" ref="D100:F100" si="46">D101</f>
        <v>119.8</v>
      </c>
      <c r="E100" s="240">
        <f t="shared" si="46"/>
        <v>0</v>
      </c>
      <c r="F100" s="240">
        <f t="shared" si="46"/>
        <v>119.8</v>
      </c>
    </row>
    <row r="101" spans="1:6" s="29" customFormat="1" ht="24" x14ac:dyDescent="0.2">
      <c r="A101" s="4" t="s">
        <v>47</v>
      </c>
      <c r="B101" s="3" t="s">
        <v>52</v>
      </c>
      <c r="C101" s="3" t="s">
        <v>51</v>
      </c>
      <c r="D101" s="240">
        <v>119.8</v>
      </c>
      <c r="E101" s="240"/>
      <c r="F101" s="240">
        <f>D101+E101</f>
        <v>119.8</v>
      </c>
    </row>
    <row r="102" spans="1:6" ht="38.25" x14ac:dyDescent="0.2">
      <c r="A102" s="8" t="s">
        <v>336</v>
      </c>
      <c r="B102" s="3" t="s">
        <v>56</v>
      </c>
      <c r="C102" s="3"/>
      <c r="D102" s="246">
        <f t="shared" ref="D102:F102" si="47">D103</f>
        <v>72</v>
      </c>
      <c r="E102" s="246">
        <f t="shared" si="47"/>
        <v>0</v>
      </c>
      <c r="F102" s="246">
        <f t="shared" si="47"/>
        <v>72</v>
      </c>
    </row>
    <row r="103" spans="1:6" ht="48" x14ac:dyDescent="0.2">
      <c r="A103" s="4" t="s">
        <v>38</v>
      </c>
      <c r="B103" s="3" t="s">
        <v>56</v>
      </c>
      <c r="C103" s="3" t="s">
        <v>34</v>
      </c>
      <c r="D103" s="240">
        <f>55.29954+16.70046</f>
        <v>72</v>
      </c>
      <c r="E103" s="246"/>
      <c r="F103" s="240">
        <f>D103+E103</f>
        <v>72</v>
      </c>
    </row>
    <row r="104" spans="1:6" s="29" customFormat="1" ht="48" x14ac:dyDescent="0.2">
      <c r="A104" s="4" t="s">
        <v>238</v>
      </c>
      <c r="B104" s="3" t="s">
        <v>62</v>
      </c>
      <c r="C104" s="3"/>
      <c r="D104" s="241">
        <f t="shared" ref="D104:F106" si="48">D105</f>
        <v>86</v>
      </c>
      <c r="E104" s="241">
        <f t="shared" si="48"/>
        <v>0</v>
      </c>
      <c r="F104" s="241">
        <f t="shared" si="48"/>
        <v>86</v>
      </c>
    </row>
    <row r="105" spans="1:6" s="29" customFormat="1" x14ac:dyDescent="0.2">
      <c r="A105" s="4" t="s">
        <v>45</v>
      </c>
      <c r="B105" s="3" t="s">
        <v>62</v>
      </c>
      <c r="C105" s="3" t="s">
        <v>43</v>
      </c>
      <c r="D105" s="240">
        <v>86</v>
      </c>
      <c r="E105" s="241"/>
      <c r="F105" s="240">
        <f>D105+E105</f>
        <v>86</v>
      </c>
    </row>
    <row r="106" spans="1:6" s="29" customFormat="1" ht="48" x14ac:dyDescent="0.2">
      <c r="A106" s="7" t="s">
        <v>459</v>
      </c>
      <c r="B106" s="3" t="s">
        <v>458</v>
      </c>
      <c r="C106" s="3"/>
      <c r="D106" s="241">
        <f t="shared" si="48"/>
        <v>116.5</v>
      </c>
      <c r="E106" s="241">
        <f t="shared" si="48"/>
        <v>0</v>
      </c>
      <c r="F106" s="241">
        <f t="shared" si="48"/>
        <v>116.5</v>
      </c>
    </row>
    <row r="107" spans="1:6" s="29" customFormat="1" x14ac:dyDescent="0.2">
      <c r="A107" s="7" t="s">
        <v>45</v>
      </c>
      <c r="B107" s="3" t="s">
        <v>458</v>
      </c>
      <c r="C107" s="3" t="s">
        <v>43</v>
      </c>
      <c r="D107" s="240">
        <v>116.5</v>
      </c>
      <c r="E107" s="241"/>
      <c r="F107" s="240">
        <f>D107+E107</f>
        <v>116.5</v>
      </c>
    </row>
    <row r="108" spans="1:6" ht="36" x14ac:dyDescent="0.2">
      <c r="A108" s="4" t="s">
        <v>249</v>
      </c>
      <c r="B108" s="3" t="s">
        <v>304</v>
      </c>
      <c r="C108" s="3"/>
      <c r="D108" s="239">
        <f>D109+D111</f>
        <v>944.23</v>
      </c>
      <c r="E108" s="239">
        <f t="shared" ref="E108:F108" si="49">E109+E111</f>
        <v>0</v>
      </c>
      <c r="F108" s="239">
        <f t="shared" si="49"/>
        <v>944.23</v>
      </c>
    </row>
    <row r="109" spans="1:6" ht="24" x14ac:dyDescent="0.2">
      <c r="A109" s="7" t="s">
        <v>305</v>
      </c>
      <c r="B109" s="3" t="s">
        <v>306</v>
      </c>
      <c r="C109" s="3"/>
      <c r="D109" s="240">
        <f t="shared" ref="D109:F109" si="50">D110</f>
        <v>720.73</v>
      </c>
      <c r="E109" s="240">
        <f t="shared" si="50"/>
        <v>0</v>
      </c>
      <c r="F109" s="240">
        <f t="shared" si="50"/>
        <v>720.73</v>
      </c>
    </row>
    <row r="110" spans="1:6" x14ac:dyDescent="0.2">
      <c r="A110" s="7" t="s">
        <v>45</v>
      </c>
      <c r="B110" s="3" t="s">
        <v>306</v>
      </c>
      <c r="C110" s="3" t="s">
        <v>43</v>
      </c>
      <c r="D110" s="240">
        <v>720.73</v>
      </c>
      <c r="E110" s="242"/>
      <c r="F110" s="240">
        <f>D110+E110</f>
        <v>720.73</v>
      </c>
    </row>
    <row r="111" spans="1:6" s="29" customFormat="1" ht="36" x14ac:dyDescent="0.2">
      <c r="A111" s="4" t="s">
        <v>310</v>
      </c>
      <c r="B111" s="3" t="s">
        <v>309</v>
      </c>
      <c r="C111" s="3"/>
      <c r="D111" s="240">
        <f t="shared" ref="D111:F111" si="51">D112</f>
        <v>223.5</v>
      </c>
      <c r="E111" s="240">
        <f t="shared" si="51"/>
        <v>0</v>
      </c>
      <c r="F111" s="240">
        <f t="shared" si="51"/>
        <v>223.5</v>
      </c>
    </row>
    <row r="112" spans="1:6" s="29" customFormat="1" x14ac:dyDescent="0.2">
      <c r="A112" s="4" t="s">
        <v>45</v>
      </c>
      <c r="B112" s="3" t="s">
        <v>309</v>
      </c>
      <c r="C112" s="3" t="s">
        <v>43</v>
      </c>
      <c r="D112" s="240">
        <v>223.5</v>
      </c>
      <c r="E112" s="242"/>
      <c r="F112" s="240">
        <f>D112+E112</f>
        <v>223.5</v>
      </c>
    </row>
    <row r="113" spans="1:6" ht="36" x14ac:dyDescent="0.2">
      <c r="A113" s="4" t="s">
        <v>413</v>
      </c>
      <c r="B113" s="3" t="s">
        <v>453</v>
      </c>
      <c r="C113" s="3"/>
      <c r="D113" s="241">
        <f>D114+D120</f>
        <v>1314.9211599999999</v>
      </c>
      <c r="E113" s="241">
        <f t="shared" ref="E113:F113" si="52">E114+E120</f>
        <v>0</v>
      </c>
      <c r="F113" s="241">
        <f t="shared" si="52"/>
        <v>1314.9211599999999</v>
      </c>
    </row>
    <row r="114" spans="1:6" x14ac:dyDescent="0.2">
      <c r="A114" s="67" t="s">
        <v>414</v>
      </c>
      <c r="B114" s="3" t="s">
        <v>454</v>
      </c>
      <c r="C114" s="3"/>
      <c r="D114" s="240">
        <f>D118+D115</f>
        <v>620.92115999999999</v>
      </c>
      <c r="E114" s="240">
        <f t="shared" ref="E114:F114" si="53">E118+E115</f>
        <v>0</v>
      </c>
      <c r="F114" s="240">
        <f t="shared" si="53"/>
        <v>620.92115999999999</v>
      </c>
    </row>
    <row r="115" spans="1:6" ht="24" x14ac:dyDescent="0.2">
      <c r="A115" s="4" t="s">
        <v>314</v>
      </c>
      <c r="B115" s="3" t="s">
        <v>455</v>
      </c>
      <c r="C115" s="3"/>
      <c r="D115" s="242">
        <f>D117+D116</f>
        <v>50</v>
      </c>
      <c r="E115" s="242">
        <f t="shared" ref="E115:F115" si="54">E117+E116</f>
        <v>0</v>
      </c>
      <c r="F115" s="242">
        <f t="shared" si="54"/>
        <v>50</v>
      </c>
    </row>
    <row r="116" spans="1:6" ht="48" x14ac:dyDescent="0.2">
      <c r="A116" s="4" t="s">
        <v>38</v>
      </c>
      <c r="B116" s="3" t="s">
        <v>455</v>
      </c>
      <c r="C116" s="3" t="s">
        <v>34</v>
      </c>
      <c r="D116" s="242">
        <v>3</v>
      </c>
      <c r="E116" s="242"/>
      <c r="F116" s="240">
        <f>D116+E116</f>
        <v>3</v>
      </c>
    </row>
    <row r="117" spans="1:6" ht="24" x14ac:dyDescent="0.2">
      <c r="A117" s="4" t="s">
        <v>47</v>
      </c>
      <c r="B117" s="3" t="s">
        <v>455</v>
      </c>
      <c r="C117" s="3" t="s">
        <v>51</v>
      </c>
      <c r="D117" s="240">
        <v>47</v>
      </c>
      <c r="E117" s="242"/>
      <c r="F117" s="240">
        <f>D117+E117</f>
        <v>47</v>
      </c>
    </row>
    <row r="118" spans="1:6" ht="24" x14ac:dyDescent="0.2">
      <c r="A118" s="67" t="s">
        <v>543</v>
      </c>
      <c r="B118" s="3" t="s">
        <v>544</v>
      </c>
      <c r="C118" s="3"/>
      <c r="D118" s="240">
        <f>D119</f>
        <v>570.92115999999999</v>
      </c>
      <c r="E118" s="240">
        <f t="shared" ref="E118:F118" si="55">E119</f>
        <v>0</v>
      </c>
      <c r="F118" s="240">
        <f t="shared" si="55"/>
        <v>570.92115999999999</v>
      </c>
    </row>
    <row r="119" spans="1:6" x14ac:dyDescent="0.2">
      <c r="A119" s="7" t="s">
        <v>45</v>
      </c>
      <c r="B119" s="3" t="s">
        <v>544</v>
      </c>
      <c r="C119" s="3" t="s">
        <v>43</v>
      </c>
      <c r="D119" s="240">
        <v>570.92115999999999</v>
      </c>
      <c r="E119" s="241"/>
      <c r="F119" s="240">
        <f>D119+E119</f>
        <v>570.92115999999999</v>
      </c>
    </row>
    <row r="120" spans="1:6" ht="36" x14ac:dyDescent="0.2">
      <c r="A120" s="7" t="s">
        <v>48</v>
      </c>
      <c r="B120" s="3" t="s">
        <v>456</v>
      </c>
      <c r="C120" s="3"/>
      <c r="D120" s="241">
        <f>D121</f>
        <v>694</v>
      </c>
      <c r="E120" s="241">
        <f t="shared" ref="E120:F120" si="56">E121</f>
        <v>0</v>
      </c>
      <c r="F120" s="241">
        <f t="shared" si="56"/>
        <v>694</v>
      </c>
    </row>
    <row r="121" spans="1:6" x14ac:dyDescent="0.2">
      <c r="A121" s="4" t="s">
        <v>323</v>
      </c>
      <c r="B121" s="3" t="s">
        <v>457</v>
      </c>
      <c r="C121" s="3"/>
      <c r="D121" s="241">
        <f>D122+D123</f>
        <v>694</v>
      </c>
      <c r="E121" s="241">
        <f t="shared" ref="E121:F121" si="57">E122+E123</f>
        <v>0</v>
      </c>
      <c r="F121" s="241">
        <f t="shared" si="57"/>
        <v>694</v>
      </c>
    </row>
    <row r="122" spans="1:6" ht="48" x14ac:dyDescent="0.2">
      <c r="A122" s="4" t="s">
        <v>38</v>
      </c>
      <c r="B122" s="3" t="s">
        <v>457</v>
      </c>
      <c r="C122" s="3">
        <v>100</v>
      </c>
      <c r="D122" s="240">
        <v>150.19999999999999</v>
      </c>
      <c r="E122" s="241"/>
      <c r="F122" s="240">
        <f>D122+E122</f>
        <v>150.19999999999999</v>
      </c>
    </row>
    <row r="123" spans="1:6" ht="24" x14ac:dyDescent="0.2">
      <c r="A123" s="4" t="s">
        <v>47</v>
      </c>
      <c r="B123" s="3" t="s">
        <v>457</v>
      </c>
      <c r="C123" s="3">
        <v>200</v>
      </c>
      <c r="D123" s="240">
        <v>543.79999999999995</v>
      </c>
      <c r="E123" s="241"/>
      <c r="F123" s="240">
        <f>D123+E123</f>
        <v>543.79999999999995</v>
      </c>
    </row>
    <row r="124" spans="1:6" ht="60" x14ac:dyDescent="0.2">
      <c r="A124" s="4" t="s">
        <v>505</v>
      </c>
      <c r="B124" s="3" t="s">
        <v>368</v>
      </c>
      <c r="C124" s="3"/>
      <c r="D124" s="240">
        <f>D125+D131</f>
        <v>4769.93588</v>
      </c>
      <c r="E124" s="240">
        <f t="shared" ref="E124:F124" si="58">E125+E131</f>
        <v>0</v>
      </c>
      <c r="F124" s="240">
        <f t="shared" si="58"/>
        <v>4769.93588</v>
      </c>
    </row>
    <row r="125" spans="1:6" ht="24" x14ac:dyDescent="0.2">
      <c r="A125" s="4" t="s">
        <v>254</v>
      </c>
      <c r="B125" s="3" t="s">
        <v>255</v>
      </c>
      <c r="C125" s="3"/>
      <c r="D125" s="240">
        <f t="shared" ref="D125" si="59">D126+D128</f>
        <v>4769.93588</v>
      </c>
      <c r="E125" s="240">
        <f>E126+E128</f>
        <v>0</v>
      </c>
      <c r="F125" s="240">
        <f>F126+F128</f>
        <v>4769.93588</v>
      </c>
    </row>
    <row r="126" spans="1:6" ht="24" x14ac:dyDescent="0.2">
      <c r="A126" s="4" t="s">
        <v>138</v>
      </c>
      <c r="B126" s="3" t="s">
        <v>136</v>
      </c>
      <c r="C126" s="3"/>
      <c r="D126" s="240">
        <f t="shared" ref="D126:F126" si="60">D127</f>
        <v>3887.4058799999998</v>
      </c>
      <c r="E126" s="240">
        <f t="shared" si="60"/>
        <v>0</v>
      </c>
      <c r="F126" s="240">
        <f t="shared" si="60"/>
        <v>3887.4058799999998</v>
      </c>
    </row>
    <row r="127" spans="1:6" ht="48" x14ac:dyDescent="0.2">
      <c r="A127" s="4" t="s">
        <v>38</v>
      </c>
      <c r="B127" s="3" t="s">
        <v>136</v>
      </c>
      <c r="C127" s="3" t="s">
        <v>34</v>
      </c>
      <c r="D127" s="240">
        <v>3887.4058799999998</v>
      </c>
      <c r="E127" s="240"/>
      <c r="F127" s="240">
        <f>D127+E127</f>
        <v>3887.4058799999998</v>
      </c>
    </row>
    <row r="128" spans="1:6" ht="24" x14ac:dyDescent="0.2">
      <c r="A128" s="4" t="s">
        <v>137</v>
      </c>
      <c r="B128" s="3" t="s">
        <v>248</v>
      </c>
      <c r="C128" s="3"/>
      <c r="D128" s="240">
        <f t="shared" ref="D128:F128" si="61">D129+D130</f>
        <v>882.53</v>
      </c>
      <c r="E128" s="240">
        <f t="shared" si="61"/>
        <v>0</v>
      </c>
      <c r="F128" s="240">
        <f t="shared" si="61"/>
        <v>882.53</v>
      </c>
    </row>
    <row r="129" spans="1:9" ht="24" x14ac:dyDescent="0.2">
      <c r="A129" s="4" t="s">
        <v>47</v>
      </c>
      <c r="B129" s="3" t="s">
        <v>248</v>
      </c>
      <c r="C129" s="3" t="s">
        <v>51</v>
      </c>
      <c r="D129" s="240">
        <v>876.53</v>
      </c>
      <c r="E129" s="240"/>
      <c r="F129" s="240">
        <f>D129+E129</f>
        <v>876.53</v>
      </c>
    </row>
    <row r="130" spans="1:9" ht="24" x14ac:dyDescent="0.2">
      <c r="A130" s="4" t="s">
        <v>73</v>
      </c>
      <c r="B130" s="3" t="s">
        <v>248</v>
      </c>
      <c r="C130" s="3" t="s">
        <v>80</v>
      </c>
      <c r="D130" s="240">
        <v>6</v>
      </c>
      <c r="E130" s="240"/>
      <c r="F130" s="240">
        <f>D130+E130</f>
        <v>6</v>
      </c>
    </row>
    <row r="131" spans="1:9" x14ac:dyDescent="0.2">
      <c r="A131" s="4" t="s">
        <v>527</v>
      </c>
      <c r="B131" s="3" t="s">
        <v>559</v>
      </c>
      <c r="C131" s="3"/>
      <c r="D131" s="240">
        <f>D132</f>
        <v>0</v>
      </c>
      <c r="E131" s="240">
        <f t="shared" ref="E131:F131" si="62">E132</f>
        <v>0</v>
      </c>
      <c r="F131" s="240">
        <f t="shared" si="62"/>
        <v>0</v>
      </c>
    </row>
    <row r="132" spans="1:9" ht="48" x14ac:dyDescent="0.2">
      <c r="A132" s="4" t="s">
        <v>38</v>
      </c>
      <c r="B132" s="3" t="s">
        <v>559</v>
      </c>
      <c r="C132" s="3" t="s">
        <v>34</v>
      </c>
      <c r="D132" s="240"/>
      <c r="E132" s="240"/>
      <c r="F132" s="240">
        <f>D132+E132</f>
        <v>0</v>
      </c>
    </row>
    <row r="133" spans="1:9" ht="48" x14ac:dyDescent="0.2">
      <c r="A133" s="4" t="s">
        <v>370</v>
      </c>
      <c r="B133" s="3" t="s">
        <v>12</v>
      </c>
      <c r="C133" s="3"/>
      <c r="D133" s="242">
        <f>D134+D151</f>
        <v>39337.502999999997</v>
      </c>
      <c r="E133" s="242">
        <f>E134+E151</f>
        <v>0</v>
      </c>
      <c r="F133" s="242">
        <f>F134+F151</f>
        <v>39337.502999999997</v>
      </c>
    </row>
    <row r="134" spans="1:9" ht="36" x14ac:dyDescent="0.2">
      <c r="A134" s="4" t="s">
        <v>11</v>
      </c>
      <c r="B134" s="3" t="s">
        <v>10</v>
      </c>
      <c r="C134" s="3"/>
      <c r="D134" s="242">
        <f>D135+D137+D139+D141+D143+D145+D149+D147</f>
        <v>39337.502999999997</v>
      </c>
      <c r="E134" s="242">
        <f t="shared" ref="E134:F134" si="63">E135+E137+E139+E141+E143+E145+E149+E147</f>
        <v>0</v>
      </c>
      <c r="F134" s="242">
        <f t="shared" si="63"/>
        <v>39337.502999999997</v>
      </c>
    </row>
    <row r="135" spans="1:9" x14ac:dyDescent="0.2">
      <c r="A135" s="4" t="s">
        <v>371</v>
      </c>
      <c r="B135" s="3" t="s">
        <v>23</v>
      </c>
      <c r="C135" s="3"/>
      <c r="D135" s="242">
        <f>D136</f>
        <v>98</v>
      </c>
      <c r="E135" s="242">
        <f t="shared" ref="E135:F135" si="64">E136</f>
        <v>0</v>
      </c>
      <c r="F135" s="242">
        <f t="shared" si="64"/>
        <v>98</v>
      </c>
    </row>
    <row r="136" spans="1:9" x14ac:dyDescent="0.2">
      <c r="A136" s="4" t="s">
        <v>22</v>
      </c>
      <c r="B136" s="3" t="s">
        <v>23</v>
      </c>
      <c r="C136" s="3" t="s">
        <v>21</v>
      </c>
      <c r="D136" s="240">
        <v>98</v>
      </c>
      <c r="E136" s="242"/>
      <c r="F136" s="240">
        <f>D136+E136</f>
        <v>98</v>
      </c>
    </row>
    <row r="137" spans="1:9" ht="24" x14ac:dyDescent="0.2">
      <c r="A137" s="4" t="s">
        <v>17</v>
      </c>
      <c r="B137" s="3" t="s">
        <v>16</v>
      </c>
      <c r="C137" s="3"/>
      <c r="D137" s="242">
        <f t="shared" ref="D137:F137" si="65">D138</f>
        <v>20107</v>
      </c>
      <c r="E137" s="242">
        <f t="shared" si="65"/>
        <v>0</v>
      </c>
      <c r="F137" s="242">
        <f t="shared" si="65"/>
        <v>20107</v>
      </c>
    </row>
    <row r="138" spans="1:9" x14ac:dyDescent="0.2">
      <c r="A138" s="4" t="s">
        <v>8</v>
      </c>
      <c r="B138" s="3" t="s">
        <v>16</v>
      </c>
      <c r="C138" s="3" t="s">
        <v>5</v>
      </c>
      <c r="D138" s="240">
        <v>20107</v>
      </c>
      <c r="E138" s="242"/>
      <c r="F138" s="240">
        <f>D138+E138</f>
        <v>20107</v>
      </c>
    </row>
    <row r="139" spans="1:9" x14ac:dyDescent="0.2">
      <c r="A139" s="4" t="s">
        <v>9</v>
      </c>
      <c r="B139" s="3" t="s">
        <v>259</v>
      </c>
      <c r="C139" s="3"/>
      <c r="D139" s="240">
        <f t="shared" ref="D139:F139" si="66">D140</f>
        <v>2199.1030000000001</v>
      </c>
      <c r="E139" s="240">
        <f t="shared" si="66"/>
        <v>0</v>
      </c>
      <c r="F139" s="240">
        <f t="shared" si="66"/>
        <v>2199.1030000000001</v>
      </c>
      <c r="G139" s="2">
        <v>20</v>
      </c>
      <c r="H139" s="2">
        <v>177.10300000000001</v>
      </c>
      <c r="I139" s="2">
        <f>G139+H139</f>
        <v>197.10300000000001</v>
      </c>
    </row>
    <row r="140" spans="1:9" x14ac:dyDescent="0.2">
      <c r="A140" s="4" t="s">
        <v>8</v>
      </c>
      <c r="B140" s="3" t="s">
        <v>259</v>
      </c>
      <c r="C140" s="3" t="s">
        <v>5</v>
      </c>
      <c r="D140" s="240">
        <v>2199.1030000000001</v>
      </c>
      <c r="E140" s="240"/>
      <c r="F140" s="240">
        <f>D140+E140</f>
        <v>2199.1030000000001</v>
      </c>
      <c r="G140" s="2">
        <v>0</v>
      </c>
    </row>
    <row r="141" spans="1:9" ht="36" x14ac:dyDescent="0.2">
      <c r="A141" s="4" t="s">
        <v>344</v>
      </c>
      <c r="B141" s="3" t="s">
        <v>14</v>
      </c>
      <c r="C141" s="3"/>
      <c r="D141" s="242">
        <f t="shared" ref="D141:F141" si="67">D142</f>
        <v>5856.5</v>
      </c>
      <c r="E141" s="242">
        <f t="shared" si="67"/>
        <v>0</v>
      </c>
      <c r="F141" s="242">
        <f t="shared" si="67"/>
        <v>5856.5</v>
      </c>
    </row>
    <row r="142" spans="1:9" x14ac:dyDescent="0.2">
      <c r="A142" s="4" t="s">
        <v>8</v>
      </c>
      <c r="B142" s="3" t="s">
        <v>14</v>
      </c>
      <c r="C142" s="3" t="s">
        <v>5</v>
      </c>
      <c r="D142" s="240">
        <v>5856.5</v>
      </c>
      <c r="E142" s="242"/>
      <c r="F142" s="240">
        <f>D142+E142</f>
        <v>5856.5</v>
      </c>
    </row>
    <row r="143" spans="1:9" ht="36" x14ac:dyDescent="0.2">
      <c r="A143" s="4" t="s">
        <v>337</v>
      </c>
      <c r="B143" s="3" t="s">
        <v>378</v>
      </c>
      <c r="C143" s="3"/>
      <c r="D143" s="241">
        <f t="shared" ref="D143:F143" si="68">D144</f>
        <v>52.1</v>
      </c>
      <c r="E143" s="241">
        <f t="shared" si="68"/>
        <v>0</v>
      </c>
      <c r="F143" s="241">
        <f t="shared" si="68"/>
        <v>52.1</v>
      </c>
    </row>
    <row r="144" spans="1:9" ht="24" x14ac:dyDescent="0.2">
      <c r="A144" s="4" t="s">
        <v>47</v>
      </c>
      <c r="B144" s="3" t="s">
        <v>378</v>
      </c>
      <c r="C144" s="3" t="s">
        <v>51</v>
      </c>
      <c r="D144" s="240">
        <v>52.1</v>
      </c>
      <c r="E144" s="241"/>
      <c r="F144" s="240">
        <f>D144+E144</f>
        <v>52.1</v>
      </c>
    </row>
    <row r="145" spans="1:6" ht="48" x14ac:dyDescent="0.2">
      <c r="A145" s="4" t="s">
        <v>338</v>
      </c>
      <c r="B145" s="3" t="s">
        <v>379</v>
      </c>
      <c r="C145" s="3"/>
      <c r="D145" s="241">
        <f t="shared" ref="D145:F145" si="69">D146</f>
        <v>225.1</v>
      </c>
      <c r="E145" s="241">
        <f t="shared" si="69"/>
        <v>0</v>
      </c>
      <c r="F145" s="241">
        <f t="shared" si="69"/>
        <v>225.1</v>
      </c>
    </row>
    <row r="146" spans="1:6" ht="48" x14ac:dyDescent="0.2">
      <c r="A146" s="4" t="s">
        <v>38</v>
      </c>
      <c r="B146" s="3" t="s">
        <v>379</v>
      </c>
      <c r="C146" s="3" t="s">
        <v>34</v>
      </c>
      <c r="D146" s="240">
        <f>172.88786+52.21214</f>
        <v>225.1</v>
      </c>
      <c r="E146" s="241"/>
      <c r="F146" s="240">
        <f>D146+E146</f>
        <v>225.1</v>
      </c>
    </row>
    <row r="147" spans="1:6" x14ac:dyDescent="0.2">
      <c r="A147" s="7" t="s">
        <v>527</v>
      </c>
      <c r="B147" s="3" t="s">
        <v>558</v>
      </c>
      <c r="C147" s="3"/>
      <c r="D147" s="240">
        <f>D148</f>
        <v>10790.1</v>
      </c>
      <c r="E147" s="240">
        <f t="shared" ref="E147:F147" si="70">E148</f>
        <v>0</v>
      </c>
      <c r="F147" s="240">
        <f t="shared" si="70"/>
        <v>10790.1</v>
      </c>
    </row>
    <row r="148" spans="1:6" x14ac:dyDescent="0.2">
      <c r="A148" s="4" t="s">
        <v>8</v>
      </c>
      <c r="B148" s="3" t="s">
        <v>558</v>
      </c>
      <c r="C148" s="3" t="s">
        <v>5</v>
      </c>
      <c r="D148" s="240">
        <v>10790.1</v>
      </c>
      <c r="E148" s="247"/>
      <c r="F148" s="240">
        <f>D148+E148</f>
        <v>10790.1</v>
      </c>
    </row>
    <row r="149" spans="1:6" ht="36" x14ac:dyDescent="0.2">
      <c r="A149" s="4" t="s">
        <v>124</v>
      </c>
      <c r="B149" s="3" t="s">
        <v>504</v>
      </c>
      <c r="C149" s="3"/>
      <c r="D149" s="241">
        <f t="shared" ref="D149:F149" si="71">D150</f>
        <v>9.6</v>
      </c>
      <c r="E149" s="241">
        <f t="shared" si="71"/>
        <v>0</v>
      </c>
      <c r="F149" s="241">
        <f t="shared" si="71"/>
        <v>9.6</v>
      </c>
    </row>
    <row r="150" spans="1:6" ht="24" x14ac:dyDescent="0.2">
      <c r="A150" s="4" t="s">
        <v>47</v>
      </c>
      <c r="B150" s="3" t="s">
        <v>504</v>
      </c>
      <c r="C150" s="3" t="s">
        <v>51</v>
      </c>
      <c r="D150" s="240">
        <v>9.6</v>
      </c>
      <c r="E150" s="241"/>
      <c r="F150" s="240">
        <f>D150+E150</f>
        <v>9.6</v>
      </c>
    </row>
    <row r="151" spans="1:6" ht="36" x14ac:dyDescent="0.2">
      <c r="A151" s="7" t="s">
        <v>135</v>
      </c>
      <c r="B151" s="3" t="s">
        <v>256</v>
      </c>
      <c r="C151" s="3"/>
      <c r="D151" s="240">
        <f t="shared" ref="D151:F152" si="72">D152</f>
        <v>0</v>
      </c>
      <c r="E151" s="240">
        <f t="shared" si="72"/>
        <v>0</v>
      </c>
      <c r="F151" s="240">
        <f t="shared" si="72"/>
        <v>0</v>
      </c>
    </row>
    <row r="152" spans="1:6" ht="24" x14ac:dyDescent="0.2">
      <c r="A152" s="7" t="s">
        <v>257</v>
      </c>
      <c r="B152" s="3" t="s">
        <v>226</v>
      </c>
      <c r="C152" s="3"/>
      <c r="D152" s="240">
        <f t="shared" si="72"/>
        <v>0</v>
      </c>
      <c r="E152" s="240">
        <f t="shared" si="72"/>
        <v>0</v>
      </c>
      <c r="F152" s="240">
        <f t="shared" si="72"/>
        <v>0</v>
      </c>
    </row>
    <row r="153" spans="1:6" ht="24" x14ac:dyDescent="0.2">
      <c r="A153" s="7" t="s">
        <v>47</v>
      </c>
      <c r="B153" s="3" t="s">
        <v>226</v>
      </c>
      <c r="C153" s="3" t="s">
        <v>51</v>
      </c>
      <c r="D153" s="240"/>
      <c r="E153" s="240"/>
      <c r="F153" s="240">
        <f>D153+E153</f>
        <v>0</v>
      </c>
    </row>
    <row r="154" spans="1:6" ht="48" x14ac:dyDescent="0.2">
      <c r="A154" s="4" t="s">
        <v>330</v>
      </c>
      <c r="B154" s="3" t="s">
        <v>234</v>
      </c>
      <c r="C154" s="3"/>
      <c r="D154" s="242">
        <f>D155+D161</f>
        <v>3407.81</v>
      </c>
      <c r="E154" s="242">
        <f t="shared" ref="E154" si="73">E155+E161</f>
        <v>0</v>
      </c>
      <c r="F154" s="242">
        <f>F155+F161</f>
        <v>3407.81</v>
      </c>
    </row>
    <row r="155" spans="1:6" ht="24" x14ac:dyDescent="0.2">
      <c r="A155" s="4" t="s">
        <v>331</v>
      </c>
      <c r="B155" s="3" t="s">
        <v>120</v>
      </c>
      <c r="C155" s="3"/>
      <c r="D155" s="242">
        <f t="shared" ref="D155" si="74">D156+D158</f>
        <v>3163.98</v>
      </c>
      <c r="E155" s="242">
        <f>E156+E158</f>
        <v>0</v>
      </c>
      <c r="F155" s="242">
        <f>F156+F158</f>
        <v>3163.98</v>
      </c>
    </row>
    <row r="156" spans="1:6" x14ac:dyDescent="0.2">
      <c r="A156" s="4" t="s">
        <v>227</v>
      </c>
      <c r="B156" s="3" t="s">
        <v>119</v>
      </c>
      <c r="C156" s="3"/>
      <c r="D156" s="242">
        <f t="shared" ref="D156:E156" si="75">D157</f>
        <v>3024.38</v>
      </c>
      <c r="E156" s="242">
        <f t="shared" si="75"/>
        <v>0</v>
      </c>
      <c r="F156" s="242">
        <f>F157</f>
        <v>3024.38</v>
      </c>
    </row>
    <row r="157" spans="1:6" ht="48.75" x14ac:dyDescent="0.25">
      <c r="A157" s="4" t="s">
        <v>38</v>
      </c>
      <c r="B157" s="3" t="s">
        <v>119</v>
      </c>
      <c r="C157" s="3">
        <v>100</v>
      </c>
      <c r="D157" s="248">
        <f>2307.51152+20+696.86848</f>
        <v>3024.38</v>
      </c>
      <c r="E157" s="249"/>
      <c r="F157" s="248">
        <f>D157+E157</f>
        <v>3024.38</v>
      </c>
    </row>
    <row r="158" spans="1:6" x14ac:dyDescent="0.2">
      <c r="A158" s="4" t="s">
        <v>228</v>
      </c>
      <c r="B158" s="3" t="s">
        <v>118</v>
      </c>
      <c r="C158" s="3"/>
      <c r="D158" s="242">
        <f t="shared" ref="D158" si="76">D159+D160</f>
        <v>139.6</v>
      </c>
      <c r="E158" s="242">
        <f>E159+E160</f>
        <v>0</v>
      </c>
      <c r="F158" s="242">
        <f>F159+F160</f>
        <v>139.6</v>
      </c>
    </row>
    <row r="159" spans="1:6" ht="24.75" x14ac:dyDescent="0.25">
      <c r="A159" s="4" t="s">
        <v>47</v>
      </c>
      <c r="B159" s="3" t="s">
        <v>118</v>
      </c>
      <c r="C159" s="3" t="s">
        <v>51</v>
      </c>
      <c r="D159" s="248">
        <v>125.85</v>
      </c>
      <c r="E159" s="249"/>
      <c r="F159" s="248">
        <f>D159+E159</f>
        <v>125.85</v>
      </c>
    </row>
    <row r="160" spans="1:6" ht="24.75" x14ac:dyDescent="0.25">
      <c r="A160" s="4" t="s">
        <v>73</v>
      </c>
      <c r="B160" s="3" t="s">
        <v>118</v>
      </c>
      <c r="C160" s="3" t="s">
        <v>80</v>
      </c>
      <c r="D160" s="248">
        <v>13.75</v>
      </c>
      <c r="E160" s="249"/>
      <c r="F160" s="248">
        <f>D160+E160</f>
        <v>13.75</v>
      </c>
    </row>
    <row r="161" spans="1:7" ht="15" x14ac:dyDescent="0.25">
      <c r="A161" s="4" t="s">
        <v>527</v>
      </c>
      <c r="B161" s="3" t="s">
        <v>538</v>
      </c>
      <c r="C161" s="3"/>
      <c r="D161" s="248">
        <f>D162</f>
        <v>243.83</v>
      </c>
      <c r="E161" s="248">
        <f t="shared" ref="E161:F161" si="77">E162</f>
        <v>0</v>
      </c>
      <c r="F161" s="248">
        <f t="shared" si="77"/>
        <v>243.83</v>
      </c>
    </row>
    <row r="162" spans="1:7" ht="48.75" x14ac:dyDescent="0.25">
      <c r="A162" s="4" t="s">
        <v>38</v>
      </c>
      <c r="B162" s="3" t="s">
        <v>538</v>
      </c>
      <c r="C162" s="3">
        <v>100</v>
      </c>
      <c r="D162" s="248">
        <v>243.83</v>
      </c>
      <c r="E162" s="249"/>
      <c r="F162" s="248">
        <f t="shared" ref="F162" si="78">D162+E162</f>
        <v>243.83</v>
      </c>
    </row>
    <row r="163" spans="1:7" ht="48" x14ac:dyDescent="0.2">
      <c r="A163" s="7" t="s">
        <v>273</v>
      </c>
      <c r="B163" s="3" t="s">
        <v>95</v>
      </c>
      <c r="C163" s="3"/>
      <c r="D163" s="242">
        <f>D164+D169+D178+D174</f>
        <v>3899.55134</v>
      </c>
      <c r="E163" s="242">
        <f t="shared" ref="E163:F163" si="79">E164+E169+E178+E174</f>
        <v>-374.44326000000001</v>
      </c>
      <c r="F163" s="242">
        <f t="shared" si="79"/>
        <v>3525.10808</v>
      </c>
    </row>
    <row r="164" spans="1:7" ht="48" x14ac:dyDescent="0.2">
      <c r="A164" s="4" t="s">
        <v>274</v>
      </c>
      <c r="B164" s="3" t="s">
        <v>275</v>
      </c>
      <c r="C164" s="3"/>
      <c r="D164" s="242">
        <f>D165+D167</f>
        <v>45.61224</v>
      </c>
      <c r="E164" s="242">
        <f t="shared" ref="E164:F164" si="80">E165+E167</f>
        <v>0</v>
      </c>
      <c r="F164" s="242">
        <f t="shared" si="80"/>
        <v>45.61224</v>
      </c>
    </row>
    <row r="165" spans="1:7" ht="24.75" x14ac:dyDescent="0.25">
      <c r="A165" s="4" t="s">
        <v>278</v>
      </c>
      <c r="B165" s="3" t="s">
        <v>114</v>
      </c>
      <c r="C165" s="3"/>
      <c r="D165" s="249">
        <f t="shared" ref="D165:F165" si="81">D166</f>
        <v>15</v>
      </c>
      <c r="E165" s="249">
        <f t="shared" si="81"/>
        <v>0</v>
      </c>
      <c r="F165" s="249">
        <f t="shared" si="81"/>
        <v>15</v>
      </c>
    </row>
    <row r="166" spans="1:7" ht="24.75" x14ac:dyDescent="0.25">
      <c r="A166" s="4" t="s">
        <v>47</v>
      </c>
      <c r="B166" s="3" t="s">
        <v>114</v>
      </c>
      <c r="C166" s="3">
        <v>200</v>
      </c>
      <c r="D166" s="248">
        <v>15</v>
      </c>
      <c r="E166" s="249">
        <v>0</v>
      </c>
      <c r="F166" s="248">
        <f>D166+E166</f>
        <v>15</v>
      </c>
    </row>
    <row r="167" spans="1:7" ht="36.75" x14ac:dyDescent="0.25">
      <c r="A167" s="4" t="s">
        <v>237</v>
      </c>
      <c r="B167" s="3" t="s">
        <v>382</v>
      </c>
      <c r="C167" s="3"/>
      <c r="D167" s="249">
        <f>D168</f>
        <v>30.61224</v>
      </c>
      <c r="E167" s="249">
        <f t="shared" ref="E167:F167" si="82">E168</f>
        <v>0</v>
      </c>
      <c r="F167" s="249">
        <f t="shared" si="82"/>
        <v>30.61224</v>
      </c>
    </row>
    <row r="168" spans="1:7" ht="15" x14ac:dyDescent="0.25">
      <c r="A168" s="4" t="s">
        <v>45</v>
      </c>
      <c r="B168" s="3" t="s">
        <v>112</v>
      </c>
      <c r="C168" s="3" t="s">
        <v>43</v>
      </c>
      <c r="D168" s="248">
        <v>30.61224</v>
      </c>
      <c r="E168" s="249"/>
      <c r="F168" s="248">
        <f>D168+E168</f>
        <v>30.61224</v>
      </c>
      <c r="G168" s="220"/>
    </row>
    <row r="169" spans="1:7" ht="36" x14ac:dyDescent="0.2">
      <c r="A169" s="4" t="s">
        <v>113</v>
      </c>
      <c r="B169" s="3" t="s">
        <v>279</v>
      </c>
      <c r="C169" s="3"/>
      <c r="D169" s="242">
        <f>D170+D172</f>
        <v>15.31429</v>
      </c>
      <c r="E169" s="242">
        <f t="shared" ref="E169:F169" si="83">E170+E172</f>
        <v>0</v>
      </c>
      <c r="F169" s="242">
        <f t="shared" si="83"/>
        <v>15.31429</v>
      </c>
    </row>
    <row r="170" spans="1:7" ht="36.75" x14ac:dyDescent="0.25">
      <c r="A170" s="4" t="s">
        <v>281</v>
      </c>
      <c r="B170" s="3" t="s">
        <v>280</v>
      </c>
      <c r="C170" s="3"/>
      <c r="D170" s="249">
        <f t="shared" ref="D170:F170" si="84">D171</f>
        <v>15.31429</v>
      </c>
      <c r="E170" s="249">
        <f t="shared" si="84"/>
        <v>0</v>
      </c>
      <c r="F170" s="249">
        <f t="shared" si="84"/>
        <v>15.31429</v>
      </c>
    </row>
    <row r="171" spans="1:7" ht="24.75" x14ac:dyDescent="0.25">
      <c r="A171" s="4" t="s">
        <v>47</v>
      </c>
      <c r="B171" s="3" t="s">
        <v>280</v>
      </c>
      <c r="C171" s="3">
        <v>200</v>
      </c>
      <c r="D171" s="248">
        <v>15.31429</v>
      </c>
      <c r="E171" s="249"/>
      <c r="F171" s="248">
        <f>D171+E171</f>
        <v>15.31429</v>
      </c>
    </row>
    <row r="172" spans="1:7" ht="60.75" x14ac:dyDescent="0.25">
      <c r="A172" s="4" t="s">
        <v>553</v>
      </c>
      <c r="B172" s="3" t="s">
        <v>554</v>
      </c>
      <c r="C172" s="3"/>
      <c r="D172" s="249">
        <f>D173</f>
        <v>0</v>
      </c>
      <c r="E172" s="249">
        <f>E173</f>
        <v>0</v>
      </c>
      <c r="F172" s="249">
        <f>F173</f>
        <v>0</v>
      </c>
    </row>
    <row r="173" spans="1:7" ht="24.75" x14ac:dyDescent="0.25">
      <c r="A173" s="4" t="s">
        <v>47</v>
      </c>
      <c r="B173" s="3" t="s">
        <v>554</v>
      </c>
      <c r="C173" s="3">
        <v>200</v>
      </c>
      <c r="D173" s="248"/>
      <c r="E173" s="249"/>
      <c r="F173" s="248">
        <f>D173+E173</f>
        <v>0</v>
      </c>
    </row>
    <row r="174" spans="1:7" ht="24" x14ac:dyDescent="0.25">
      <c r="A174" s="7" t="s">
        <v>265</v>
      </c>
      <c r="B174" s="3" t="s">
        <v>373</v>
      </c>
      <c r="C174" s="3"/>
      <c r="D174" s="250">
        <f t="shared" ref="D174:F174" si="85">D175</f>
        <v>1209</v>
      </c>
      <c r="E174" s="250">
        <f t="shared" si="85"/>
        <v>0</v>
      </c>
      <c r="F174" s="250">
        <f t="shared" si="85"/>
        <v>1209</v>
      </c>
    </row>
    <row r="175" spans="1:7" ht="36" x14ac:dyDescent="0.25">
      <c r="A175" s="7" t="s">
        <v>266</v>
      </c>
      <c r="B175" s="3" t="s">
        <v>374</v>
      </c>
      <c r="C175" s="3"/>
      <c r="D175" s="250">
        <f>D176+D177</f>
        <v>1209</v>
      </c>
      <c r="E175" s="250">
        <f>E176+E177</f>
        <v>0</v>
      </c>
      <c r="F175" s="250">
        <f>F176+F177</f>
        <v>1209</v>
      </c>
    </row>
    <row r="176" spans="1:7" ht="48" x14ac:dyDescent="0.25">
      <c r="A176" s="7" t="s">
        <v>38</v>
      </c>
      <c r="B176" s="3" t="s">
        <v>374</v>
      </c>
      <c r="C176" s="3" t="s">
        <v>34</v>
      </c>
      <c r="D176" s="248">
        <f>774.9616+234.0384</f>
        <v>1009</v>
      </c>
      <c r="E176" s="250">
        <f>189.504+57.23021-189.504-57.23021</f>
        <v>0</v>
      </c>
      <c r="F176" s="248">
        <f>D176+E176</f>
        <v>1009</v>
      </c>
    </row>
    <row r="177" spans="1:6" ht="24" x14ac:dyDescent="0.25">
      <c r="A177" s="7" t="s">
        <v>47</v>
      </c>
      <c r="B177" s="3" t="s">
        <v>374</v>
      </c>
      <c r="C177" s="3" t="s">
        <v>51</v>
      </c>
      <c r="D177" s="248">
        <v>200</v>
      </c>
      <c r="E177" s="250"/>
      <c r="F177" s="248">
        <f>D177+E177</f>
        <v>200</v>
      </c>
    </row>
    <row r="178" spans="1:6" ht="48" x14ac:dyDescent="0.2">
      <c r="A178" s="4" t="s">
        <v>117</v>
      </c>
      <c r="B178" s="3" t="s">
        <v>277</v>
      </c>
      <c r="C178" s="3"/>
      <c r="D178" s="242">
        <f>D179+D181</f>
        <v>2629.6248099999998</v>
      </c>
      <c r="E178" s="242">
        <f>E179+E181</f>
        <v>-374.44326000000001</v>
      </c>
      <c r="F178" s="242">
        <f t="shared" ref="F178" si="86">F179+F181</f>
        <v>2255.1815499999998</v>
      </c>
    </row>
    <row r="179" spans="1:6" ht="60" x14ac:dyDescent="0.25">
      <c r="A179" s="7" t="s">
        <v>383</v>
      </c>
      <c r="B179" s="3" t="s">
        <v>384</v>
      </c>
      <c r="C179" s="3"/>
      <c r="D179" s="249">
        <f>D180</f>
        <v>2201.0533799999998</v>
      </c>
      <c r="E179" s="249">
        <f t="shared" ref="E179:F179" si="87">E180</f>
        <v>-374.44326000000001</v>
      </c>
      <c r="F179" s="249">
        <f t="shared" si="87"/>
        <v>1826.6101199999998</v>
      </c>
    </row>
    <row r="180" spans="1:6" ht="24.75" x14ac:dyDescent="0.25">
      <c r="A180" s="4" t="s">
        <v>47</v>
      </c>
      <c r="B180" s="3" t="s">
        <v>384</v>
      </c>
      <c r="C180" s="3" t="s">
        <v>51</v>
      </c>
      <c r="D180" s="248">
        <v>2201.0533799999998</v>
      </c>
      <c r="E180" s="249">
        <f>-374.44326</f>
        <v>-374.44326000000001</v>
      </c>
      <c r="F180" s="248">
        <f>D180+E180</f>
        <v>1826.6101199999998</v>
      </c>
    </row>
    <row r="181" spans="1:6" ht="48.75" x14ac:dyDescent="0.25">
      <c r="A181" s="4" t="s">
        <v>556</v>
      </c>
      <c r="B181" s="3" t="s">
        <v>557</v>
      </c>
      <c r="C181" s="3"/>
      <c r="D181" s="248">
        <f>D182+D183</f>
        <v>428.57143000000002</v>
      </c>
      <c r="E181" s="248">
        <f t="shared" ref="E181:F181" si="88">E182+E183</f>
        <v>0</v>
      </c>
      <c r="F181" s="248">
        <f t="shared" si="88"/>
        <v>428.57143000000002</v>
      </c>
    </row>
    <row r="182" spans="1:6" ht="24.75" x14ac:dyDescent="0.25">
      <c r="A182" s="4" t="s">
        <v>47</v>
      </c>
      <c r="B182" s="3" t="s">
        <v>557</v>
      </c>
      <c r="C182" s="3" t="s">
        <v>51</v>
      </c>
      <c r="D182" s="248"/>
      <c r="E182" s="249"/>
      <c r="F182" s="248">
        <f>D182+E182</f>
        <v>0</v>
      </c>
    </row>
    <row r="183" spans="1:6" ht="15" x14ac:dyDescent="0.25">
      <c r="A183" s="4" t="s">
        <v>8</v>
      </c>
      <c r="B183" s="3" t="s">
        <v>557</v>
      </c>
      <c r="C183" s="3" t="s">
        <v>5</v>
      </c>
      <c r="D183" s="248">
        <v>428.57143000000002</v>
      </c>
      <c r="E183" s="249"/>
      <c r="F183" s="248">
        <f>D183+E183</f>
        <v>428.57143000000002</v>
      </c>
    </row>
    <row r="184" spans="1:6" ht="48" x14ac:dyDescent="0.2">
      <c r="A184" s="4" t="s">
        <v>400</v>
      </c>
      <c r="B184" s="3" t="s">
        <v>91</v>
      </c>
      <c r="C184" s="3"/>
      <c r="D184" s="246">
        <f>D188+D205+D197+D185</f>
        <v>8425.0397999999986</v>
      </c>
      <c r="E184" s="246">
        <f>E188+E205+E197+E185</f>
        <v>0</v>
      </c>
      <c r="F184" s="246">
        <f>F188+F205+F197+F185</f>
        <v>8425.0397999999986</v>
      </c>
    </row>
    <row r="185" spans="1:6" ht="24" x14ac:dyDescent="0.2">
      <c r="A185" s="4" t="s">
        <v>241</v>
      </c>
      <c r="B185" s="3" t="s">
        <v>267</v>
      </c>
      <c r="C185" s="3"/>
      <c r="D185" s="251">
        <f t="shared" ref="D185:F186" si="89">D186</f>
        <v>11</v>
      </c>
      <c r="E185" s="251">
        <f t="shared" si="89"/>
        <v>0</v>
      </c>
      <c r="F185" s="251">
        <f t="shared" si="89"/>
        <v>11</v>
      </c>
    </row>
    <row r="186" spans="1:6" ht="24" x14ac:dyDescent="0.2">
      <c r="A186" s="4" t="s">
        <v>294</v>
      </c>
      <c r="B186" s="3" t="s">
        <v>297</v>
      </c>
      <c r="C186" s="3"/>
      <c r="D186" s="251">
        <f t="shared" si="89"/>
        <v>11</v>
      </c>
      <c r="E186" s="251">
        <f t="shared" si="89"/>
        <v>0</v>
      </c>
      <c r="F186" s="251">
        <f t="shared" si="89"/>
        <v>11</v>
      </c>
    </row>
    <row r="187" spans="1:6" ht="24" x14ac:dyDescent="0.2">
      <c r="A187" s="4" t="s">
        <v>47</v>
      </c>
      <c r="B187" s="3" t="s">
        <v>297</v>
      </c>
      <c r="C187" s="3" t="s">
        <v>51</v>
      </c>
      <c r="D187" s="240">
        <v>11</v>
      </c>
      <c r="E187" s="240"/>
      <c r="F187" s="240">
        <f>D187+E187</f>
        <v>11</v>
      </c>
    </row>
    <row r="188" spans="1:6" ht="24" x14ac:dyDescent="0.2">
      <c r="A188" s="4" t="s">
        <v>298</v>
      </c>
      <c r="B188" s="3" t="s">
        <v>299</v>
      </c>
      <c r="C188" s="3"/>
      <c r="D188" s="241">
        <f>D189+D192+D195</f>
        <v>2912.6044899999997</v>
      </c>
      <c r="E188" s="241">
        <f>E189+E192+E195</f>
        <v>0</v>
      </c>
      <c r="F188" s="241">
        <f>F189+F192+F195</f>
        <v>2912.6044899999997</v>
      </c>
    </row>
    <row r="189" spans="1:6" x14ac:dyDescent="0.2">
      <c r="A189" s="4" t="s">
        <v>405</v>
      </c>
      <c r="B189" s="3" t="s">
        <v>406</v>
      </c>
      <c r="C189" s="3"/>
      <c r="D189" s="241">
        <f>D191+D190</f>
        <v>897.41449</v>
      </c>
      <c r="E189" s="241">
        <f t="shared" ref="E189:F189" si="90">E191+E190</f>
        <v>0</v>
      </c>
      <c r="F189" s="241">
        <f t="shared" si="90"/>
        <v>897.41449</v>
      </c>
    </row>
    <row r="190" spans="1:6" ht="24.75" x14ac:dyDescent="0.25">
      <c r="A190" s="4" t="s">
        <v>47</v>
      </c>
      <c r="B190" s="3" t="s">
        <v>406</v>
      </c>
      <c r="C190" s="3" t="s">
        <v>51</v>
      </c>
      <c r="D190" s="252">
        <v>25.334489999999999</v>
      </c>
      <c r="E190" s="252"/>
      <c r="F190" s="252">
        <f>D190+E190</f>
        <v>25.334489999999999</v>
      </c>
    </row>
    <row r="191" spans="1:6" ht="24" x14ac:dyDescent="0.2">
      <c r="A191" s="4" t="s">
        <v>73</v>
      </c>
      <c r="B191" s="3" t="s">
        <v>406</v>
      </c>
      <c r="C191" s="3" t="s">
        <v>80</v>
      </c>
      <c r="D191" s="240">
        <v>872.08</v>
      </c>
      <c r="E191" s="241"/>
      <c r="F191" s="240">
        <f>D191+E191</f>
        <v>872.08</v>
      </c>
    </row>
    <row r="192" spans="1:6" ht="48" x14ac:dyDescent="0.2">
      <c r="A192" s="7" t="s">
        <v>349</v>
      </c>
      <c r="B192" s="3" t="s">
        <v>508</v>
      </c>
      <c r="C192" s="3"/>
      <c r="D192" s="241">
        <f>D193+D194</f>
        <v>1224.49</v>
      </c>
      <c r="E192" s="241">
        <f t="shared" ref="E192:F192" si="91">E193+E194</f>
        <v>0</v>
      </c>
      <c r="F192" s="241">
        <f t="shared" si="91"/>
        <v>1224.49</v>
      </c>
    </row>
    <row r="193" spans="1:7" ht="24.75" x14ac:dyDescent="0.25">
      <c r="A193" s="4" t="s">
        <v>47</v>
      </c>
      <c r="B193" s="3" t="s">
        <v>508</v>
      </c>
      <c r="C193" s="3" t="s">
        <v>51</v>
      </c>
      <c r="D193" s="248"/>
      <c r="E193" s="252"/>
      <c r="F193" s="248">
        <f>D193+E193</f>
        <v>0</v>
      </c>
    </row>
    <row r="194" spans="1:7" ht="24.75" x14ac:dyDescent="0.25">
      <c r="A194" s="4" t="s">
        <v>73</v>
      </c>
      <c r="B194" s="3" t="s">
        <v>508</v>
      </c>
      <c r="C194" s="3" t="s">
        <v>80</v>
      </c>
      <c r="D194" s="248">
        <v>1224.49</v>
      </c>
      <c r="E194" s="252"/>
      <c r="F194" s="248">
        <f>D194+E194</f>
        <v>1224.49</v>
      </c>
    </row>
    <row r="195" spans="1:7" ht="60.75" x14ac:dyDescent="0.25">
      <c r="A195" s="4" t="s">
        <v>341</v>
      </c>
      <c r="B195" s="3" t="s">
        <v>93</v>
      </c>
      <c r="C195" s="3"/>
      <c r="D195" s="252">
        <f>D196</f>
        <v>790.7</v>
      </c>
      <c r="E195" s="252">
        <f t="shared" ref="E195:F195" si="92">E196</f>
        <v>0</v>
      </c>
      <c r="F195" s="252">
        <f t="shared" si="92"/>
        <v>790.7</v>
      </c>
    </row>
    <row r="196" spans="1:7" ht="24.75" x14ac:dyDescent="0.25">
      <c r="A196" s="4" t="s">
        <v>73</v>
      </c>
      <c r="B196" s="3" t="s">
        <v>93</v>
      </c>
      <c r="C196" s="3" t="s">
        <v>80</v>
      </c>
      <c r="D196" s="248">
        <v>790.7</v>
      </c>
      <c r="E196" s="252"/>
      <c r="F196" s="248">
        <f>D196+E196</f>
        <v>790.7</v>
      </c>
      <c r="G196" s="73"/>
    </row>
    <row r="197" spans="1:7" ht="24" x14ac:dyDescent="0.2">
      <c r="A197" s="4" t="s">
        <v>94</v>
      </c>
      <c r="B197" s="3" t="s">
        <v>403</v>
      </c>
      <c r="C197" s="3"/>
      <c r="D197" s="241">
        <f>D201+D198</f>
        <v>3289.4399999999996</v>
      </c>
      <c r="E197" s="241">
        <f>E201+E198</f>
        <v>0</v>
      </c>
      <c r="F197" s="241">
        <f>F201+F198</f>
        <v>3289.4399999999996</v>
      </c>
    </row>
    <row r="198" spans="1:7" ht="24" x14ac:dyDescent="0.2">
      <c r="A198" s="4" t="s">
        <v>404</v>
      </c>
      <c r="B198" s="3" t="s">
        <v>407</v>
      </c>
      <c r="C198" s="3"/>
      <c r="D198" s="241">
        <f>D200+D199</f>
        <v>1670.34</v>
      </c>
      <c r="E198" s="241">
        <f t="shared" ref="E198:F198" si="93">E200+E199</f>
        <v>0</v>
      </c>
      <c r="F198" s="241">
        <f t="shared" si="93"/>
        <v>1670.34</v>
      </c>
    </row>
    <row r="199" spans="1:7" ht="24.75" x14ac:dyDescent="0.25">
      <c r="A199" s="4" t="s">
        <v>47</v>
      </c>
      <c r="B199" s="3" t="s">
        <v>407</v>
      </c>
      <c r="C199" s="3" t="s">
        <v>51</v>
      </c>
      <c r="D199" s="248">
        <v>315</v>
      </c>
      <c r="E199" s="252"/>
      <c r="F199" s="248">
        <f>D199+E199</f>
        <v>315</v>
      </c>
    </row>
    <row r="200" spans="1:7" ht="24.75" x14ac:dyDescent="0.25">
      <c r="A200" s="4" t="s">
        <v>70</v>
      </c>
      <c r="B200" s="3" t="s">
        <v>407</v>
      </c>
      <c r="C200" s="3" t="s">
        <v>69</v>
      </c>
      <c r="D200" s="252">
        <v>1355.34</v>
      </c>
      <c r="E200" s="252"/>
      <c r="F200" s="252">
        <f>D200+E200</f>
        <v>1355.34</v>
      </c>
    </row>
    <row r="201" spans="1:7" ht="36" x14ac:dyDescent="0.2">
      <c r="A201" s="4" t="s">
        <v>296</v>
      </c>
      <c r="B201" s="3" t="s">
        <v>408</v>
      </c>
      <c r="C201" s="3"/>
      <c r="D201" s="241">
        <f>D202+D203+D204</f>
        <v>1619.1</v>
      </c>
      <c r="E201" s="241">
        <f t="shared" ref="E201:F201" si="94">E202+E203+E204</f>
        <v>0</v>
      </c>
      <c r="F201" s="241">
        <f t="shared" si="94"/>
        <v>1619.1</v>
      </c>
    </row>
    <row r="202" spans="1:7" ht="24.75" x14ac:dyDescent="0.25">
      <c r="A202" s="4" t="s">
        <v>47</v>
      </c>
      <c r="B202" s="3" t="s">
        <v>408</v>
      </c>
      <c r="C202" s="3" t="s">
        <v>51</v>
      </c>
      <c r="D202" s="248">
        <v>1476.6</v>
      </c>
      <c r="E202" s="252">
        <v>-464</v>
      </c>
      <c r="F202" s="248">
        <f>D202+E202</f>
        <v>1012.5999999999999</v>
      </c>
    </row>
    <row r="203" spans="1:7" ht="15" x14ac:dyDescent="0.25">
      <c r="A203" s="4" t="s">
        <v>8</v>
      </c>
      <c r="B203" s="3" t="s">
        <v>408</v>
      </c>
      <c r="C203" s="3" t="s">
        <v>5</v>
      </c>
      <c r="D203" s="248">
        <v>120</v>
      </c>
      <c r="E203" s="252">
        <v>464</v>
      </c>
      <c r="F203" s="248">
        <f>D203+E203</f>
        <v>584</v>
      </c>
    </row>
    <row r="204" spans="1:7" ht="24.75" x14ac:dyDescent="0.25">
      <c r="A204" s="4" t="s">
        <v>73</v>
      </c>
      <c r="B204" s="3" t="s">
        <v>408</v>
      </c>
      <c r="C204" s="3" t="s">
        <v>5</v>
      </c>
      <c r="D204" s="248">
        <v>22.5</v>
      </c>
      <c r="E204" s="252"/>
      <c r="F204" s="248">
        <f>D204+E204</f>
        <v>22.5</v>
      </c>
    </row>
    <row r="205" spans="1:7" ht="24" x14ac:dyDescent="0.2">
      <c r="A205" s="4" t="s">
        <v>229</v>
      </c>
      <c r="B205" s="3" t="s">
        <v>300</v>
      </c>
      <c r="C205" s="3"/>
      <c r="D205" s="242">
        <f>D206+D211+D209</f>
        <v>2211.9953100000002</v>
      </c>
      <c r="E205" s="242">
        <f t="shared" ref="E205:F205" si="95">E206+E211+E209</f>
        <v>0</v>
      </c>
      <c r="F205" s="242">
        <f t="shared" si="95"/>
        <v>2211.9953100000002</v>
      </c>
    </row>
    <row r="206" spans="1:7" ht="24.75" x14ac:dyDescent="0.25">
      <c r="A206" s="4" t="s">
        <v>302</v>
      </c>
      <c r="B206" s="3" t="s">
        <v>301</v>
      </c>
      <c r="C206" s="3"/>
      <c r="D206" s="249">
        <f>D207+D208</f>
        <v>677.82</v>
      </c>
      <c r="E206" s="249">
        <f t="shared" ref="E206:F206" si="96">E207+E208</f>
        <v>0</v>
      </c>
      <c r="F206" s="249">
        <f t="shared" si="96"/>
        <v>677.82</v>
      </c>
    </row>
    <row r="207" spans="1:7" ht="24.75" x14ac:dyDescent="0.25">
      <c r="A207" s="4" t="s">
        <v>47</v>
      </c>
      <c r="B207" s="3" t="s">
        <v>301</v>
      </c>
      <c r="C207" s="3" t="s">
        <v>51</v>
      </c>
      <c r="D207" s="248">
        <v>486.43200000000002</v>
      </c>
      <c r="E207" s="249"/>
      <c r="F207" s="248">
        <f>D207+E207</f>
        <v>486.43200000000002</v>
      </c>
      <c r="G207" s="220"/>
    </row>
    <row r="208" spans="1:7" ht="15" x14ac:dyDescent="0.25">
      <c r="A208" s="4" t="s">
        <v>8</v>
      </c>
      <c r="B208" s="3" t="s">
        <v>301</v>
      </c>
      <c r="C208" s="3" t="s">
        <v>5</v>
      </c>
      <c r="D208" s="248">
        <v>191.38800000000001</v>
      </c>
      <c r="E208" s="249"/>
      <c r="F208" s="248">
        <f>D208+E208</f>
        <v>191.38800000000001</v>
      </c>
      <c r="G208" s="221"/>
    </row>
    <row r="209" spans="1:7" ht="15" x14ac:dyDescent="0.25">
      <c r="A209" s="4" t="s">
        <v>587</v>
      </c>
      <c r="B209" s="3" t="s">
        <v>588</v>
      </c>
      <c r="C209" s="3"/>
      <c r="D209" s="249">
        <f>D210</f>
        <v>530</v>
      </c>
      <c r="E209" s="249">
        <f t="shared" ref="E209:F209" si="97">E210</f>
        <v>0</v>
      </c>
      <c r="F209" s="249">
        <f t="shared" si="97"/>
        <v>530</v>
      </c>
      <c r="G209" s="221"/>
    </row>
    <row r="210" spans="1:7" ht="24.75" x14ac:dyDescent="0.25">
      <c r="A210" s="4" t="s">
        <v>47</v>
      </c>
      <c r="B210" s="3" t="s">
        <v>588</v>
      </c>
      <c r="C210" s="3" t="s">
        <v>51</v>
      </c>
      <c r="D210" s="249">
        <v>530</v>
      </c>
      <c r="E210" s="249"/>
      <c r="F210" s="249">
        <f>D210+E210</f>
        <v>530</v>
      </c>
      <c r="G210" s="221"/>
    </row>
    <row r="211" spans="1:7" ht="36.75" x14ac:dyDescent="0.25">
      <c r="A211" s="4" t="s">
        <v>548</v>
      </c>
      <c r="B211" s="3" t="s">
        <v>547</v>
      </c>
      <c r="C211" s="3"/>
      <c r="D211" s="249">
        <f t="shared" ref="D211:F211" si="98">D212</f>
        <v>1004.17531</v>
      </c>
      <c r="E211" s="249">
        <f t="shared" si="98"/>
        <v>0</v>
      </c>
      <c r="F211" s="249">
        <f t="shared" si="98"/>
        <v>1004.17531</v>
      </c>
      <c r="G211" s="221"/>
    </row>
    <row r="212" spans="1:7" ht="24.75" x14ac:dyDescent="0.25">
      <c r="A212" s="4" t="s">
        <v>47</v>
      </c>
      <c r="B212" s="3" t="s">
        <v>547</v>
      </c>
      <c r="C212" s="3" t="s">
        <v>51</v>
      </c>
      <c r="D212" s="248">
        <v>1004.17531</v>
      </c>
      <c r="E212" s="249"/>
      <c r="F212" s="248">
        <f>D212+E212</f>
        <v>1004.17531</v>
      </c>
      <c r="G212" s="221"/>
    </row>
    <row r="213" spans="1:7" ht="48.75" x14ac:dyDescent="0.25">
      <c r="A213" s="4" t="s">
        <v>385</v>
      </c>
      <c r="B213" s="3" t="s">
        <v>386</v>
      </c>
      <c r="C213" s="3"/>
      <c r="D213" s="249">
        <f>D214</f>
        <v>5551.8</v>
      </c>
      <c r="E213" s="249">
        <f t="shared" ref="E213:F213" si="99">E214</f>
        <v>811.15899999999999</v>
      </c>
      <c r="F213" s="249">
        <f t="shared" si="99"/>
        <v>6362.9589999999998</v>
      </c>
    </row>
    <row r="214" spans="1:7" ht="15" x14ac:dyDescent="0.25">
      <c r="A214" s="4" t="s">
        <v>552</v>
      </c>
      <c r="B214" s="3" t="s">
        <v>387</v>
      </c>
      <c r="C214" s="3"/>
      <c r="D214" s="249">
        <f>D215+D218</f>
        <v>5551.8</v>
      </c>
      <c r="E214" s="249">
        <f t="shared" ref="E214:F214" si="100">E215+E218</f>
        <v>811.15899999999999</v>
      </c>
      <c r="F214" s="249">
        <f t="shared" si="100"/>
        <v>6362.9589999999998</v>
      </c>
    </row>
    <row r="215" spans="1:7" ht="15" x14ac:dyDescent="0.25">
      <c r="A215" s="4" t="s">
        <v>551</v>
      </c>
      <c r="B215" s="3" t="s">
        <v>388</v>
      </c>
      <c r="C215" s="3"/>
      <c r="D215" s="249">
        <f>D216+D217</f>
        <v>5444.8</v>
      </c>
      <c r="E215" s="249">
        <f t="shared" ref="E215:F215" si="101">E216+E217</f>
        <v>811.15899999999999</v>
      </c>
      <c r="F215" s="249">
        <f t="shared" si="101"/>
        <v>6255.9589999999998</v>
      </c>
    </row>
    <row r="216" spans="1:7" ht="24.75" x14ac:dyDescent="0.25">
      <c r="A216" s="4" t="s">
        <v>47</v>
      </c>
      <c r="B216" s="3" t="s">
        <v>388</v>
      </c>
      <c r="C216" s="3" t="s">
        <v>51</v>
      </c>
      <c r="D216" s="248">
        <v>5172.3310000000001</v>
      </c>
      <c r="E216" s="249">
        <v>811.15899999999999</v>
      </c>
      <c r="F216" s="248">
        <f>D216+E216</f>
        <v>5983.49</v>
      </c>
    </row>
    <row r="217" spans="1:7" x14ac:dyDescent="0.2">
      <c r="A217" s="4" t="s">
        <v>8</v>
      </c>
      <c r="B217" s="3" t="s">
        <v>388</v>
      </c>
      <c r="C217" s="3" t="s">
        <v>5</v>
      </c>
      <c r="D217" s="240">
        <v>272.46899999999999</v>
      </c>
      <c r="E217" s="240"/>
      <c r="F217" s="240">
        <f>D217+E217</f>
        <v>272.46899999999999</v>
      </c>
    </row>
    <row r="218" spans="1:7" ht="24.75" x14ac:dyDescent="0.25">
      <c r="A218" s="4" t="s">
        <v>578</v>
      </c>
      <c r="B218" s="3" t="s">
        <v>550</v>
      </c>
      <c r="C218" s="3"/>
      <c r="D218" s="249">
        <f t="shared" ref="D218:F218" si="102">D219</f>
        <v>107</v>
      </c>
      <c r="E218" s="249">
        <f t="shared" si="102"/>
        <v>0</v>
      </c>
      <c r="F218" s="249">
        <f t="shared" si="102"/>
        <v>107</v>
      </c>
    </row>
    <row r="219" spans="1:7" ht="24.75" x14ac:dyDescent="0.25">
      <c r="A219" s="4" t="s">
        <v>47</v>
      </c>
      <c r="B219" s="3" t="s">
        <v>550</v>
      </c>
      <c r="C219" s="3" t="s">
        <v>51</v>
      </c>
      <c r="D219" s="248">
        <v>107</v>
      </c>
      <c r="E219" s="249"/>
      <c r="F219" s="248">
        <f>D219+E219</f>
        <v>107</v>
      </c>
    </row>
    <row r="220" spans="1:7" ht="48" x14ac:dyDescent="0.2">
      <c r="A220" s="4" t="s">
        <v>380</v>
      </c>
      <c r="B220" s="3" t="s">
        <v>415</v>
      </c>
      <c r="C220" s="3"/>
      <c r="D220" s="242">
        <f t="shared" ref="D220:F222" si="103">D221</f>
        <v>15</v>
      </c>
      <c r="E220" s="242">
        <f t="shared" si="103"/>
        <v>0</v>
      </c>
      <c r="F220" s="242">
        <f t="shared" si="103"/>
        <v>15</v>
      </c>
    </row>
    <row r="221" spans="1:7" ht="24" x14ac:dyDescent="0.2">
      <c r="A221" s="4" t="s">
        <v>381</v>
      </c>
      <c r="B221" s="3" t="s">
        <v>506</v>
      </c>
      <c r="C221" s="3"/>
      <c r="D221" s="242">
        <f t="shared" si="103"/>
        <v>15</v>
      </c>
      <c r="E221" s="242">
        <f t="shared" si="103"/>
        <v>0</v>
      </c>
      <c r="F221" s="242">
        <f t="shared" si="103"/>
        <v>15</v>
      </c>
    </row>
    <row r="222" spans="1:7" ht="24" x14ac:dyDescent="0.2">
      <c r="A222" s="4" t="s">
        <v>348</v>
      </c>
      <c r="B222" s="3" t="s">
        <v>507</v>
      </c>
      <c r="C222" s="3"/>
      <c r="D222" s="242">
        <f t="shared" si="103"/>
        <v>15</v>
      </c>
      <c r="E222" s="242">
        <f t="shared" si="103"/>
        <v>0</v>
      </c>
      <c r="F222" s="242">
        <f t="shared" si="103"/>
        <v>15</v>
      </c>
    </row>
    <row r="223" spans="1:7" ht="24" x14ac:dyDescent="0.2">
      <c r="A223" s="4" t="s">
        <v>47</v>
      </c>
      <c r="B223" s="3" t="s">
        <v>507</v>
      </c>
      <c r="C223" s="3" t="s">
        <v>51</v>
      </c>
      <c r="D223" s="240">
        <v>15</v>
      </c>
      <c r="E223" s="242"/>
      <c r="F223" s="240">
        <f>D223+E223</f>
        <v>15</v>
      </c>
    </row>
    <row r="224" spans="1:7" ht="72" x14ac:dyDescent="0.2">
      <c r="A224" s="4" t="s">
        <v>291</v>
      </c>
      <c r="B224" s="4" t="s">
        <v>582</v>
      </c>
      <c r="C224" s="4"/>
      <c r="D224" s="253">
        <f>D225+D231</f>
        <v>9534.5894999999982</v>
      </c>
      <c r="E224" s="253">
        <f>E225+E231</f>
        <v>0</v>
      </c>
      <c r="F224" s="253">
        <f t="shared" ref="F224" si="104">F225+F231</f>
        <v>9534.5894999999982</v>
      </c>
    </row>
    <row r="225" spans="1:13" ht="36" x14ac:dyDescent="0.2">
      <c r="A225" s="4" t="s">
        <v>276</v>
      </c>
      <c r="B225" s="4" t="s">
        <v>583</v>
      </c>
      <c r="C225" s="4"/>
      <c r="D225" s="253">
        <f>D226+D228</f>
        <v>8161.9669099999992</v>
      </c>
      <c r="E225" s="253">
        <f>E226+E228</f>
        <v>0</v>
      </c>
      <c r="F225" s="253">
        <f>F226+F228</f>
        <v>8161.9669099999992</v>
      </c>
    </row>
    <row r="226" spans="1:13" ht="36.75" x14ac:dyDescent="0.25">
      <c r="A226" s="4" t="s">
        <v>235</v>
      </c>
      <c r="B226" s="4" t="s">
        <v>584</v>
      </c>
      <c r="C226" s="4"/>
      <c r="D226" s="252">
        <f t="shared" ref="D226:F226" si="105">D227</f>
        <v>4215.4405299999999</v>
      </c>
      <c r="E226" s="252">
        <f t="shared" si="105"/>
        <v>0</v>
      </c>
      <c r="F226" s="252">
        <f t="shared" si="105"/>
        <v>4215.4405299999999</v>
      </c>
    </row>
    <row r="227" spans="1:13" ht="48.75" x14ac:dyDescent="0.25">
      <c r="A227" s="4" t="s">
        <v>38</v>
      </c>
      <c r="B227" s="4" t="s">
        <v>584</v>
      </c>
      <c r="C227" s="4" t="s">
        <v>34</v>
      </c>
      <c r="D227" s="248">
        <v>4215.4405299999999</v>
      </c>
      <c r="E227" s="252"/>
      <c r="F227" s="248">
        <f>D227+E227</f>
        <v>4215.4405299999999</v>
      </c>
    </row>
    <row r="228" spans="1:13" ht="24.75" x14ac:dyDescent="0.25">
      <c r="A228" s="4" t="s">
        <v>236</v>
      </c>
      <c r="B228" s="4" t="s">
        <v>585</v>
      </c>
      <c r="C228" s="4"/>
      <c r="D228" s="252">
        <f t="shared" ref="D228" si="106">D229+D230</f>
        <v>3946.5263799999998</v>
      </c>
      <c r="E228" s="252">
        <f>E229+E230</f>
        <v>0</v>
      </c>
      <c r="F228" s="252">
        <f>F229+F230</f>
        <v>3946.5263799999998</v>
      </c>
    </row>
    <row r="229" spans="1:13" ht="24.75" x14ac:dyDescent="0.25">
      <c r="A229" s="4" t="s">
        <v>47</v>
      </c>
      <c r="B229" s="4" t="s">
        <v>585</v>
      </c>
      <c r="C229" s="4" t="s">
        <v>51</v>
      </c>
      <c r="D229" s="248">
        <v>3376.9263799999999</v>
      </c>
      <c r="E229" s="252"/>
      <c r="F229" s="248">
        <f>D229+E229</f>
        <v>3376.9263799999999</v>
      </c>
    </row>
    <row r="230" spans="1:13" ht="24.75" x14ac:dyDescent="0.25">
      <c r="A230" s="4" t="s">
        <v>73</v>
      </c>
      <c r="B230" s="4" t="s">
        <v>585</v>
      </c>
      <c r="C230" s="4" t="s">
        <v>80</v>
      </c>
      <c r="D230" s="248">
        <v>569.6</v>
      </c>
      <c r="E230" s="252"/>
      <c r="F230" s="248">
        <f>D230+E230</f>
        <v>569.6</v>
      </c>
    </row>
    <row r="231" spans="1:13" ht="15" x14ac:dyDescent="0.25">
      <c r="A231" s="4" t="s">
        <v>527</v>
      </c>
      <c r="B231" s="3" t="s">
        <v>586</v>
      </c>
      <c r="C231" s="3"/>
      <c r="D231" s="248">
        <f>D232</f>
        <v>1372.6225899999999</v>
      </c>
      <c r="E231" s="248">
        <f t="shared" ref="E231:F231" si="107">E232</f>
        <v>0</v>
      </c>
      <c r="F231" s="248">
        <f t="shared" si="107"/>
        <v>1372.6225899999999</v>
      </c>
    </row>
    <row r="232" spans="1:13" ht="48.75" x14ac:dyDescent="0.25">
      <c r="A232" s="4" t="s">
        <v>38</v>
      </c>
      <c r="B232" s="3" t="s">
        <v>586</v>
      </c>
      <c r="C232" s="3">
        <v>100</v>
      </c>
      <c r="D232" s="248">
        <v>1372.6225899999999</v>
      </c>
      <c r="E232" s="249"/>
      <c r="F232" s="248">
        <f t="shared" ref="F232" si="108">D232+E232</f>
        <v>1372.6225899999999</v>
      </c>
    </row>
    <row r="233" spans="1:13" ht="48" x14ac:dyDescent="0.2">
      <c r="A233" s="4" t="s">
        <v>389</v>
      </c>
      <c r="B233" s="3" t="s">
        <v>390</v>
      </c>
      <c r="C233" s="3"/>
      <c r="D233" s="243">
        <f>D234</f>
        <v>16099.8181</v>
      </c>
      <c r="E233" s="243">
        <f t="shared" ref="E233:F233" si="109">E234</f>
        <v>259</v>
      </c>
      <c r="F233" s="243">
        <f t="shared" si="109"/>
        <v>16358.8181</v>
      </c>
    </row>
    <row r="234" spans="1:13" ht="36" x14ac:dyDescent="0.2">
      <c r="A234" s="4" t="s">
        <v>96</v>
      </c>
      <c r="B234" s="3" t="s">
        <v>391</v>
      </c>
      <c r="C234" s="3"/>
      <c r="D234" s="243">
        <f>D235+D238+D240</f>
        <v>16099.8181</v>
      </c>
      <c r="E234" s="243">
        <f t="shared" ref="E234:F234" si="110">E235+E238+E240</f>
        <v>259</v>
      </c>
      <c r="F234" s="243">
        <f t="shared" si="110"/>
        <v>16358.8181</v>
      </c>
    </row>
    <row r="235" spans="1:13" ht="36" x14ac:dyDescent="0.2">
      <c r="A235" s="4" t="s">
        <v>292</v>
      </c>
      <c r="B235" s="3" t="s">
        <v>392</v>
      </c>
      <c r="C235" s="3"/>
      <c r="D235" s="243">
        <f t="shared" ref="D235:F235" si="111">D236+D237</f>
        <v>15740.8181</v>
      </c>
      <c r="E235" s="243">
        <f>E236+E237</f>
        <v>259</v>
      </c>
      <c r="F235" s="243">
        <f t="shared" si="111"/>
        <v>15999.8181</v>
      </c>
    </row>
    <row r="236" spans="1:13" ht="24" x14ac:dyDescent="0.2">
      <c r="A236" s="4" t="s">
        <v>47</v>
      </c>
      <c r="B236" s="3" t="s">
        <v>392</v>
      </c>
      <c r="C236" s="3" t="s">
        <v>51</v>
      </c>
      <c r="D236" s="240">
        <v>14053.4781</v>
      </c>
      <c r="E236" s="243">
        <v>259</v>
      </c>
      <c r="F236" s="240">
        <f>D236+E236</f>
        <v>14312.4781</v>
      </c>
      <c r="G236" s="2"/>
      <c r="H236" s="9">
        <f>5175.6</f>
        <v>5175.6000000000004</v>
      </c>
      <c r="I236" s="2">
        <f>G236+H236</f>
        <v>5175.6000000000004</v>
      </c>
      <c r="J236" s="9"/>
      <c r="K236" s="9">
        <f>5175.6</f>
        <v>5175.6000000000004</v>
      </c>
      <c r="L236" s="2">
        <f>J236+K236</f>
        <v>5175.6000000000004</v>
      </c>
      <c r="M236" s="9">
        <f>5175.6</f>
        <v>5175.6000000000004</v>
      </c>
    </row>
    <row r="237" spans="1:13" ht="24" x14ac:dyDescent="0.2">
      <c r="A237" s="7" t="s">
        <v>73</v>
      </c>
      <c r="B237" s="3" t="s">
        <v>392</v>
      </c>
      <c r="C237" s="3" t="s">
        <v>80</v>
      </c>
      <c r="D237" s="240">
        <v>1687.34</v>
      </c>
      <c r="E237" s="243"/>
      <c r="F237" s="240">
        <f>D237+E237</f>
        <v>1687.34</v>
      </c>
      <c r="G237" s="2"/>
      <c r="H237" s="9">
        <f>314.24</f>
        <v>314.24</v>
      </c>
      <c r="I237" s="2">
        <f>G237+H237</f>
        <v>314.24</v>
      </c>
      <c r="J237" s="9"/>
      <c r="K237" s="9">
        <f>314.24</f>
        <v>314.24</v>
      </c>
      <c r="L237" s="2">
        <f>J237+K237</f>
        <v>314.24</v>
      </c>
      <c r="M237" s="9">
        <f>314.24</f>
        <v>314.24</v>
      </c>
    </row>
    <row r="238" spans="1:13" x14ac:dyDescent="0.2">
      <c r="A238" s="4" t="s">
        <v>601</v>
      </c>
      <c r="B238" s="3" t="s">
        <v>602</v>
      </c>
      <c r="C238" s="3"/>
      <c r="D238" s="240">
        <f>D239</f>
        <v>100</v>
      </c>
      <c r="E238" s="240">
        <f t="shared" ref="E238:F240" si="112">E239</f>
        <v>0</v>
      </c>
      <c r="F238" s="240">
        <f t="shared" si="112"/>
        <v>100</v>
      </c>
      <c r="G238" s="77"/>
      <c r="H238" s="212"/>
      <c r="I238" s="77"/>
      <c r="J238" s="212"/>
      <c r="K238" s="212"/>
      <c r="L238" s="77"/>
      <c r="M238" s="212"/>
    </row>
    <row r="239" spans="1:13" ht="24" x14ac:dyDescent="0.2">
      <c r="A239" s="4" t="s">
        <v>73</v>
      </c>
      <c r="B239" s="3" t="s">
        <v>602</v>
      </c>
      <c r="C239" s="3" t="s">
        <v>80</v>
      </c>
      <c r="D239" s="240">
        <v>100</v>
      </c>
      <c r="E239" s="243"/>
      <c r="F239" s="240">
        <f>D239+E239</f>
        <v>100</v>
      </c>
      <c r="G239" s="77"/>
      <c r="H239" s="212"/>
      <c r="I239" s="77"/>
      <c r="J239" s="212"/>
      <c r="K239" s="212"/>
      <c r="L239" s="77"/>
      <c r="M239" s="212"/>
    </row>
    <row r="240" spans="1:13" ht="24" x14ac:dyDescent="0.2">
      <c r="A240" s="7" t="s">
        <v>634</v>
      </c>
      <c r="B240" s="3" t="s">
        <v>633</v>
      </c>
      <c r="C240" s="3"/>
      <c r="D240" s="240">
        <f>D241</f>
        <v>259</v>
      </c>
      <c r="E240" s="240">
        <f t="shared" si="112"/>
        <v>0</v>
      </c>
      <c r="F240" s="240">
        <f t="shared" si="112"/>
        <v>259</v>
      </c>
      <c r="G240" s="77"/>
      <c r="H240" s="212"/>
      <c r="I240" s="77"/>
      <c r="J240" s="212"/>
      <c r="K240" s="212"/>
      <c r="L240" s="77"/>
      <c r="M240" s="212"/>
    </row>
    <row r="241" spans="1:13" ht="24" x14ac:dyDescent="0.2">
      <c r="A241" s="4" t="s">
        <v>73</v>
      </c>
      <c r="B241" s="3" t="s">
        <v>633</v>
      </c>
      <c r="C241" s="3" t="s">
        <v>80</v>
      </c>
      <c r="D241" s="240">
        <v>259</v>
      </c>
      <c r="E241" s="243"/>
      <c r="F241" s="240">
        <f>D241+E241</f>
        <v>259</v>
      </c>
      <c r="G241" s="77"/>
      <c r="H241" s="212"/>
      <c r="I241" s="77"/>
      <c r="J241" s="212"/>
      <c r="K241" s="212"/>
      <c r="L241" s="77"/>
      <c r="M241" s="212"/>
    </row>
    <row r="242" spans="1:13" ht="48" x14ac:dyDescent="0.2">
      <c r="A242" s="4" t="s">
        <v>393</v>
      </c>
      <c r="B242" s="3" t="s">
        <v>394</v>
      </c>
      <c r="C242" s="3"/>
      <c r="D242" s="243">
        <f>D243</f>
        <v>1543.0900000000001</v>
      </c>
      <c r="E242" s="243">
        <f t="shared" ref="E242:F242" si="113">E243</f>
        <v>0</v>
      </c>
      <c r="F242" s="243">
        <f t="shared" si="113"/>
        <v>1543.0900000000001</v>
      </c>
    </row>
    <row r="243" spans="1:13" ht="24" x14ac:dyDescent="0.2">
      <c r="A243" s="4" t="s">
        <v>101</v>
      </c>
      <c r="B243" s="3" t="s">
        <v>395</v>
      </c>
      <c r="C243" s="3"/>
      <c r="D243" s="243">
        <f>D244</f>
        <v>1543.0900000000001</v>
      </c>
      <c r="E243" s="243">
        <f>E244</f>
        <v>0</v>
      </c>
      <c r="F243" s="243">
        <f>F244</f>
        <v>1543.0900000000001</v>
      </c>
    </row>
    <row r="244" spans="1:13" ht="24" x14ac:dyDescent="0.2">
      <c r="A244" s="4" t="s">
        <v>293</v>
      </c>
      <c r="B244" s="3" t="s">
        <v>396</v>
      </c>
      <c r="C244" s="3"/>
      <c r="D244" s="243">
        <f>D245+D246</f>
        <v>1543.0900000000001</v>
      </c>
      <c r="E244" s="243">
        <f t="shared" ref="E244:F244" si="114">E245+E246</f>
        <v>0</v>
      </c>
      <c r="F244" s="243">
        <f t="shared" si="114"/>
        <v>1543.0900000000001</v>
      </c>
    </row>
    <row r="245" spans="1:13" ht="24" x14ac:dyDescent="0.2">
      <c r="A245" s="4" t="s">
        <v>47</v>
      </c>
      <c r="B245" s="3" t="s">
        <v>396</v>
      </c>
      <c r="C245" s="3" t="s">
        <v>51</v>
      </c>
      <c r="D245" s="240">
        <v>358.63</v>
      </c>
      <c r="E245" s="240"/>
      <c r="F245" s="240">
        <f>D245+E245</f>
        <v>358.63</v>
      </c>
    </row>
    <row r="246" spans="1:13" x14ac:dyDescent="0.2">
      <c r="A246" s="4" t="s">
        <v>8</v>
      </c>
      <c r="B246" s="3" t="s">
        <v>396</v>
      </c>
      <c r="C246" s="3" t="s">
        <v>5</v>
      </c>
      <c r="D246" s="240">
        <v>1184.46</v>
      </c>
      <c r="E246" s="240"/>
      <c r="F246" s="240">
        <f>D246+E246</f>
        <v>1184.46</v>
      </c>
    </row>
    <row r="247" spans="1:13" ht="60" x14ac:dyDescent="0.2">
      <c r="A247" s="4" t="s">
        <v>363</v>
      </c>
      <c r="B247" s="3" t="s">
        <v>435</v>
      </c>
      <c r="C247" s="3"/>
      <c r="D247" s="240">
        <f>D248+D251</f>
        <v>1455.9480100000001</v>
      </c>
      <c r="E247" s="240">
        <f>E248+E251</f>
        <v>0</v>
      </c>
      <c r="F247" s="240">
        <f t="shared" ref="F247" si="115">F248+F251</f>
        <v>1455.9480100000001</v>
      </c>
    </row>
    <row r="248" spans="1:13" ht="24" x14ac:dyDescent="0.2">
      <c r="A248" s="4" t="s">
        <v>252</v>
      </c>
      <c r="B248" s="3" t="s">
        <v>436</v>
      </c>
      <c r="C248" s="3"/>
      <c r="D248" s="240">
        <f t="shared" ref="D248:F249" si="116">D249</f>
        <v>1455.9480100000001</v>
      </c>
      <c r="E248" s="240">
        <f t="shared" si="116"/>
        <v>0</v>
      </c>
      <c r="F248" s="240">
        <f t="shared" si="116"/>
        <v>1455.9480100000001</v>
      </c>
    </row>
    <row r="249" spans="1:13" ht="24" x14ac:dyDescent="0.2">
      <c r="A249" s="4" t="s">
        <v>82</v>
      </c>
      <c r="B249" s="3" t="s">
        <v>437</v>
      </c>
      <c r="C249" s="3"/>
      <c r="D249" s="240">
        <f t="shared" si="116"/>
        <v>1455.9480100000001</v>
      </c>
      <c r="E249" s="240">
        <f t="shared" si="116"/>
        <v>0</v>
      </c>
      <c r="F249" s="240">
        <f t="shared" si="116"/>
        <v>1455.9480100000001</v>
      </c>
    </row>
    <row r="250" spans="1:13" ht="48" x14ac:dyDescent="0.2">
      <c r="A250" s="4" t="s">
        <v>38</v>
      </c>
      <c r="B250" s="3" t="s">
        <v>437</v>
      </c>
      <c r="C250" s="3" t="s">
        <v>34</v>
      </c>
      <c r="D250" s="240">
        <v>1455.9480100000001</v>
      </c>
      <c r="E250" s="240"/>
      <c r="F250" s="240">
        <f>D250+E250</f>
        <v>1455.9480100000001</v>
      </c>
    </row>
    <row r="251" spans="1:13" x14ac:dyDescent="0.2">
      <c r="A251" s="4" t="s">
        <v>527</v>
      </c>
      <c r="B251" s="3" t="s">
        <v>536</v>
      </c>
      <c r="C251" s="3"/>
      <c r="D251" s="240">
        <f>D252</f>
        <v>0</v>
      </c>
      <c r="E251" s="240">
        <f t="shared" ref="E251:F251" si="117">E252</f>
        <v>0</v>
      </c>
      <c r="F251" s="240">
        <f t="shared" si="117"/>
        <v>0</v>
      </c>
    </row>
    <row r="252" spans="1:13" ht="48" x14ac:dyDescent="0.2">
      <c r="A252" s="4" t="s">
        <v>38</v>
      </c>
      <c r="B252" s="3" t="s">
        <v>536</v>
      </c>
      <c r="C252" s="3" t="s">
        <v>34</v>
      </c>
      <c r="D252" s="240"/>
      <c r="E252" s="240"/>
      <c r="F252" s="240">
        <f>D252+E252</f>
        <v>0</v>
      </c>
    </row>
    <row r="253" spans="1:13" ht="48" x14ac:dyDescent="0.2">
      <c r="A253" s="4" t="s">
        <v>364</v>
      </c>
      <c r="B253" s="3" t="s">
        <v>438</v>
      </c>
      <c r="C253" s="3"/>
      <c r="D253" s="240">
        <f>D254+D260</f>
        <v>4239.24881</v>
      </c>
      <c r="E253" s="240">
        <f t="shared" ref="E253:F253" si="118">E254+E260</f>
        <v>0</v>
      </c>
      <c r="F253" s="240">
        <f t="shared" si="118"/>
        <v>4239.24881</v>
      </c>
    </row>
    <row r="254" spans="1:13" ht="36" x14ac:dyDescent="0.2">
      <c r="A254" s="4" t="s">
        <v>253</v>
      </c>
      <c r="B254" s="3" t="s">
        <v>439</v>
      </c>
      <c r="C254" s="3"/>
      <c r="D254" s="240">
        <f>D255+D257</f>
        <v>3980.3799600000002</v>
      </c>
      <c r="E254" s="240">
        <f t="shared" ref="E254:F254" si="119">E255+E257</f>
        <v>0</v>
      </c>
      <c r="F254" s="240">
        <f t="shared" si="119"/>
        <v>3980.3799600000002</v>
      </c>
    </row>
    <row r="255" spans="1:13" ht="24" x14ac:dyDescent="0.2">
      <c r="A255" s="4" t="s">
        <v>82</v>
      </c>
      <c r="B255" s="3" t="s">
        <v>440</v>
      </c>
      <c r="C255" s="3"/>
      <c r="D255" s="240">
        <f t="shared" ref="D255:F255" si="120">D256</f>
        <v>1959.7142100000001</v>
      </c>
      <c r="E255" s="240">
        <f t="shared" si="120"/>
        <v>0</v>
      </c>
      <c r="F255" s="240">
        <f t="shared" si="120"/>
        <v>1959.7142100000001</v>
      </c>
    </row>
    <row r="256" spans="1:13" ht="48" x14ac:dyDescent="0.2">
      <c r="A256" s="4" t="s">
        <v>38</v>
      </c>
      <c r="B256" s="3" t="s">
        <v>440</v>
      </c>
      <c r="C256" s="3" t="s">
        <v>34</v>
      </c>
      <c r="D256" s="240">
        <v>1959.7142100000001</v>
      </c>
      <c r="E256" s="240"/>
      <c r="F256" s="240">
        <f>D256+E256</f>
        <v>1959.7142100000001</v>
      </c>
    </row>
    <row r="257" spans="1:6" ht="24" x14ac:dyDescent="0.2">
      <c r="A257" s="4" t="s">
        <v>81</v>
      </c>
      <c r="B257" s="3" t="s">
        <v>441</v>
      </c>
      <c r="C257" s="3"/>
      <c r="D257" s="240">
        <f>D258+D259</f>
        <v>2020.6657500000001</v>
      </c>
      <c r="E257" s="240">
        <f>E258+E259</f>
        <v>0</v>
      </c>
      <c r="F257" s="240">
        <f t="shared" ref="F257" si="121">F258+F259</f>
        <v>2020.6657500000001</v>
      </c>
    </row>
    <row r="258" spans="1:6" ht="24" x14ac:dyDescent="0.2">
      <c r="A258" s="4" t="s">
        <v>47</v>
      </c>
      <c r="B258" s="3" t="s">
        <v>441</v>
      </c>
      <c r="C258" s="3" t="s">
        <v>51</v>
      </c>
      <c r="D258" s="240">
        <v>2007.5127500000001</v>
      </c>
      <c r="E258" s="240">
        <v>-7.5</v>
      </c>
      <c r="F258" s="240">
        <f>D258+E258</f>
        <v>2000.0127500000001</v>
      </c>
    </row>
    <row r="259" spans="1:6" ht="24" x14ac:dyDescent="0.2">
      <c r="A259" s="4" t="s">
        <v>73</v>
      </c>
      <c r="B259" s="3" t="s">
        <v>441</v>
      </c>
      <c r="C259" s="3" t="s">
        <v>80</v>
      </c>
      <c r="D259" s="240">
        <v>13.153</v>
      </c>
      <c r="E259" s="240">
        <v>7.5</v>
      </c>
      <c r="F259" s="240">
        <f>D259+E259</f>
        <v>20.652999999999999</v>
      </c>
    </row>
    <row r="260" spans="1:6" x14ac:dyDescent="0.2">
      <c r="A260" s="4" t="s">
        <v>527</v>
      </c>
      <c r="B260" s="3" t="s">
        <v>537</v>
      </c>
      <c r="C260" s="3"/>
      <c r="D260" s="240">
        <f t="shared" ref="D260:F260" si="122">D261</f>
        <v>258.86885000000001</v>
      </c>
      <c r="E260" s="240">
        <f t="shared" si="122"/>
        <v>0</v>
      </c>
      <c r="F260" s="240">
        <f t="shared" si="122"/>
        <v>258.86885000000001</v>
      </c>
    </row>
    <row r="261" spans="1:6" ht="48" x14ac:dyDescent="0.2">
      <c r="A261" s="4" t="s">
        <v>38</v>
      </c>
      <c r="B261" s="3" t="s">
        <v>537</v>
      </c>
      <c r="C261" s="3" t="s">
        <v>34</v>
      </c>
      <c r="D261" s="240">
        <v>258.86885000000001</v>
      </c>
      <c r="E261" s="240"/>
      <c r="F261" s="240">
        <f>D261+E261</f>
        <v>258.86885000000001</v>
      </c>
    </row>
    <row r="262" spans="1:6" ht="60" x14ac:dyDescent="0.2">
      <c r="A262" s="4" t="s">
        <v>365</v>
      </c>
      <c r="B262" s="3" t="s">
        <v>442</v>
      </c>
      <c r="C262" s="3"/>
      <c r="D262" s="240">
        <f>D263+D268+D270</f>
        <v>10415.27471</v>
      </c>
      <c r="E262" s="240">
        <f t="shared" ref="E262:F262" si="123">E263+E268+E270</f>
        <v>0</v>
      </c>
      <c r="F262" s="240">
        <f t="shared" si="123"/>
        <v>10415.27471</v>
      </c>
    </row>
    <row r="263" spans="1:6" ht="24" x14ac:dyDescent="0.2">
      <c r="A263" s="67" t="s">
        <v>332</v>
      </c>
      <c r="B263" s="3" t="s">
        <v>443</v>
      </c>
      <c r="C263" s="3"/>
      <c r="D263" s="240">
        <f t="shared" ref="D263:F263" si="124">D264+D266</f>
        <v>3502.0227100000002</v>
      </c>
      <c r="E263" s="240">
        <f t="shared" si="124"/>
        <v>0</v>
      </c>
      <c r="F263" s="240">
        <f t="shared" si="124"/>
        <v>3502.0227100000002</v>
      </c>
    </row>
    <row r="264" spans="1:6" ht="24" x14ac:dyDescent="0.2">
      <c r="A264" s="4" t="s">
        <v>366</v>
      </c>
      <c r="B264" s="3" t="s">
        <v>444</v>
      </c>
      <c r="C264" s="3"/>
      <c r="D264" s="240">
        <f t="shared" ref="D264:F264" si="125">D265</f>
        <v>3131.4670000000001</v>
      </c>
      <c r="E264" s="240">
        <f t="shared" si="125"/>
        <v>0</v>
      </c>
      <c r="F264" s="240">
        <f t="shared" si="125"/>
        <v>3131.4670000000001</v>
      </c>
    </row>
    <row r="265" spans="1:6" ht="48" x14ac:dyDescent="0.2">
      <c r="A265" s="4" t="s">
        <v>38</v>
      </c>
      <c r="B265" s="3" t="s">
        <v>444</v>
      </c>
      <c r="C265" s="3" t="s">
        <v>34</v>
      </c>
      <c r="D265" s="240">
        <v>3131.4670000000001</v>
      </c>
      <c r="E265" s="240"/>
      <c r="F265" s="240">
        <f>D265+E265</f>
        <v>3131.4670000000001</v>
      </c>
    </row>
    <row r="266" spans="1:6" x14ac:dyDescent="0.2">
      <c r="A266" s="4" t="s">
        <v>327</v>
      </c>
      <c r="B266" s="3" t="s">
        <v>445</v>
      </c>
      <c r="C266" s="3"/>
      <c r="D266" s="240">
        <f t="shared" ref="D266:F266" si="126">D267</f>
        <v>370.55570999999998</v>
      </c>
      <c r="E266" s="240">
        <f t="shared" si="126"/>
        <v>0</v>
      </c>
      <c r="F266" s="240">
        <f t="shared" si="126"/>
        <v>370.55570999999998</v>
      </c>
    </row>
    <row r="267" spans="1:6" ht="24" x14ac:dyDescent="0.2">
      <c r="A267" s="4" t="s">
        <v>47</v>
      </c>
      <c r="B267" s="3" t="s">
        <v>445</v>
      </c>
      <c r="C267" s="3" t="s">
        <v>51</v>
      </c>
      <c r="D267" s="240">
        <v>370.55570999999998</v>
      </c>
      <c r="E267" s="240"/>
      <c r="F267" s="240">
        <f>D267+E267</f>
        <v>370.55570999999998</v>
      </c>
    </row>
    <row r="268" spans="1:6" ht="120" x14ac:dyDescent="0.2">
      <c r="A268" s="4" t="s">
        <v>343</v>
      </c>
      <c r="B268" s="3" t="s">
        <v>446</v>
      </c>
      <c r="C268" s="3"/>
      <c r="D268" s="240">
        <f t="shared" ref="D268:F268" si="127">D269</f>
        <v>5827.1</v>
      </c>
      <c r="E268" s="240">
        <f t="shared" si="127"/>
        <v>0</v>
      </c>
      <c r="F268" s="240">
        <f t="shared" si="127"/>
        <v>5827.1</v>
      </c>
    </row>
    <row r="269" spans="1:6" ht="48" x14ac:dyDescent="0.2">
      <c r="A269" s="4" t="s">
        <v>38</v>
      </c>
      <c r="B269" s="3" t="s">
        <v>446</v>
      </c>
      <c r="C269" s="3" t="s">
        <v>34</v>
      </c>
      <c r="D269" s="240">
        <f>4475.499+1351.601</f>
        <v>5827.1</v>
      </c>
      <c r="E269" s="240"/>
      <c r="F269" s="240">
        <f>D269+E269</f>
        <v>5827.1</v>
      </c>
    </row>
    <row r="270" spans="1:6" x14ac:dyDescent="0.2">
      <c r="A270" s="4" t="s">
        <v>527</v>
      </c>
      <c r="B270" s="3" t="s">
        <v>535</v>
      </c>
      <c r="C270" s="3"/>
      <c r="D270" s="244">
        <f t="shared" ref="D270:F270" si="128">D271</f>
        <v>1086.152</v>
      </c>
      <c r="E270" s="244">
        <f t="shared" si="128"/>
        <v>0</v>
      </c>
      <c r="F270" s="244">
        <f t="shared" si="128"/>
        <v>1086.152</v>
      </c>
    </row>
    <row r="271" spans="1:6" ht="48" x14ac:dyDescent="0.2">
      <c r="A271" s="4" t="s">
        <v>38</v>
      </c>
      <c r="B271" s="3" t="s">
        <v>535</v>
      </c>
      <c r="C271" s="3" t="s">
        <v>34</v>
      </c>
      <c r="D271" s="240">
        <v>1086.152</v>
      </c>
      <c r="E271" s="244"/>
      <c r="F271" s="240">
        <f>D271+E271</f>
        <v>1086.152</v>
      </c>
    </row>
    <row r="272" spans="1:6" ht="36" x14ac:dyDescent="0.2">
      <c r="A272" s="4" t="s">
        <v>353</v>
      </c>
      <c r="B272" s="3" t="s">
        <v>421</v>
      </c>
      <c r="C272" s="3"/>
      <c r="D272" s="240">
        <f>D273+D293+D304+D310</f>
        <v>466654.89653999999</v>
      </c>
      <c r="E272" s="240">
        <f t="shared" ref="E272:F272" si="129">E273+E293+E304+E310</f>
        <v>6215.5325800000001</v>
      </c>
      <c r="F272" s="240">
        <f t="shared" si="129"/>
        <v>472870.4291200001</v>
      </c>
    </row>
    <row r="273" spans="1:6" ht="36" x14ac:dyDescent="0.2">
      <c r="A273" s="4" t="s">
        <v>354</v>
      </c>
      <c r="B273" s="3" t="s">
        <v>420</v>
      </c>
      <c r="C273" s="3"/>
      <c r="D273" s="240">
        <f>D274+D284+D286+D278+D276+D282+D290+D288+D280</f>
        <v>335530.66735</v>
      </c>
      <c r="E273" s="240">
        <f t="shared" ref="E273:F273" si="130">E274+E284+E286+E278+E276+E282+E290+E288+E280</f>
        <v>6121</v>
      </c>
      <c r="F273" s="240">
        <f t="shared" si="130"/>
        <v>341651.66735000006</v>
      </c>
    </row>
    <row r="274" spans="1:6" ht="36" x14ac:dyDescent="0.2">
      <c r="A274" s="4" t="s">
        <v>216</v>
      </c>
      <c r="B274" s="3" t="s">
        <v>422</v>
      </c>
      <c r="C274" s="3"/>
      <c r="D274" s="240">
        <f t="shared" ref="D274:F274" si="131">D275</f>
        <v>50099.157659999997</v>
      </c>
      <c r="E274" s="240">
        <f t="shared" si="131"/>
        <v>-39.081999999999994</v>
      </c>
      <c r="F274" s="240">
        <f t="shared" si="131"/>
        <v>50060.075659999995</v>
      </c>
    </row>
    <row r="275" spans="1:6" ht="24" x14ac:dyDescent="0.2">
      <c r="A275" s="4" t="s">
        <v>29</v>
      </c>
      <c r="B275" s="3" t="s">
        <v>422</v>
      </c>
      <c r="C275" s="3" t="s">
        <v>26</v>
      </c>
      <c r="D275" s="240">
        <v>50099.157659999997</v>
      </c>
      <c r="E275" s="240">
        <f>89-128.082</f>
        <v>-39.081999999999994</v>
      </c>
      <c r="F275" s="240">
        <f>D275+E275</f>
        <v>50060.075659999995</v>
      </c>
    </row>
    <row r="276" spans="1:6" ht="36" x14ac:dyDescent="0.2">
      <c r="A276" s="4" t="s">
        <v>355</v>
      </c>
      <c r="B276" s="3" t="s">
        <v>423</v>
      </c>
      <c r="C276" s="3"/>
      <c r="D276" s="240">
        <f t="shared" ref="D276:F276" si="132">D277</f>
        <v>38128.246229999997</v>
      </c>
      <c r="E276" s="240">
        <f t="shared" si="132"/>
        <v>0</v>
      </c>
      <c r="F276" s="240">
        <f t="shared" si="132"/>
        <v>38128.246229999997</v>
      </c>
    </row>
    <row r="277" spans="1:6" ht="24" x14ac:dyDescent="0.2">
      <c r="A277" s="4" t="s">
        <v>29</v>
      </c>
      <c r="B277" s="3" t="s">
        <v>423</v>
      </c>
      <c r="C277" s="3" t="s">
        <v>26</v>
      </c>
      <c r="D277" s="240">
        <v>38128.246229999997</v>
      </c>
      <c r="E277" s="240"/>
      <c r="F277" s="240">
        <f>D277+E277</f>
        <v>38128.246229999997</v>
      </c>
    </row>
    <row r="278" spans="1:6" ht="36" x14ac:dyDescent="0.2">
      <c r="A278" s="7" t="s">
        <v>86</v>
      </c>
      <c r="B278" s="3" t="s">
        <v>424</v>
      </c>
      <c r="C278" s="3"/>
      <c r="D278" s="240">
        <f t="shared" ref="D278:F278" si="133">D279</f>
        <v>3200</v>
      </c>
      <c r="E278" s="240">
        <f t="shared" si="133"/>
        <v>0</v>
      </c>
      <c r="F278" s="240">
        <f t="shared" si="133"/>
        <v>3200</v>
      </c>
    </row>
    <row r="279" spans="1:6" ht="24" x14ac:dyDescent="0.2">
      <c r="A279" s="4" t="s">
        <v>29</v>
      </c>
      <c r="B279" s="3" t="s">
        <v>424</v>
      </c>
      <c r="C279" s="3" t="s">
        <v>26</v>
      </c>
      <c r="D279" s="240">
        <f>3002+198</f>
        <v>3200</v>
      </c>
      <c r="E279" s="240"/>
      <c r="F279" s="240">
        <f>D279+E279</f>
        <v>3200</v>
      </c>
    </row>
    <row r="280" spans="1:6" ht="36" x14ac:dyDescent="0.2">
      <c r="A280" s="4" t="s">
        <v>636</v>
      </c>
      <c r="B280" s="3" t="s">
        <v>637</v>
      </c>
      <c r="C280" s="3"/>
      <c r="D280" s="240">
        <f t="shared" ref="D280:F280" si="134">D281</f>
        <v>0</v>
      </c>
      <c r="E280" s="240">
        <f t="shared" si="134"/>
        <v>2259.0819999999999</v>
      </c>
      <c r="F280" s="240">
        <f t="shared" si="134"/>
        <v>2259.0819999999999</v>
      </c>
    </row>
    <row r="281" spans="1:6" ht="24" x14ac:dyDescent="0.2">
      <c r="A281" s="4" t="s">
        <v>29</v>
      </c>
      <c r="B281" s="3" t="s">
        <v>637</v>
      </c>
      <c r="C281" s="3" t="s">
        <v>26</v>
      </c>
      <c r="D281" s="240"/>
      <c r="E281" s="240">
        <f>2259.082</f>
        <v>2259.0819999999999</v>
      </c>
      <c r="F281" s="240">
        <f>D281+E281</f>
        <v>2259.0819999999999</v>
      </c>
    </row>
    <row r="282" spans="1:6" ht="48" x14ac:dyDescent="0.2">
      <c r="A282" s="4" t="s">
        <v>356</v>
      </c>
      <c r="B282" s="3" t="s">
        <v>425</v>
      </c>
      <c r="C282" s="3"/>
      <c r="D282" s="240">
        <f t="shared" ref="D282:F282" si="135">D283</f>
        <v>2802.9591799999998</v>
      </c>
      <c r="E282" s="240">
        <f t="shared" si="135"/>
        <v>0</v>
      </c>
      <c r="F282" s="240">
        <f t="shared" si="135"/>
        <v>2802.9591799999998</v>
      </c>
    </row>
    <row r="283" spans="1:6" ht="24" x14ac:dyDescent="0.2">
      <c r="A283" s="4" t="s">
        <v>29</v>
      </c>
      <c r="B283" s="3" t="s">
        <v>425</v>
      </c>
      <c r="C283" s="3" t="s">
        <v>26</v>
      </c>
      <c r="D283" s="240">
        <v>2802.9591799999998</v>
      </c>
      <c r="E283" s="240"/>
      <c r="F283" s="240">
        <f>D283+E283</f>
        <v>2802.9591799999998</v>
      </c>
    </row>
    <row r="284" spans="1:6" ht="96" x14ac:dyDescent="0.2">
      <c r="A284" s="4" t="s">
        <v>333</v>
      </c>
      <c r="B284" s="3" t="s">
        <v>426</v>
      </c>
      <c r="C284" s="3"/>
      <c r="D284" s="240">
        <f t="shared" ref="D284:F284" si="136">D285</f>
        <v>190380.69999999998</v>
      </c>
      <c r="E284" s="240">
        <f t="shared" si="136"/>
        <v>3901</v>
      </c>
      <c r="F284" s="240">
        <f t="shared" si="136"/>
        <v>194281.69999999998</v>
      </c>
    </row>
    <row r="285" spans="1:6" ht="24" x14ac:dyDescent="0.2">
      <c r="A285" s="4" t="s">
        <v>29</v>
      </c>
      <c r="B285" s="3" t="s">
        <v>426</v>
      </c>
      <c r="C285" s="3" t="s">
        <v>26</v>
      </c>
      <c r="D285" s="240">
        <f>174491.3+15889.4</f>
        <v>190380.69999999998</v>
      </c>
      <c r="E285" s="240">
        <f>2985+916</f>
        <v>3901</v>
      </c>
      <c r="F285" s="240">
        <f>D285+E285</f>
        <v>194281.69999999998</v>
      </c>
    </row>
    <row r="286" spans="1:6" ht="24" x14ac:dyDescent="0.2">
      <c r="A286" s="4" t="s">
        <v>233</v>
      </c>
      <c r="B286" s="3" t="s">
        <v>427</v>
      </c>
      <c r="C286" s="3"/>
      <c r="D286" s="240">
        <f t="shared" ref="D286:F286" si="137">D287</f>
        <v>1126.83673</v>
      </c>
      <c r="E286" s="240">
        <f t="shared" si="137"/>
        <v>0</v>
      </c>
      <c r="F286" s="240">
        <f t="shared" si="137"/>
        <v>1126.83673</v>
      </c>
    </row>
    <row r="287" spans="1:6" ht="24" x14ac:dyDescent="0.2">
      <c r="A287" s="4" t="s">
        <v>29</v>
      </c>
      <c r="B287" s="3" t="s">
        <v>427</v>
      </c>
      <c r="C287" s="3" t="s">
        <v>26</v>
      </c>
      <c r="D287" s="240">
        <v>1126.83673</v>
      </c>
      <c r="E287" s="240"/>
      <c r="F287" s="240">
        <f>D287+E287</f>
        <v>1126.83673</v>
      </c>
    </row>
    <row r="288" spans="1:6" x14ac:dyDescent="0.2">
      <c r="A288" s="4" t="s">
        <v>527</v>
      </c>
      <c r="B288" s="3" t="s">
        <v>533</v>
      </c>
      <c r="C288" s="3"/>
      <c r="D288" s="240">
        <f t="shared" ref="D288:F288" si="138">D289</f>
        <v>44737.867549999995</v>
      </c>
      <c r="E288" s="240">
        <f t="shared" si="138"/>
        <v>0</v>
      </c>
      <c r="F288" s="240">
        <f t="shared" si="138"/>
        <v>44737.867549999995</v>
      </c>
    </row>
    <row r="289" spans="1:6" ht="24" x14ac:dyDescent="0.2">
      <c r="A289" s="4" t="s">
        <v>29</v>
      </c>
      <c r="B289" s="3" t="s">
        <v>533</v>
      </c>
      <c r="C289" s="3" t="s">
        <v>26</v>
      </c>
      <c r="D289" s="240">
        <f>41847.19755+2890.67</f>
        <v>44737.867549999995</v>
      </c>
      <c r="E289" s="240"/>
      <c r="F289" s="240">
        <f>D289+E289</f>
        <v>44737.867549999995</v>
      </c>
    </row>
    <row r="290" spans="1:6" ht="48" x14ac:dyDescent="0.2">
      <c r="A290" s="4" t="s">
        <v>335</v>
      </c>
      <c r="B290" s="3" t="s">
        <v>447</v>
      </c>
      <c r="C290" s="3"/>
      <c r="D290" s="240">
        <f t="shared" ref="D290:F290" si="139">D292+D291</f>
        <v>5054.8999999999996</v>
      </c>
      <c r="E290" s="240">
        <f t="shared" si="139"/>
        <v>0</v>
      </c>
      <c r="F290" s="240">
        <f t="shared" si="139"/>
        <v>5054.8999999999996</v>
      </c>
    </row>
    <row r="291" spans="1:6" ht="24" x14ac:dyDescent="0.2">
      <c r="A291" s="4" t="s">
        <v>47</v>
      </c>
      <c r="B291" s="3" t="s">
        <v>447</v>
      </c>
      <c r="C291" s="3" t="s">
        <v>51</v>
      </c>
      <c r="D291" s="240">
        <v>15.21</v>
      </c>
      <c r="E291" s="240"/>
      <c r="F291" s="240">
        <f>D291+E291</f>
        <v>15.21</v>
      </c>
    </row>
    <row r="292" spans="1:6" x14ac:dyDescent="0.2">
      <c r="A292" s="4" t="s">
        <v>45</v>
      </c>
      <c r="B292" s="3" t="s">
        <v>447</v>
      </c>
      <c r="C292" s="3" t="s">
        <v>43</v>
      </c>
      <c r="D292" s="240">
        <v>5039.6899999999996</v>
      </c>
      <c r="E292" s="240"/>
      <c r="F292" s="240">
        <f>D292+E292</f>
        <v>5039.6899999999996</v>
      </c>
    </row>
    <row r="293" spans="1:6" ht="36" x14ac:dyDescent="0.2">
      <c r="A293" s="4" t="s">
        <v>357</v>
      </c>
      <c r="B293" s="3" t="s">
        <v>428</v>
      </c>
      <c r="C293" s="3"/>
      <c r="D293" s="240">
        <f>D294+D300+D298+D302</f>
        <v>35550.099419999999</v>
      </c>
      <c r="E293" s="240">
        <f t="shared" ref="E293:F293" si="140">E294+E300+E298+E302</f>
        <v>94.532579999999996</v>
      </c>
      <c r="F293" s="240">
        <f t="shared" si="140"/>
        <v>35644.631999999998</v>
      </c>
    </row>
    <row r="294" spans="1:6" ht="24" x14ac:dyDescent="0.2">
      <c r="A294" s="7" t="s">
        <v>579</v>
      </c>
      <c r="B294" s="3" t="s">
        <v>429</v>
      </c>
      <c r="C294" s="3"/>
      <c r="D294" s="242">
        <f>D296+D295+D297</f>
        <v>520.46741999999995</v>
      </c>
      <c r="E294" s="242">
        <f>E296+E295+E297</f>
        <v>94.532579999999996</v>
      </c>
      <c r="F294" s="242">
        <f>F296+F295+F297</f>
        <v>615</v>
      </c>
    </row>
    <row r="295" spans="1:6" ht="24" x14ac:dyDescent="0.2">
      <c r="A295" s="4" t="s">
        <v>47</v>
      </c>
      <c r="B295" s="3" t="s">
        <v>429</v>
      </c>
      <c r="C295" s="3" t="s">
        <v>51</v>
      </c>
      <c r="D295" s="240">
        <v>520.46741999999995</v>
      </c>
      <c r="E295" s="242">
        <v>94.532579999999996</v>
      </c>
      <c r="F295" s="240">
        <f>D295+E295</f>
        <v>615</v>
      </c>
    </row>
    <row r="296" spans="1:6" ht="24" x14ac:dyDescent="0.2">
      <c r="A296" s="7" t="s">
        <v>70</v>
      </c>
      <c r="B296" s="3" t="s">
        <v>429</v>
      </c>
      <c r="C296" s="3" t="s">
        <v>69</v>
      </c>
      <c r="D296" s="240"/>
      <c r="E296" s="242"/>
      <c r="F296" s="240">
        <f>D296+E296</f>
        <v>0</v>
      </c>
    </row>
    <row r="297" spans="1:6" ht="24" x14ac:dyDescent="0.2">
      <c r="A297" s="4" t="s">
        <v>29</v>
      </c>
      <c r="B297" s="3" t="s">
        <v>429</v>
      </c>
      <c r="C297" s="3" t="s">
        <v>26</v>
      </c>
      <c r="D297" s="240"/>
      <c r="E297" s="240"/>
      <c r="F297" s="242">
        <f>D297+E297</f>
        <v>0</v>
      </c>
    </row>
    <row r="298" spans="1:6" ht="36" x14ac:dyDescent="0.2">
      <c r="A298" s="4" t="s">
        <v>358</v>
      </c>
      <c r="B298" s="3" t="s">
        <v>534</v>
      </c>
      <c r="C298" s="3"/>
      <c r="D298" s="240">
        <f t="shared" ref="D298:F298" si="141">D299</f>
        <v>0</v>
      </c>
      <c r="E298" s="240">
        <f t="shared" si="141"/>
        <v>0</v>
      </c>
      <c r="F298" s="240">
        <f t="shared" si="141"/>
        <v>0</v>
      </c>
    </row>
    <row r="299" spans="1:6" ht="24" x14ac:dyDescent="0.2">
      <c r="A299" s="4" t="s">
        <v>29</v>
      </c>
      <c r="B299" s="3" t="s">
        <v>534</v>
      </c>
      <c r="C299" s="3" t="s">
        <v>26</v>
      </c>
      <c r="D299" s="240"/>
      <c r="E299" s="240"/>
      <c r="F299" s="240">
        <f>D299+E299</f>
        <v>0</v>
      </c>
    </row>
    <row r="300" spans="1:6" ht="60" x14ac:dyDescent="0.2">
      <c r="A300" s="7" t="s">
        <v>540</v>
      </c>
      <c r="B300" s="3" t="s">
        <v>541</v>
      </c>
      <c r="C300" s="3"/>
      <c r="D300" s="240">
        <f>D301</f>
        <v>0</v>
      </c>
      <c r="E300" s="240">
        <f t="shared" ref="E300:F300" si="142">E301</f>
        <v>0</v>
      </c>
      <c r="F300" s="240">
        <f t="shared" si="142"/>
        <v>0</v>
      </c>
    </row>
    <row r="301" spans="1:6" ht="24" x14ac:dyDescent="0.2">
      <c r="A301" s="7" t="s">
        <v>70</v>
      </c>
      <c r="B301" s="3" t="s">
        <v>541</v>
      </c>
      <c r="C301" s="3" t="s">
        <v>69</v>
      </c>
      <c r="D301" s="240"/>
      <c r="E301" s="240"/>
      <c r="F301" s="240">
        <f>D301+E301</f>
        <v>0</v>
      </c>
    </row>
    <row r="302" spans="1:6" ht="36" x14ac:dyDescent="0.2">
      <c r="A302" s="4" t="s">
        <v>598</v>
      </c>
      <c r="B302" s="3" t="s">
        <v>599</v>
      </c>
      <c r="C302" s="3"/>
      <c r="D302" s="242">
        <f t="shared" ref="D302:F302" si="143">D303</f>
        <v>35029.631999999998</v>
      </c>
      <c r="E302" s="242">
        <f t="shared" si="143"/>
        <v>0</v>
      </c>
      <c r="F302" s="242">
        <f t="shared" si="143"/>
        <v>35029.631999999998</v>
      </c>
    </row>
    <row r="303" spans="1:6" ht="24" x14ac:dyDescent="0.2">
      <c r="A303" s="7" t="s">
        <v>70</v>
      </c>
      <c r="B303" s="3" t="s">
        <v>599</v>
      </c>
      <c r="C303" s="3" t="s">
        <v>69</v>
      </c>
      <c r="D303" s="240">
        <v>35029.631999999998</v>
      </c>
      <c r="E303" s="242"/>
      <c r="F303" s="240">
        <f>D303+E303</f>
        <v>35029.631999999998</v>
      </c>
    </row>
    <row r="304" spans="1:6" ht="36" x14ac:dyDescent="0.2">
      <c r="A304" s="7" t="s">
        <v>623</v>
      </c>
      <c r="B304" s="3" t="s">
        <v>622</v>
      </c>
      <c r="C304" s="3"/>
      <c r="D304" s="240">
        <f>D305+D308</f>
        <v>90740.609250000009</v>
      </c>
      <c r="E304" s="240">
        <f t="shared" ref="E304:F304" si="144">E305+E308</f>
        <v>0</v>
      </c>
      <c r="F304" s="240">
        <f t="shared" si="144"/>
        <v>90740.609250000009</v>
      </c>
    </row>
    <row r="305" spans="1:6" ht="24" x14ac:dyDescent="0.2">
      <c r="A305" s="7" t="s">
        <v>624</v>
      </c>
      <c r="B305" s="3" t="s">
        <v>625</v>
      </c>
      <c r="C305" s="3"/>
      <c r="D305" s="240">
        <f>D307+D306</f>
        <v>2334.2910699999998</v>
      </c>
      <c r="E305" s="240">
        <f t="shared" ref="E305:F305" si="145">E307+E306</f>
        <v>0</v>
      </c>
      <c r="F305" s="240">
        <f t="shared" si="145"/>
        <v>2334.2910699999998</v>
      </c>
    </row>
    <row r="306" spans="1:6" ht="24" x14ac:dyDescent="0.2">
      <c r="A306" s="4" t="s">
        <v>47</v>
      </c>
      <c r="B306" s="3" t="s">
        <v>625</v>
      </c>
      <c r="C306" s="3" t="s">
        <v>51</v>
      </c>
      <c r="D306" s="240">
        <v>145.97839999999999</v>
      </c>
      <c r="E306" s="240"/>
      <c r="F306" s="240">
        <f>D306+E306</f>
        <v>145.97839999999999</v>
      </c>
    </row>
    <row r="307" spans="1:6" ht="24" x14ac:dyDescent="0.2">
      <c r="A307" s="4" t="s">
        <v>47</v>
      </c>
      <c r="B307" s="3" t="s">
        <v>625</v>
      </c>
      <c r="C307" s="3" t="s">
        <v>26</v>
      </c>
      <c r="D307" s="240">
        <v>2188.3126699999998</v>
      </c>
      <c r="E307" s="240"/>
      <c r="F307" s="240">
        <f>D307+E307</f>
        <v>2188.3126699999998</v>
      </c>
    </row>
    <row r="308" spans="1:6" ht="60" x14ac:dyDescent="0.2">
      <c r="A308" s="7" t="s">
        <v>540</v>
      </c>
      <c r="B308" s="3" t="s">
        <v>603</v>
      </c>
      <c r="C308" s="3"/>
      <c r="D308" s="240">
        <f>D309</f>
        <v>88406.318180000002</v>
      </c>
      <c r="E308" s="240">
        <f t="shared" ref="E308:F308" si="146">E309</f>
        <v>0</v>
      </c>
      <c r="F308" s="240">
        <f t="shared" si="146"/>
        <v>88406.318180000002</v>
      </c>
    </row>
    <row r="309" spans="1:6" ht="24" x14ac:dyDescent="0.2">
      <c r="A309" s="7" t="s">
        <v>70</v>
      </c>
      <c r="B309" s="3" t="s">
        <v>603</v>
      </c>
      <c r="C309" s="3" t="s">
        <v>69</v>
      </c>
      <c r="D309" s="240">
        <v>88406.318180000002</v>
      </c>
      <c r="E309" s="240"/>
      <c r="F309" s="240">
        <f>D309+E309</f>
        <v>88406.318180000002</v>
      </c>
    </row>
    <row r="310" spans="1:6" ht="24" x14ac:dyDescent="0.2">
      <c r="A310" s="4" t="s">
        <v>630</v>
      </c>
      <c r="B310" s="3" t="s">
        <v>631</v>
      </c>
      <c r="C310" s="3"/>
      <c r="D310" s="240">
        <f>D311</f>
        <v>4833.52052</v>
      </c>
      <c r="E310" s="240">
        <f t="shared" ref="E310:F310" si="147">E311</f>
        <v>0</v>
      </c>
      <c r="F310" s="240">
        <f t="shared" si="147"/>
        <v>4833.52052</v>
      </c>
    </row>
    <row r="311" spans="1:6" ht="36" x14ac:dyDescent="0.2">
      <c r="A311" s="4" t="s">
        <v>358</v>
      </c>
      <c r="B311" s="3" t="s">
        <v>600</v>
      </c>
      <c r="C311" s="3"/>
      <c r="D311" s="240">
        <f t="shared" ref="D311:F311" si="148">D312</f>
        <v>4833.52052</v>
      </c>
      <c r="E311" s="240">
        <f t="shared" si="148"/>
        <v>0</v>
      </c>
      <c r="F311" s="240">
        <f t="shared" si="148"/>
        <v>4833.52052</v>
      </c>
    </row>
    <row r="312" spans="1:6" ht="24" x14ac:dyDescent="0.2">
      <c r="A312" s="4" t="s">
        <v>29</v>
      </c>
      <c r="B312" s="3" t="s">
        <v>600</v>
      </c>
      <c r="C312" s="3" t="s">
        <v>26</v>
      </c>
      <c r="D312" s="240">
        <v>4833.52052</v>
      </c>
      <c r="E312" s="240"/>
      <c r="F312" s="240">
        <f>D312+E312</f>
        <v>4833.52052</v>
      </c>
    </row>
    <row r="313" spans="1:6" ht="36" x14ac:dyDescent="0.2">
      <c r="A313" s="4" t="s">
        <v>359</v>
      </c>
      <c r="B313" s="3" t="s">
        <v>430</v>
      </c>
      <c r="C313" s="3"/>
      <c r="D313" s="240">
        <f>D314+D325+D329</f>
        <v>31749.205840000002</v>
      </c>
      <c r="E313" s="240">
        <f t="shared" ref="E313:F313" si="149">E314+E325+E329</f>
        <v>1048</v>
      </c>
      <c r="F313" s="240">
        <f t="shared" si="149"/>
        <v>32797.205839999995</v>
      </c>
    </row>
    <row r="314" spans="1:6" x14ac:dyDescent="0.2">
      <c r="A314" s="4" t="s">
        <v>85</v>
      </c>
      <c r="B314" s="3" t="s">
        <v>431</v>
      </c>
      <c r="C314" s="3"/>
      <c r="D314" s="240">
        <f>D315+D317+D319+D323+D321</f>
        <v>30317.705840000002</v>
      </c>
      <c r="E314" s="240">
        <f t="shared" ref="E314:F314" si="150">E315+E317+E319+E323+E321</f>
        <v>-2792</v>
      </c>
      <c r="F314" s="240">
        <f t="shared" si="150"/>
        <v>27525.705839999999</v>
      </c>
    </row>
    <row r="315" spans="1:6" ht="24" x14ac:dyDescent="0.2">
      <c r="A315" s="4" t="s">
        <v>360</v>
      </c>
      <c r="B315" s="3" t="s">
        <v>432</v>
      </c>
      <c r="C315" s="3"/>
      <c r="D315" s="240">
        <f>D316</f>
        <v>14864.37242</v>
      </c>
      <c r="E315" s="240">
        <f t="shared" ref="E315:F315" si="151">E316</f>
        <v>-2729.2179999999998</v>
      </c>
      <c r="F315" s="240">
        <f t="shared" si="151"/>
        <v>12135.154419999999</v>
      </c>
    </row>
    <row r="316" spans="1:6" ht="24" x14ac:dyDescent="0.2">
      <c r="A316" s="4" t="s">
        <v>29</v>
      </c>
      <c r="B316" s="3" t="s">
        <v>432</v>
      </c>
      <c r="C316" s="3" t="s">
        <v>26</v>
      </c>
      <c r="D316" s="240">
        <v>14864.37242</v>
      </c>
      <c r="E316" s="240">
        <f>-2729.218</f>
        <v>-2729.2179999999998</v>
      </c>
      <c r="F316" s="240">
        <f>D316+E316</f>
        <v>12135.154419999999</v>
      </c>
    </row>
    <row r="317" spans="1:6" ht="24" x14ac:dyDescent="0.2">
      <c r="A317" s="4" t="s">
        <v>361</v>
      </c>
      <c r="B317" s="3" t="s">
        <v>509</v>
      </c>
      <c r="C317" s="3"/>
      <c r="D317" s="240">
        <f>D318</f>
        <v>6047.6322700000001</v>
      </c>
      <c r="E317" s="240">
        <f t="shared" ref="E317" si="152">E318</f>
        <v>-1085.17</v>
      </c>
      <c r="F317" s="240">
        <f>F318</f>
        <v>4962.46227</v>
      </c>
    </row>
    <row r="318" spans="1:6" ht="24" x14ac:dyDescent="0.2">
      <c r="A318" s="4" t="s">
        <v>29</v>
      </c>
      <c r="B318" s="3" t="s">
        <v>509</v>
      </c>
      <c r="C318" s="3" t="s">
        <v>26</v>
      </c>
      <c r="D318" s="240">
        <v>6047.6322700000001</v>
      </c>
      <c r="E318" s="240">
        <f>-1085.17</f>
        <v>-1085.17</v>
      </c>
      <c r="F318" s="240">
        <f>D318+E318</f>
        <v>4962.46227</v>
      </c>
    </row>
    <row r="319" spans="1:6" x14ac:dyDescent="0.2">
      <c r="A319" s="4" t="s">
        <v>412</v>
      </c>
      <c r="B319" s="3" t="s">
        <v>448</v>
      </c>
      <c r="C319" s="3"/>
      <c r="D319" s="240">
        <f t="shared" ref="D319:F319" si="153">D320</f>
        <v>6362.9811499999996</v>
      </c>
      <c r="E319" s="240">
        <f t="shared" si="153"/>
        <v>-47</v>
      </c>
      <c r="F319" s="240">
        <f t="shared" si="153"/>
        <v>6315.9811499999996</v>
      </c>
    </row>
    <row r="320" spans="1:6" ht="24" x14ac:dyDescent="0.2">
      <c r="A320" s="4" t="s">
        <v>29</v>
      </c>
      <c r="B320" s="3" t="s">
        <v>448</v>
      </c>
      <c r="C320" s="3" t="s">
        <v>26</v>
      </c>
      <c r="D320" s="240">
        <v>6362.9811499999996</v>
      </c>
      <c r="E320" s="240">
        <v>-47</v>
      </c>
      <c r="F320" s="240">
        <f>D320+E320</f>
        <v>6315.9811499999996</v>
      </c>
    </row>
    <row r="321" spans="1:6" x14ac:dyDescent="0.2">
      <c r="A321" s="4" t="s">
        <v>527</v>
      </c>
      <c r="B321" s="3" t="s">
        <v>638</v>
      </c>
      <c r="C321" s="3"/>
      <c r="D321" s="244">
        <f t="shared" ref="D321:F321" si="154">D322</f>
        <v>0</v>
      </c>
      <c r="E321" s="244">
        <f t="shared" si="154"/>
        <v>1069.3879999999999</v>
      </c>
      <c r="F321" s="244">
        <f t="shared" si="154"/>
        <v>1069.3879999999999</v>
      </c>
    </row>
    <row r="322" spans="1:6" ht="24" x14ac:dyDescent="0.2">
      <c r="A322" s="4" t="s">
        <v>29</v>
      </c>
      <c r="B322" s="3" t="s">
        <v>638</v>
      </c>
      <c r="C322" s="3" t="s">
        <v>26</v>
      </c>
      <c r="D322" s="240"/>
      <c r="E322" s="244">
        <f>220+849.388</f>
        <v>1069.3879999999999</v>
      </c>
      <c r="F322" s="240">
        <f>D322+E322</f>
        <v>1069.3879999999999</v>
      </c>
    </row>
    <row r="323" spans="1:6" x14ac:dyDescent="0.2">
      <c r="A323" s="4" t="s">
        <v>527</v>
      </c>
      <c r="B323" s="3" t="s">
        <v>525</v>
      </c>
      <c r="C323" s="3"/>
      <c r="D323" s="240">
        <f t="shared" ref="D323:F323" si="155">D324</f>
        <v>3042.7200000000003</v>
      </c>
      <c r="E323" s="240">
        <f t="shared" si="155"/>
        <v>0</v>
      </c>
      <c r="F323" s="240">
        <f t="shared" si="155"/>
        <v>3042.7200000000003</v>
      </c>
    </row>
    <row r="324" spans="1:6" ht="24" x14ac:dyDescent="0.2">
      <c r="A324" s="4" t="s">
        <v>29</v>
      </c>
      <c r="B324" s="3" t="s">
        <v>525</v>
      </c>
      <c r="C324" s="3" t="s">
        <v>26</v>
      </c>
      <c r="D324" s="240">
        <f>156.86+2885.86</f>
        <v>3042.7200000000003</v>
      </c>
      <c r="E324" s="240">
        <f>653.06852-653.06852</f>
        <v>0</v>
      </c>
      <c r="F324" s="240">
        <f>D324+E324</f>
        <v>3042.7200000000003</v>
      </c>
    </row>
    <row r="325" spans="1:6" ht="24" x14ac:dyDescent="0.2">
      <c r="A325" s="4" t="s">
        <v>362</v>
      </c>
      <c r="B325" s="3" t="s">
        <v>433</v>
      </c>
      <c r="C325" s="3"/>
      <c r="D325" s="242">
        <f>D326</f>
        <v>1431.5</v>
      </c>
      <c r="E325" s="242">
        <f>E326</f>
        <v>0</v>
      </c>
      <c r="F325" s="242">
        <f>F326</f>
        <v>1431.5</v>
      </c>
    </row>
    <row r="326" spans="1:6" ht="36" x14ac:dyDescent="0.2">
      <c r="A326" s="4" t="s">
        <v>334</v>
      </c>
      <c r="B326" s="3" t="s">
        <v>434</v>
      </c>
      <c r="C326" s="3"/>
      <c r="D326" s="242">
        <f>SUM(D327:D328)</f>
        <v>1431.5</v>
      </c>
      <c r="E326" s="242">
        <f t="shared" ref="E326:F326" si="156">SUM(E327:E328)</f>
        <v>0</v>
      </c>
      <c r="F326" s="242">
        <f t="shared" si="156"/>
        <v>1431.5</v>
      </c>
    </row>
    <row r="327" spans="1:6" x14ac:dyDescent="0.2">
      <c r="A327" s="4" t="s">
        <v>45</v>
      </c>
      <c r="B327" s="3" t="s">
        <v>434</v>
      </c>
      <c r="C327" s="3" t="s">
        <v>43</v>
      </c>
      <c r="D327" s="240">
        <v>278</v>
      </c>
      <c r="E327" s="242"/>
      <c r="F327" s="240">
        <f>D327+E327</f>
        <v>278</v>
      </c>
    </row>
    <row r="328" spans="1:6" ht="24" x14ac:dyDescent="0.2">
      <c r="A328" s="4" t="s">
        <v>29</v>
      </c>
      <c r="B328" s="3" t="s">
        <v>434</v>
      </c>
      <c r="C328" s="3" t="s">
        <v>26</v>
      </c>
      <c r="D328" s="240">
        <v>1153.5</v>
      </c>
      <c r="E328" s="242"/>
      <c r="F328" s="240">
        <f>D328+E328</f>
        <v>1153.5</v>
      </c>
    </row>
    <row r="329" spans="1:6" ht="24" x14ac:dyDescent="0.2">
      <c r="A329" s="4" t="s">
        <v>639</v>
      </c>
      <c r="B329" s="3" t="s">
        <v>640</v>
      </c>
      <c r="C329" s="3"/>
      <c r="D329" s="240">
        <f>D330+D332+D334</f>
        <v>0</v>
      </c>
      <c r="E329" s="240">
        <f t="shared" ref="E329:F329" si="157">E330+E332+E334</f>
        <v>3840</v>
      </c>
      <c r="F329" s="240">
        <f t="shared" si="157"/>
        <v>3840</v>
      </c>
    </row>
    <row r="330" spans="1:6" ht="24" x14ac:dyDescent="0.2">
      <c r="A330" s="4" t="s">
        <v>641</v>
      </c>
      <c r="B330" s="3" t="s">
        <v>642</v>
      </c>
      <c r="C330" s="3"/>
      <c r="D330" s="240">
        <f>D331</f>
        <v>0</v>
      </c>
      <c r="E330" s="240">
        <f t="shared" ref="E330:F330" si="158">E331</f>
        <v>2707.83</v>
      </c>
      <c r="F330" s="240">
        <f t="shared" si="158"/>
        <v>2707.83</v>
      </c>
    </row>
    <row r="331" spans="1:6" ht="24" x14ac:dyDescent="0.2">
      <c r="A331" s="4" t="s">
        <v>29</v>
      </c>
      <c r="B331" s="3" t="s">
        <v>642</v>
      </c>
      <c r="C331" s="3" t="s">
        <v>26</v>
      </c>
      <c r="D331" s="240"/>
      <c r="E331" s="244">
        <v>2707.83</v>
      </c>
      <c r="F331" s="240">
        <f>D331+E331</f>
        <v>2707.83</v>
      </c>
    </row>
    <row r="332" spans="1:6" ht="24" x14ac:dyDescent="0.2">
      <c r="A332" s="4" t="s">
        <v>643</v>
      </c>
      <c r="B332" s="3" t="s">
        <v>644</v>
      </c>
      <c r="C332" s="3"/>
      <c r="D332" s="240">
        <f>D333</f>
        <v>0</v>
      </c>
      <c r="E332" s="240">
        <f t="shared" ref="E332:F332" si="159">E333</f>
        <v>1085.17</v>
      </c>
      <c r="F332" s="240">
        <f t="shared" si="159"/>
        <v>1085.17</v>
      </c>
    </row>
    <row r="333" spans="1:6" ht="24" x14ac:dyDescent="0.2">
      <c r="A333" s="4" t="s">
        <v>29</v>
      </c>
      <c r="B333" s="3" t="s">
        <v>644</v>
      </c>
      <c r="C333" s="3" t="s">
        <v>26</v>
      </c>
      <c r="D333" s="240"/>
      <c r="E333" s="244">
        <v>1085.17</v>
      </c>
      <c r="F333" s="240">
        <f>D333+E333</f>
        <v>1085.17</v>
      </c>
    </row>
    <row r="334" spans="1:6" ht="24" x14ac:dyDescent="0.2">
      <c r="A334" s="4" t="s">
        <v>645</v>
      </c>
      <c r="B334" s="3" t="s">
        <v>646</v>
      </c>
      <c r="C334" s="3"/>
      <c r="D334" s="240">
        <f>D335</f>
        <v>0</v>
      </c>
      <c r="E334" s="240">
        <f t="shared" ref="E334:F334" si="160">E335</f>
        <v>47</v>
      </c>
      <c r="F334" s="240">
        <f t="shared" si="160"/>
        <v>47</v>
      </c>
    </row>
    <row r="335" spans="1:6" ht="24" x14ac:dyDescent="0.2">
      <c r="A335" s="4" t="s">
        <v>29</v>
      </c>
      <c r="B335" s="3" t="s">
        <v>646</v>
      </c>
      <c r="C335" s="3" t="s">
        <v>26</v>
      </c>
      <c r="D335" s="240"/>
      <c r="E335" s="244">
        <v>47</v>
      </c>
      <c r="F335" s="240">
        <f>D335+E335</f>
        <v>47</v>
      </c>
    </row>
    <row r="336" spans="1:6" x14ac:dyDescent="0.2">
      <c r="A336" s="4" t="s">
        <v>129</v>
      </c>
      <c r="B336" s="3" t="s">
        <v>258</v>
      </c>
      <c r="C336" s="3"/>
      <c r="D336" s="244">
        <f t="shared" ref="D336:F343" si="161">D337</f>
        <v>2500</v>
      </c>
      <c r="E336" s="244">
        <f t="shared" si="161"/>
        <v>0</v>
      </c>
      <c r="F336" s="244">
        <f t="shared" si="161"/>
        <v>2500</v>
      </c>
    </row>
    <row r="337" spans="1:6" x14ac:dyDescent="0.2">
      <c r="A337" s="4" t="s">
        <v>46</v>
      </c>
      <c r="B337" s="3" t="s">
        <v>44</v>
      </c>
      <c r="C337" s="3"/>
      <c r="D337" s="244">
        <f>D342+D339+D338+D341+D340</f>
        <v>2500</v>
      </c>
      <c r="E337" s="244">
        <f t="shared" ref="E337:F337" si="162">E342+E339+E338+E341+E340</f>
        <v>0</v>
      </c>
      <c r="F337" s="244">
        <f t="shared" si="162"/>
        <v>2500</v>
      </c>
    </row>
    <row r="338" spans="1:6" ht="24" x14ac:dyDescent="0.2">
      <c r="A338" s="4" t="s">
        <v>47</v>
      </c>
      <c r="B338" s="3" t="s">
        <v>44</v>
      </c>
      <c r="C338" s="3" t="s">
        <v>51</v>
      </c>
      <c r="D338" s="240">
        <v>532.23</v>
      </c>
      <c r="E338" s="240">
        <v>100</v>
      </c>
      <c r="F338" s="240">
        <f>E338+D338</f>
        <v>632.23</v>
      </c>
    </row>
    <row r="339" spans="1:6" x14ac:dyDescent="0.2">
      <c r="A339" s="4" t="s">
        <v>45</v>
      </c>
      <c r="B339" s="3" t="s">
        <v>44</v>
      </c>
      <c r="C339" s="3" t="s">
        <v>43</v>
      </c>
      <c r="D339" s="244">
        <v>45</v>
      </c>
      <c r="E339" s="244"/>
      <c r="F339" s="244">
        <f>D339+E339</f>
        <v>45</v>
      </c>
    </row>
    <row r="340" spans="1:6" x14ac:dyDescent="0.2">
      <c r="A340" s="7" t="s">
        <v>8</v>
      </c>
      <c r="B340" s="3" t="s">
        <v>44</v>
      </c>
      <c r="C340" s="3" t="s">
        <v>5</v>
      </c>
      <c r="D340" s="244">
        <v>569.18799999999999</v>
      </c>
      <c r="E340" s="244">
        <f>6</f>
        <v>6</v>
      </c>
      <c r="F340" s="244">
        <f>D340+E340</f>
        <v>575.18799999999999</v>
      </c>
    </row>
    <row r="341" spans="1:6" ht="24" x14ac:dyDescent="0.2">
      <c r="A341" s="4" t="s">
        <v>29</v>
      </c>
      <c r="B341" s="3" t="s">
        <v>44</v>
      </c>
      <c r="C341" s="3" t="s">
        <v>26</v>
      </c>
      <c r="D341" s="244">
        <v>12.5</v>
      </c>
      <c r="E341" s="244"/>
      <c r="F341" s="244">
        <f>D341+E341</f>
        <v>12.5</v>
      </c>
    </row>
    <row r="342" spans="1:6" ht="24" x14ac:dyDescent="0.2">
      <c r="A342" s="4" t="s">
        <v>73</v>
      </c>
      <c r="B342" s="3" t="s">
        <v>44</v>
      </c>
      <c r="C342" s="3" t="s">
        <v>80</v>
      </c>
      <c r="D342" s="240">
        <v>1341.0820000000001</v>
      </c>
      <c r="E342" s="244">
        <v>-106</v>
      </c>
      <c r="F342" s="240">
        <f>D342+E342</f>
        <v>1235.0820000000001</v>
      </c>
    </row>
    <row r="343" spans="1:6" ht="36" x14ac:dyDescent="0.2">
      <c r="A343" s="4" t="s">
        <v>346</v>
      </c>
      <c r="B343" s="3" t="s">
        <v>345</v>
      </c>
      <c r="C343" s="3"/>
      <c r="D343" s="244">
        <f t="shared" si="161"/>
        <v>0</v>
      </c>
      <c r="E343" s="244">
        <f t="shared" si="161"/>
        <v>0</v>
      </c>
      <c r="F343" s="244">
        <f t="shared" si="161"/>
        <v>0</v>
      </c>
    </row>
    <row r="344" spans="1:6" ht="48" x14ac:dyDescent="0.2">
      <c r="A344" s="4" t="s">
        <v>38</v>
      </c>
      <c r="B344" s="3" t="s">
        <v>345</v>
      </c>
      <c r="C344" s="3" t="s">
        <v>34</v>
      </c>
      <c r="D344" s="240"/>
      <c r="E344" s="244"/>
      <c r="F344" s="240">
        <f>D344+E344</f>
        <v>0</v>
      </c>
    </row>
    <row r="345" spans="1:6" ht="24" x14ac:dyDescent="0.2">
      <c r="A345" s="4" t="s">
        <v>647</v>
      </c>
      <c r="B345" s="3" t="s">
        <v>648</v>
      </c>
      <c r="C345" s="3"/>
      <c r="D345" s="240">
        <f>D346</f>
        <v>0</v>
      </c>
      <c r="E345" s="240">
        <f t="shared" ref="E345:F345" si="163">E346</f>
        <v>25</v>
      </c>
      <c r="F345" s="240">
        <f t="shared" si="163"/>
        <v>25</v>
      </c>
    </row>
    <row r="346" spans="1:6" ht="24" x14ac:dyDescent="0.2">
      <c r="A346" s="7" t="s">
        <v>73</v>
      </c>
      <c r="B346" s="3" t="s">
        <v>648</v>
      </c>
      <c r="C346" s="3" t="s">
        <v>80</v>
      </c>
      <c r="D346" s="240"/>
      <c r="E346" s="241">
        <f>4.08932+20.91068</f>
        <v>25</v>
      </c>
      <c r="F346" s="240">
        <f>D346+E346</f>
        <v>25</v>
      </c>
    </row>
    <row r="347" spans="1:6" x14ac:dyDescent="0.2">
      <c r="A347" s="4" t="s">
        <v>155</v>
      </c>
      <c r="B347" s="3" t="s">
        <v>154</v>
      </c>
      <c r="C347" s="3"/>
      <c r="D347" s="239">
        <f>D348</f>
        <v>1980.0735099999999</v>
      </c>
      <c r="E347" s="239">
        <f t="shared" ref="E347:F347" si="164">E348</f>
        <v>0</v>
      </c>
      <c r="F347" s="239">
        <f t="shared" si="164"/>
        <v>1980.0735099999999</v>
      </c>
    </row>
    <row r="348" spans="1:6" ht="48" x14ac:dyDescent="0.2">
      <c r="A348" s="4" t="s">
        <v>38</v>
      </c>
      <c r="B348" s="3" t="s">
        <v>154</v>
      </c>
      <c r="C348" s="3" t="s">
        <v>34</v>
      </c>
      <c r="D348" s="240">
        <v>1980.0735099999999</v>
      </c>
      <c r="E348" s="239"/>
      <c r="F348" s="240">
        <f>D348+E348</f>
        <v>1980.0735099999999</v>
      </c>
    </row>
    <row r="349" spans="1:6" x14ac:dyDescent="0.2">
      <c r="A349" s="4" t="s">
        <v>152</v>
      </c>
      <c r="B349" s="3" t="s">
        <v>151</v>
      </c>
      <c r="C349" s="3"/>
      <c r="D349" s="239">
        <f>D350</f>
        <v>1185.1483900000001</v>
      </c>
      <c r="E349" s="239">
        <f t="shared" ref="E349:F349" si="165">E350</f>
        <v>0</v>
      </c>
      <c r="F349" s="239">
        <f t="shared" si="165"/>
        <v>1185.1483900000001</v>
      </c>
    </row>
    <row r="350" spans="1:6" ht="48" x14ac:dyDescent="0.2">
      <c r="A350" s="4" t="s">
        <v>38</v>
      </c>
      <c r="B350" s="3" t="s">
        <v>151</v>
      </c>
      <c r="C350" s="3" t="s">
        <v>34</v>
      </c>
      <c r="D350" s="240">
        <v>1185.1483900000001</v>
      </c>
      <c r="E350" s="239"/>
      <c r="F350" s="240">
        <f>D350+E350</f>
        <v>1185.1483900000001</v>
      </c>
    </row>
    <row r="351" spans="1:6" ht="24" x14ac:dyDescent="0.2">
      <c r="A351" s="4" t="s">
        <v>150</v>
      </c>
      <c r="B351" s="3" t="s">
        <v>149</v>
      </c>
      <c r="C351" s="3"/>
      <c r="D351" s="239">
        <f>D352</f>
        <v>825.31812000000002</v>
      </c>
      <c r="E351" s="239">
        <f t="shared" ref="E351:F352" si="166">E352</f>
        <v>0</v>
      </c>
      <c r="F351" s="239">
        <f t="shared" si="166"/>
        <v>825.31812000000002</v>
      </c>
    </row>
    <row r="352" spans="1:6" ht="24" x14ac:dyDescent="0.2">
      <c r="A352" s="4" t="s">
        <v>148</v>
      </c>
      <c r="B352" s="3" t="s">
        <v>147</v>
      </c>
      <c r="C352" s="3"/>
      <c r="D352" s="239">
        <f>D353</f>
        <v>825.31812000000002</v>
      </c>
      <c r="E352" s="239">
        <f t="shared" si="166"/>
        <v>0</v>
      </c>
      <c r="F352" s="239">
        <f t="shared" si="166"/>
        <v>825.31812000000002</v>
      </c>
    </row>
    <row r="353" spans="1:7" ht="48.75" x14ac:dyDescent="0.25">
      <c r="A353" s="4" t="s">
        <v>38</v>
      </c>
      <c r="B353" s="3" t="s">
        <v>147</v>
      </c>
      <c r="C353" s="3" t="s">
        <v>34</v>
      </c>
      <c r="D353" s="248">
        <v>825.31812000000002</v>
      </c>
      <c r="E353" s="254"/>
      <c r="F353" s="248">
        <f>D353+E353</f>
        <v>825.31812000000002</v>
      </c>
    </row>
    <row r="354" spans="1:7" ht="24" x14ac:dyDescent="0.2">
      <c r="A354" s="4" t="s">
        <v>134</v>
      </c>
      <c r="B354" s="3" t="s">
        <v>133</v>
      </c>
      <c r="C354" s="3"/>
      <c r="D354" s="241">
        <f>D355</f>
        <v>1011.66806</v>
      </c>
      <c r="E354" s="241">
        <f t="shared" ref="E354:F355" si="167">E355</f>
        <v>0</v>
      </c>
      <c r="F354" s="241">
        <f t="shared" si="167"/>
        <v>1011.66806</v>
      </c>
    </row>
    <row r="355" spans="1:7" ht="24" x14ac:dyDescent="0.2">
      <c r="A355" s="4" t="s">
        <v>132</v>
      </c>
      <c r="B355" s="3" t="s">
        <v>131</v>
      </c>
      <c r="C355" s="3"/>
      <c r="D355" s="241">
        <f>D356</f>
        <v>1011.66806</v>
      </c>
      <c r="E355" s="241">
        <f t="shared" si="167"/>
        <v>0</v>
      </c>
      <c r="F355" s="241">
        <f t="shared" si="167"/>
        <v>1011.66806</v>
      </c>
    </row>
    <row r="356" spans="1:7" ht="48" x14ac:dyDescent="0.2">
      <c r="A356" s="4" t="s">
        <v>38</v>
      </c>
      <c r="B356" s="3" t="s">
        <v>131</v>
      </c>
      <c r="C356" s="3" t="s">
        <v>34</v>
      </c>
      <c r="D356" s="240">
        <v>1011.66806</v>
      </c>
      <c r="E356" s="241"/>
      <c r="F356" s="240">
        <f>D356+E356</f>
        <v>1011.66806</v>
      </c>
    </row>
    <row r="357" spans="1:7" s="29" customFormat="1" x14ac:dyDescent="0.2">
      <c r="A357" s="33" t="s">
        <v>210</v>
      </c>
      <c r="B357" s="5"/>
      <c r="C357" s="5"/>
      <c r="D357" s="255">
        <f>D9+D18+D32+D39+D46+D98+D124+D154+D163+D184+D336+D343+D347+D349+D351+D354+D113+D213+D220+D233+D272+D313+D247+D253+D262+D133+D61+D242+D224+D52+D345</f>
        <v>700506.02627999999</v>
      </c>
      <c r="E357" s="255">
        <f t="shared" ref="E357:F357" si="168">E9+E18+E32+E39+E46+E98+E124+E154+E163+E184+E336+E343+E347+E349+E351+E354+E113+E213+E220+E233+E272+E313+E247+E253+E262+E133+E61+E242+E224+E52+E345</f>
        <v>6917.82683</v>
      </c>
      <c r="F357" s="255">
        <f t="shared" si="168"/>
        <v>707423.85311000014</v>
      </c>
      <c r="G357" s="29">
        <v>667958.89795000001</v>
      </c>
    </row>
    <row r="358" spans="1:7" s="29" customFormat="1" x14ac:dyDescent="0.2">
      <c r="A358" s="27"/>
      <c r="B358" s="26"/>
      <c r="C358" s="26"/>
      <c r="D358" s="29">
        <v>700506.02627999999</v>
      </c>
      <c r="E358" s="58">
        <v>6917.82683</v>
      </c>
      <c r="F358" s="58">
        <f>D358+E358</f>
        <v>707423.85311000003</v>
      </c>
    </row>
    <row r="359" spans="1:7" s="29" customFormat="1" x14ac:dyDescent="0.2">
      <c r="A359" s="27"/>
      <c r="B359" s="32"/>
      <c r="C359" s="32"/>
      <c r="D359" s="58">
        <f t="shared" ref="D359" si="169">D357-D358</f>
        <v>0</v>
      </c>
      <c r="E359" s="58">
        <f>E357-E358</f>
        <v>0</v>
      </c>
      <c r="F359" s="58">
        <f>F357-F358</f>
        <v>0</v>
      </c>
    </row>
    <row r="361" spans="1:7" x14ac:dyDescent="0.2">
      <c r="B361" s="63" t="s">
        <v>324</v>
      </c>
      <c r="C361" s="64"/>
      <c r="D361" s="57">
        <f>D9</f>
        <v>14142.10866</v>
      </c>
      <c r="E361" s="57">
        <f>E9</f>
        <v>-811.15899999999999</v>
      </c>
      <c r="F361" s="57">
        <f>F9</f>
        <v>13330.94966</v>
      </c>
    </row>
    <row r="362" spans="1:7" x14ac:dyDescent="0.2">
      <c r="B362" s="63" t="s">
        <v>63</v>
      </c>
      <c r="C362" s="64"/>
      <c r="D362" s="57">
        <f>D18</f>
        <v>12487.644209999999</v>
      </c>
      <c r="E362" s="57">
        <f>E18</f>
        <v>0</v>
      </c>
      <c r="F362" s="57">
        <f>F18</f>
        <v>12487.644209999999</v>
      </c>
    </row>
    <row r="363" spans="1:7" x14ac:dyDescent="0.2">
      <c r="B363" s="63" t="s">
        <v>31</v>
      </c>
      <c r="C363" s="64"/>
      <c r="D363" s="57">
        <f>D32</f>
        <v>1356.106</v>
      </c>
      <c r="E363" s="57">
        <f>E32</f>
        <v>0</v>
      </c>
      <c r="F363" s="57">
        <f>F32</f>
        <v>1356.106</v>
      </c>
    </row>
    <row r="364" spans="1:7" x14ac:dyDescent="0.2">
      <c r="B364" s="63" t="s">
        <v>103</v>
      </c>
      <c r="C364" s="64"/>
      <c r="D364" s="57">
        <f>D39</f>
        <v>480</v>
      </c>
      <c r="E364" s="57">
        <f>E39</f>
        <v>0</v>
      </c>
      <c r="F364" s="57">
        <f>F39</f>
        <v>480</v>
      </c>
    </row>
    <row r="365" spans="1:7" s="34" customFormat="1" x14ac:dyDescent="0.2">
      <c r="A365" s="62"/>
      <c r="B365" s="65" t="s">
        <v>4</v>
      </c>
      <c r="C365" s="66"/>
      <c r="D365" s="56">
        <f t="shared" ref="D365" si="170">SUM(D361:D364)</f>
        <v>28465.858869999996</v>
      </c>
      <c r="E365" s="56">
        <f>SUM(E361:E364)</f>
        <v>-811.15899999999999</v>
      </c>
      <c r="F365" s="56">
        <f>SUM(F361:F364)</f>
        <v>27654.699869999997</v>
      </c>
    </row>
    <row r="366" spans="1:7" x14ac:dyDescent="0.2">
      <c r="B366" s="63" t="s">
        <v>75</v>
      </c>
      <c r="C366" s="64"/>
      <c r="D366" s="57">
        <f>D46</f>
        <v>1628.0509999999999</v>
      </c>
      <c r="E366" s="57">
        <f>E46</f>
        <v>0</v>
      </c>
      <c r="F366" s="57">
        <f>F46</f>
        <v>1628.0509999999999</v>
      </c>
    </row>
    <row r="367" spans="1:7" x14ac:dyDescent="0.2">
      <c r="B367" s="63" t="s">
        <v>632</v>
      </c>
      <c r="C367" s="64"/>
      <c r="D367" s="57">
        <f>D52</f>
        <v>6898.3645900000001</v>
      </c>
      <c r="E367" s="57">
        <f>E52</f>
        <v>0</v>
      </c>
      <c r="F367" s="57">
        <f>F52</f>
        <v>6898.3645900000001</v>
      </c>
    </row>
    <row r="368" spans="1:7" x14ac:dyDescent="0.2">
      <c r="B368" s="65" t="s">
        <v>562</v>
      </c>
      <c r="C368" s="64"/>
      <c r="D368" s="57"/>
      <c r="E368" s="57"/>
      <c r="F368" s="57"/>
    </row>
    <row r="369" spans="1:6" x14ac:dyDescent="0.2">
      <c r="B369" s="65" t="s">
        <v>563</v>
      </c>
      <c r="C369" s="64"/>
      <c r="D369" s="57">
        <f>D61</f>
        <v>46259.381049999996</v>
      </c>
      <c r="E369" s="57">
        <f>E61</f>
        <v>-255.26249000000001</v>
      </c>
      <c r="F369" s="57">
        <f>F61</f>
        <v>46004.118560000003</v>
      </c>
    </row>
    <row r="370" spans="1:6" x14ac:dyDescent="0.2">
      <c r="B370" s="65" t="s">
        <v>564</v>
      </c>
      <c r="C370" s="64"/>
      <c r="D370" s="57">
        <f>D98</f>
        <v>1338.53</v>
      </c>
      <c r="E370" s="57">
        <f>E98</f>
        <v>0</v>
      </c>
      <c r="F370" s="57">
        <f>F98</f>
        <v>1338.53</v>
      </c>
    </row>
    <row r="371" spans="1:6" x14ac:dyDescent="0.2">
      <c r="B371" s="63" t="s">
        <v>60</v>
      </c>
      <c r="C371" s="64"/>
      <c r="D371" s="57"/>
      <c r="E371" s="57"/>
      <c r="F371" s="57"/>
    </row>
    <row r="372" spans="1:6" x14ac:dyDescent="0.2">
      <c r="B372" s="63" t="s">
        <v>453</v>
      </c>
      <c r="C372" s="64"/>
      <c r="D372" s="57">
        <f>D113</f>
        <v>1314.9211599999999</v>
      </c>
      <c r="E372" s="57">
        <f>E113</f>
        <v>0</v>
      </c>
      <c r="F372" s="57">
        <f>F113</f>
        <v>1314.9211599999999</v>
      </c>
    </row>
    <row r="373" spans="1:6" s="34" customFormat="1" x14ac:dyDescent="0.2">
      <c r="A373" s="62"/>
      <c r="B373" s="65" t="s">
        <v>3</v>
      </c>
      <c r="C373" s="66"/>
      <c r="D373" s="56">
        <f>SUM(D366:D372)</f>
        <v>57439.247799999997</v>
      </c>
      <c r="E373" s="56">
        <f>SUM(E366:E372)</f>
        <v>-255.26249000000001</v>
      </c>
      <c r="F373" s="56">
        <f>SUM(F366:F372)</f>
        <v>57183.985310000004</v>
      </c>
    </row>
    <row r="374" spans="1:6" x14ac:dyDescent="0.2">
      <c r="B374" s="63" t="s">
        <v>139</v>
      </c>
      <c r="C374" s="64"/>
      <c r="D374" s="57"/>
      <c r="E374" s="57"/>
      <c r="F374" s="57"/>
    </row>
    <row r="375" spans="1:6" x14ac:dyDescent="0.2">
      <c r="B375" s="63" t="s">
        <v>12</v>
      </c>
      <c r="C375" s="64"/>
      <c r="D375" s="57"/>
      <c r="E375" s="57"/>
      <c r="F375" s="57"/>
    </row>
    <row r="376" spans="1:6" x14ac:dyDescent="0.2">
      <c r="B376" s="63" t="s">
        <v>97</v>
      </c>
      <c r="C376" s="64"/>
      <c r="D376" s="57"/>
      <c r="E376" s="57"/>
      <c r="F376" s="57"/>
    </row>
    <row r="377" spans="1:6" s="34" customFormat="1" x14ac:dyDescent="0.2">
      <c r="A377" s="62"/>
      <c r="B377" s="65" t="s">
        <v>522</v>
      </c>
      <c r="C377" s="66"/>
      <c r="D377" s="56">
        <f>SUM(D374:D376)</f>
        <v>0</v>
      </c>
      <c r="E377" s="56">
        <f t="shared" ref="E377:F377" si="171">SUM(E374:E376)</f>
        <v>0</v>
      </c>
      <c r="F377" s="56">
        <f t="shared" si="171"/>
        <v>0</v>
      </c>
    </row>
    <row r="378" spans="1:6" x14ac:dyDescent="0.2">
      <c r="B378" s="63" t="s">
        <v>139</v>
      </c>
      <c r="C378" s="64"/>
      <c r="D378" s="57">
        <f>D124</f>
        <v>4769.93588</v>
      </c>
      <c r="E378" s="57">
        <f>E124</f>
        <v>0</v>
      </c>
      <c r="F378" s="57">
        <f>F124</f>
        <v>4769.93588</v>
      </c>
    </row>
    <row r="379" spans="1:6" x14ac:dyDescent="0.2">
      <c r="B379" s="63" t="s">
        <v>12</v>
      </c>
      <c r="C379" s="64"/>
      <c r="D379" s="57">
        <f>D133</f>
        <v>39337.502999999997</v>
      </c>
      <c r="E379" s="57">
        <f>E133</f>
        <v>0</v>
      </c>
      <c r="F379" s="57">
        <f>F133</f>
        <v>39337.502999999997</v>
      </c>
    </row>
    <row r="380" spans="1:6" s="34" customFormat="1" x14ac:dyDescent="0.2">
      <c r="A380" s="62"/>
      <c r="B380" s="65" t="s">
        <v>523</v>
      </c>
      <c r="C380" s="66"/>
      <c r="D380" s="56">
        <f t="shared" ref="D380:E380" si="172">SUM(D378:D379)</f>
        <v>44107.438879999994</v>
      </c>
      <c r="E380" s="56">
        <f t="shared" si="172"/>
        <v>0</v>
      </c>
      <c r="F380" s="56">
        <f>SUM(F378:F379)</f>
        <v>44107.438879999994</v>
      </c>
    </row>
    <row r="381" spans="1:6" x14ac:dyDescent="0.2">
      <c r="B381" s="63" t="s">
        <v>419</v>
      </c>
      <c r="C381" s="64"/>
      <c r="D381" s="57">
        <f>D154</f>
        <v>3407.81</v>
      </c>
      <c r="E381" s="57">
        <f>E154</f>
        <v>0</v>
      </c>
      <c r="F381" s="57">
        <f>F154</f>
        <v>3407.81</v>
      </c>
    </row>
    <row r="382" spans="1:6" x14ac:dyDescent="0.2">
      <c r="B382" s="63" t="s">
        <v>418</v>
      </c>
      <c r="C382" s="64"/>
      <c r="D382" s="57"/>
      <c r="E382" s="57"/>
      <c r="F382" s="57"/>
    </row>
    <row r="383" spans="1:6" x14ac:dyDescent="0.2">
      <c r="B383" s="63" t="s">
        <v>95</v>
      </c>
      <c r="C383" s="64"/>
      <c r="D383" s="57">
        <f>D163</f>
        <v>3899.55134</v>
      </c>
      <c r="E383" s="57">
        <f>E163</f>
        <v>-374.44326000000001</v>
      </c>
      <c r="F383" s="57">
        <f>F163</f>
        <v>3525.10808</v>
      </c>
    </row>
    <row r="384" spans="1:6" x14ac:dyDescent="0.2">
      <c r="B384" s="65" t="s">
        <v>560</v>
      </c>
      <c r="C384" s="64"/>
      <c r="D384" s="57"/>
      <c r="E384" s="57"/>
      <c r="F384" s="57"/>
    </row>
    <row r="385" spans="1:6" s="34" customFormat="1" x14ac:dyDescent="0.2">
      <c r="A385" s="62"/>
      <c r="B385" s="65" t="s">
        <v>561</v>
      </c>
      <c r="C385" s="66"/>
      <c r="D385" s="57">
        <f>D184</f>
        <v>8425.0397999999986</v>
      </c>
      <c r="E385" s="57">
        <f>E184</f>
        <v>0</v>
      </c>
      <c r="F385" s="57">
        <f>F184</f>
        <v>8425.0397999999986</v>
      </c>
    </row>
    <row r="386" spans="1:6" x14ac:dyDescent="0.2">
      <c r="B386" s="63" t="s">
        <v>386</v>
      </c>
      <c r="C386" s="64"/>
      <c r="D386" s="57">
        <f>D213</f>
        <v>5551.8</v>
      </c>
      <c r="E386" s="57">
        <f>E213</f>
        <v>811.15899999999999</v>
      </c>
      <c r="F386" s="57">
        <f>F213</f>
        <v>6362.9589999999998</v>
      </c>
    </row>
    <row r="387" spans="1:6" s="34" customFormat="1" x14ac:dyDescent="0.2">
      <c r="A387" s="62"/>
      <c r="B387" s="63" t="s">
        <v>415</v>
      </c>
      <c r="C387" s="66"/>
      <c r="D387" s="57">
        <f>D220</f>
        <v>15</v>
      </c>
      <c r="E387" s="57">
        <f>E220</f>
        <v>0</v>
      </c>
      <c r="F387" s="57">
        <f>F220</f>
        <v>15</v>
      </c>
    </row>
    <row r="388" spans="1:6" x14ac:dyDescent="0.2">
      <c r="B388" s="65" t="s">
        <v>1</v>
      </c>
      <c r="C388" s="64"/>
      <c r="D388" s="56">
        <f t="shared" ref="D388:E388" si="173">SUM(D381:D387)</f>
        <v>21299.201139999997</v>
      </c>
      <c r="E388" s="56">
        <f t="shared" si="173"/>
        <v>436.71573999999998</v>
      </c>
      <c r="F388" s="56">
        <f>SUM(F381:F387)</f>
        <v>21735.916879999997</v>
      </c>
    </row>
    <row r="389" spans="1:6" s="34" customFormat="1" x14ac:dyDescent="0.2">
      <c r="A389" s="62"/>
      <c r="B389" s="63" t="s">
        <v>325</v>
      </c>
      <c r="C389" s="66"/>
      <c r="D389" s="57"/>
      <c r="E389" s="57"/>
      <c r="F389" s="57"/>
    </row>
    <row r="390" spans="1:6" x14ac:dyDescent="0.2">
      <c r="B390" s="65" t="s">
        <v>243</v>
      </c>
      <c r="C390" s="64"/>
      <c r="D390" s="56">
        <f>D389</f>
        <v>0</v>
      </c>
      <c r="E390" s="56">
        <f t="shared" ref="E390:F390" si="174">E389</f>
        <v>0</v>
      </c>
      <c r="F390" s="56">
        <f t="shared" si="174"/>
        <v>0</v>
      </c>
    </row>
    <row r="391" spans="1:6" x14ac:dyDescent="0.2">
      <c r="B391" s="63" t="s">
        <v>449</v>
      </c>
      <c r="C391" s="64"/>
      <c r="D391" s="57">
        <f>D247</f>
        <v>1455.9480100000001</v>
      </c>
      <c r="E391" s="57">
        <f>E247</f>
        <v>0</v>
      </c>
      <c r="F391" s="57">
        <f>F247</f>
        <v>1455.9480100000001</v>
      </c>
    </row>
    <row r="392" spans="1:6" x14ac:dyDescent="0.2">
      <c r="B392" s="63" t="s">
        <v>450</v>
      </c>
      <c r="C392" s="64"/>
      <c r="D392" s="57">
        <f>D253</f>
        <v>4239.24881</v>
      </c>
      <c r="E392" s="57">
        <f>E253</f>
        <v>0</v>
      </c>
      <c r="F392" s="57">
        <f>F253</f>
        <v>4239.24881</v>
      </c>
    </row>
    <row r="393" spans="1:6" x14ac:dyDescent="0.2">
      <c r="B393" s="63" t="s">
        <v>451</v>
      </c>
      <c r="C393" s="64"/>
      <c r="D393" s="57">
        <f>D262</f>
        <v>10415.27471</v>
      </c>
      <c r="E393" s="57">
        <f>E262</f>
        <v>0</v>
      </c>
      <c r="F393" s="57">
        <f>F262</f>
        <v>10415.27471</v>
      </c>
    </row>
    <row r="394" spans="1:6" x14ac:dyDescent="0.2">
      <c r="B394" s="63" t="s">
        <v>421</v>
      </c>
      <c r="C394" s="64"/>
      <c r="D394" s="57">
        <f>D272</f>
        <v>466654.89653999999</v>
      </c>
      <c r="E394" s="57">
        <f>E272</f>
        <v>6215.5325800000001</v>
      </c>
      <c r="F394" s="57">
        <f>F272</f>
        <v>472870.4291200001</v>
      </c>
    </row>
    <row r="395" spans="1:6" x14ac:dyDescent="0.2">
      <c r="B395" s="63" t="s">
        <v>430</v>
      </c>
      <c r="C395" s="64"/>
      <c r="D395" s="57">
        <f>D313</f>
        <v>31749.205840000002</v>
      </c>
      <c r="E395" s="57">
        <f>E313</f>
        <v>1048</v>
      </c>
      <c r="F395" s="57">
        <f>F313</f>
        <v>32797.205839999995</v>
      </c>
    </row>
    <row r="396" spans="1:6" x14ac:dyDescent="0.2">
      <c r="B396" s="65" t="s">
        <v>452</v>
      </c>
      <c r="C396" s="64"/>
      <c r="D396" s="56">
        <f t="shared" ref="D396:F396" si="175">SUM(D391:D395)</f>
        <v>514514.57390999998</v>
      </c>
      <c r="E396" s="56">
        <f t="shared" si="175"/>
        <v>7263.5325800000001</v>
      </c>
      <c r="F396" s="56">
        <f t="shared" si="175"/>
        <v>521778.10649000009</v>
      </c>
    </row>
    <row r="397" spans="1:6" x14ac:dyDescent="0.2">
      <c r="B397" s="63" t="s">
        <v>589</v>
      </c>
      <c r="C397" s="64"/>
      <c r="D397" s="57">
        <f>D224</f>
        <v>9534.5894999999982</v>
      </c>
      <c r="E397" s="57">
        <f>E224</f>
        <v>0</v>
      </c>
      <c r="F397" s="57">
        <f>F224</f>
        <v>9534.5894999999982</v>
      </c>
    </row>
    <row r="398" spans="1:6" x14ac:dyDescent="0.2">
      <c r="B398" s="63" t="s">
        <v>398</v>
      </c>
      <c r="C398" s="64"/>
      <c r="D398" s="57">
        <f>D233</f>
        <v>16099.8181</v>
      </c>
      <c r="E398" s="57">
        <f>E233</f>
        <v>259</v>
      </c>
      <c r="F398" s="57">
        <f>F233</f>
        <v>16358.8181</v>
      </c>
    </row>
    <row r="399" spans="1:6" x14ac:dyDescent="0.2">
      <c r="B399" s="63" t="s">
        <v>394</v>
      </c>
      <c r="C399" s="64"/>
      <c r="D399" s="57">
        <f>D242</f>
        <v>1543.0900000000001</v>
      </c>
      <c r="E399" s="57">
        <f>E242</f>
        <v>0</v>
      </c>
      <c r="F399" s="57">
        <f>F242</f>
        <v>1543.0900000000001</v>
      </c>
    </row>
    <row r="400" spans="1:6" x14ac:dyDescent="0.2">
      <c r="B400" s="65" t="s">
        <v>399</v>
      </c>
      <c r="C400" s="64"/>
      <c r="D400" s="56">
        <f>SUM(D397:D399)</f>
        <v>27177.497599999999</v>
      </c>
      <c r="E400" s="56">
        <f t="shared" ref="E400:F400" si="176">SUM(E397:E399)</f>
        <v>259</v>
      </c>
      <c r="F400" s="56">
        <f t="shared" si="176"/>
        <v>27436.497599999999</v>
      </c>
    </row>
    <row r="401" spans="2:6" x14ac:dyDescent="0.2">
      <c r="B401" s="63"/>
      <c r="C401" s="64"/>
      <c r="D401" s="57"/>
      <c r="E401" s="57"/>
      <c r="F401" s="57"/>
    </row>
    <row r="402" spans="2:6" x14ac:dyDescent="0.2">
      <c r="B402" s="63"/>
      <c r="C402" s="64"/>
      <c r="D402" s="57"/>
      <c r="E402" s="57"/>
      <c r="F402" s="57"/>
    </row>
    <row r="403" spans="2:6" x14ac:dyDescent="0.2">
      <c r="B403" s="65" t="s">
        <v>0</v>
      </c>
      <c r="C403" s="64"/>
      <c r="D403" s="56">
        <f>D337+D347+D349+D351+D354+D343+D345</f>
        <v>7502.2080800000003</v>
      </c>
      <c r="E403" s="56">
        <f>E337+E347+E349+E351+E354+E343+E345</f>
        <v>25</v>
      </c>
      <c r="F403" s="56">
        <f t="shared" ref="F403" si="177">F337+F347+F349+F351+F354+F343+F345</f>
        <v>7527.2080800000003</v>
      </c>
    </row>
    <row r="404" spans="2:6" x14ac:dyDescent="0.2">
      <c r="B404" s="64" t="s">
        <v>326</v>
      </c>
      <c r="C404" s="64"/>
      <c r="D404" s="56"/>
      <c r="E404" s="56"/>
      <c r="F404" s="56"/>
    </row>
    <row r="405" spans="2:6" x14ac:dyDescent="0.2">
      <c r="D405" s="57">
        <f>D365+D373+D380+D388+D390+D403+D404+D396+D400+D377</f>
        <v>700506.02627999999</v>
      </c>
      <c r="E405" s="57">
        <f t="shared" ref="E405:F405" si="178">E365+E373+E380+E388+E390+E403+E404+E396+E400+E377</f>
        <v>6917.82683</v>
      </c>
      <c r="F405" s="57">
        <f t="shared" si="178"/>
        <v>707423.85311000014</v>
      </c>
    </row>
    <row r="406" spans="2:6" x14ac:dyDescent="0.2">
      <c r="D406" s="57">
        <f>D357-D405</f>
        <v>0</v>
      </c>
      <c r="E406" s="57">
        <f>E357-E405</f>
        <v>0</v>
      </c>
      <c r="F406" s="57">
        <f>F357-F405</f>
        <v>0</v>
      </c>
    </row>
  </sheetData>
  <mergeCells count="9">
    <mergeCell ref="D1:F1"/>
    <mergeCell ref="G1:I1"/>
    <mergeCell ref="D2:F2"/>
    <mergeCell ref="A3:F3"/>
    <mergeCell ref="A5:A7"/>
    <mergeCell ref="B5:C6"/>
    <mergeCell ref="D5:D7"/>
    <mergeCell ref="E5:E7"/>
    <mergeCell ref="F5:F7"/>
  </mergeCells>
  <pageMargins left="0.9055118110236221" right="0" top="0" bottom="0" header="0" footer="0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2"/>
  <sheetViews>
    <sheetView tabSelected="1" view="pageBreakPreview" topLeftCell="A154" zoomScaleNormal="100" zoomScaleSheetLayoutView="100" workbookViewId="0">
      <selection activeCell="H150" sqref="H150"/>
    </sheetView>
  </sheetViews>
  <sheetFormatPr defaultRowHeight="15" x14ac:dyDescent="0.25"/>
  <cols>
    <col min="1" max="1" width="37.85546875" style="27" customWidth="1"/>
    <col min="2" max="3" width="6.28515625" style="26" customWidth="1"/>
    <col min="4" max="4" width="8.140625" style="26" customWidth="1"/>
    <col min="5" max="5" width="10.7109375" style="26" customWidth="1"/>
    <col min="6" max="6" width="7.5703125" style="26" customWidth="1"/>
    <col min="7" max="7" width="13.7109375" style="216" customWidth="1"/>
    <col min="8" max="8" width="13.5703125" style="216" customWidth="1"/>
    <col min="9" max="9" width="12.28515625" style="216" customWidth="1"/>
    <col min="10" max="10" width="13.7109375" style="26" customWidth="1"/>
    <col min="11" max="11" width="10" style="26" bestFit="1" customWidth="1"/>
    <col min="12" max="16384" width="9.140625" style="26"/>
  </cols>
  <sheetData>
    <row r="1" spans="1:10" x14ac:dyDescent="0.25">
      <c r="B1" s="39"/>
      <c r="C1" s="39"/>
      <c r="D1" s="39"/>
      <c r="E1" s="40"/>
      <c r="F1" s="40"/>
      <c r="G1" s="400" t="s">
        <v>573</v>
      </c>
      <c r="H1" s="401"/>
      <c r="I1" s="401"/>
    </row>
    <row r="2" spans="1:10" s="39" customFormat="1" ht="65.25" customHeight="1" x14ac:dyDescent="0.25">
      <c r="A2" s="49"/>
      <c r="E2" s="48"/>
      <c r="F2" s="50"/>
      <c r="G2" s="400" t="s">
        <v>974</v>
      </c>
      <c r="H2" s="401"/>
      <c r="I2" s="401"/>
    </row>
    <row r="3" spans="1:10" s="39" customFormat="1" ht="31.5" customHeight="1" x14ac:dyDescent="0.25">
      <c r="A3" s="383" t="s">
        <v>635</v>
      </c>
      <c r="B3" s="384"/>
      <c r="C3" s="384"/>
      <c r="D3" s="384"/>
      <c r="E3" s="384"/>
      <c r="F3" s="384"/>
      <c r="G3" s="385"/>
      <c r="H3" s="385"/>
      <c r="I3" s="385"/>
    </row>
    <row r="4" spans="1:10" x14ac:dyDescent="0.2">
      <c r="G4" s="215"/>
      <c r="H4" s="215"/>
      <c r="I4" s="215" t="s">
        <v>161</v>
      </c>
    </row>
    <row r="5" spans="1:10" s="34" customFormat="1" x14ac:dyDescent="0.2">
      <c r="A5" s="386" t="s">
        <v>220</v>
      </c>
      <c r="B5" s="389" t="s">
        <v>219</v>
      </c>
      <c r="C5" s="402"/>
      <c r="D5" s="402"/>
      <c r="E5" s="402"/>
      <c r="F5" s="390"/>
      <c r="G5" s="403" t="s">
        <v>597</v>
      </c>
      <c r="H5" s="405" t="s">
        <v>250</v>
      </c>
      <c r="I5" s="403" t="s">
        <v>594</v>
      </c>
    </row>
    <row r="6" spans="1:10" s="34" customFormat="1" ht="25.5" x14ac:dyDescent="0.2">
      <c r="A6" s="388"/>
      <c r="B6" s="38" t="s">
        <v>218</v>
      </c>
      <c r="C6" s="38" t="s">
        <v>160</v>
      </c>
      <c r="D6" s="38" t="s">
        <v>159</v>
      </c>
      <c r="E6" s="38" t="s">
        <v>158</v>
      </c>
      <c r="F6" s="38" t="s">
        <v>217</v>
      </c>
      <c r="G6" s="404"/>
      <c r="H6" s="406"/>
      <c r="I6" s="404"/>
    </row>
    <row r="7" spans="1:10" s="35" customFormat="1" ht="11.25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6">
        <v>7</v>
      </c>
      <c r="H7" s="36">
        <v>8</v>
      </c>
      <c r="I7" s="36">
        <v>9</v>
      </c>
    </row>
    <row r="8" spans="1:10" s="34" customFormat="1" ht="36" x14ac:dyDescent="0.2">
      <c r="A8" s="51" t="s">
        <v>247</v>
      </c>
      <c r="B8" s="5" t="s">
        <v>215</v>
      </c>
      <c r="C8" s="3"/>
      <c r="D8" s="3"/>
      <c r="E8" s="3"/>
      <c r="F8" s="3"/>
      <c r="G8" s="255">
        <f>G9+G98</f>
        <v>383650.3152800001</v>
      </c>
      <c r="H8" s="255">
        <f>H9+H98</f>
        <v>7216</v>
      </c>
      <c r="I8" s="255">
        <f>I9+I98</f>
        <v>390866.31528000004</v>
      </c>
      <c r="J8" s="72"/>
    </row>
    <row r="9" spans="1:10" ht="12.75" x14ac:dyDescent="0.2">
      <c r="A9" s="4" t="s">
        <v>90</v>
      </c>
      <c r="B9" s="3" t="s">
        <v>215</v>
      </c>
      <c r="C9" s="3" t="s">
        <v>79</v>
      </c>
      <c r="D9" s="3"/>
      <c r="E9" s="3"/>
      <c r="F9" s="3"/>
      <c r="G9" s="240">
        <f>G26+G68+G74+G10+G50</f>
        <v>378595.41528000007</v>
      </c>
      <c r="H9" s="240">
        <f>H26+H68+H74+H10+H50</f>
        <v>7216</v>
      </c>
      <c r="I9" s="240">
        <f>I26+I68+I74+I10+I50</f>
        <v>385811.41528000002</v>
      </c>
      <c r="J9" s="73"/>
    </row>
    <row r="10" spans="1:10" ht="12.75" x14ac:dyDescent="0.2">
      <c r="A10" s="4" t="s">
        <v>89</v>
      </c>
      <c r="B10" s="3" t="s">
        <v>215</v>
      </c>
      <c r="C10" s="3" t="s">
        <v>79</v>
      </c>
      <c r="D10" s="3" t="s">
        <v>15</v>
      </c>
      <c r="E10" s="3"/>
      <c r="F10" s="3"/>
      <c r="G10" s="240">
        <f>G11</f>
        <v>83087.972980000006</v>
      </c>
      <c r="H10" s="240">
        <f t="shared" ref="H10:I10" si="0">H11</f>
        <v>1005</v>
      </c>
      <c r="I10" s="240">
        <f t="shared" si="0"/>
        <v>84092.972980000006</v>
      </c>
      <c r="J10" s="73"/>
    </row>
    <row r="11" spans="1:10" ht="60" x14ac:dyDescent="0.2">
      <c r="A11" s="4" t="s">
        <v>353</v>
      </c>
      <c r="B11" s="3" t="s">
        <v>215</v>
      </c>
      <c r="C11" s="3" t="s">
        <v>79</v>
      </c>
      <c r="D11" s="3" t="s">
        <v>15</v>
      </c>
      <c r="E11" s="3" t="s">
        <v>421</v>
      </c>
      <c r="F11" s="3"/>
      <c r="G11" s="240">
        <f>G12+G23</f>
        <v>83087.972980000006</v>
      </c>
      <c r="H11" s="240">
        <f t="shared" ref="H11:I11" si="1">H12+H23</f>
        <v>1005</v>
      </c>
      <c r="I11" s="240">
        <f t="shared" si="1"/>
        <v>84092.972980000006</v>
      </c>
      <c r="J11" s="73"/>
    </row>
    <row r="12" spans="1:10" ht="60" x14ac:dyDescent="0.2">
      <c r="A12" s="4" t="s">
        <v>354</v>
      </c>
      <c r="B12" s="3" t="s">
        <v>215</v>
      </c>
      <c r="C12" s="3" t="s">
        <v>79</v>
      </c>
      <c r="D12" s="3" t="s">
        <v>15</v>
      </c>
      <c r="E12" s="3" t="s">
        <v>420</v>
      </c>
      <c r="F12" s="3"/>
      <c r="G12" s="240">
        <f>G13+G19+G17+G15+G21</f>
        <v>80899.660310000007</v>
      </c>
      <c r="H12" s="240">
        <f>H13+H19+H17+H15+H21</f>
        <v>1005</v>
      </c>
      <c r="I12" s="240">
        <f t="shared" ref="I12" si="2">I13+I19+I17+I15+I21</f>
        <v>81904.660310000007</v>
      </c>
      <c r="J12" s="73"/>
    </row>
    <row r="13" spans="1:10" ht="48" x14ac:dyDescent="0.2">
      <c r="A13" s="4" t="s">
        <v>216</v>
      </c>
      <c r="B13" s="3" t="s">
        <v>215</v>
      </c>
      <c r="C13" s="3" t="s">
        <v>79</v>
      </c>
      <c r="D13" s="3" t="s">
        <v>15</v>
      </c>
      <c r="E13" s="3" t="s">
        <v>422</v>
      </c>
      <c r="F13" s="3"/>
      <c r="G13" s="240">
        <f t="shared" ref="G13:I13" si="3">G14</f>
        <v>7108.6053099999999</v>
      </c>
      <c r="H13" s="240">
        <f t="shared" si="3"/>
        <v>89</v>
      </c>
      <c r="I13" s="240">
        <f t="shared" si="3"/>
        <v>7197.6053099999999</v>
      </c>
      <c r="J13" s="73"/>
    </row>
    <row r="14" spans="1:10" ht="36" x14ac:dyDescent="0.2">
      <c r="A14" s="4" t="s">
        <v>29</v>
      </c>
      <c r="B14" s="3" t="s">
        <v>215</v>
      </c>
      <c r="C14" s="3" t="s">
        <v>79</v>
      </c>
      <c r="D14" s="3" t="s">
        <v>15</v>
      </c>
      <c r="E14" s="3" t="s">
        <v>422</v>
      </c>
      <c r="F14" s="3" t="s">
        <v>26</v>
      </c>
      <c r="G14" s="240">
        <v>7108.6053099999999</v>
      </c>
      <c r="H14" s="240">
        <f>89</f>
        <v>89</v>
      </c>
      <c r="I14" s="240">
        <f>G14+H14</f>
        <v>7197.6053099999999</v>
      </c>
      <c r="J14" s="73">
        <f>2498.61+824.46+3614.43531+171.1</f>
        <v>7108.6053100000008</v>
      </c>
    </row>
    <row r="15" spans="1:10" ht="48" x14ac:dyDescent="0.2">
      <c r="A15" s="4" t="s">
        <v>355</v>
      </c>
      <c r="B15" s="3" t="s">
        <v>215</v>
      </c>
      <c r="C15" s="3" t="s">
        <v>79</v>
      </c>
      <c r="D15" s="3" t="s">
        <v>15</v>
      </c>
      <c r="E15" s="3" t="s">
        <v>423</v>
      </c>
      <c r="F15" s="3"/>
      <c r="G15" s="240">
        <f t="shared" ref="G15:I15" si="4">G16</f>
        <v>11718.415000000001</v>
      </c>
      <c r="H15" s="240">
        <f>H16</f>
        <v>0</v>
      </c>
      <c r="I15" s="240">
        <f t="shared" si="4"/>
        <v>11718.415000000001</v>
      </c>
      <c r="J15" s="73"/>
    </row>
    <row r="16" spans="1:10" ht="36" x14ac:dyDescent="0.2">
      <c r="A16" s="4" t="s">
        <v>29</v>
      </c>
      <c r="B16" s="3" t="s">
        <v>215</v>
      </c>
      <c r="C16" s="3" t="s">
        <v>79</v>
      </c>
      <c r="D16" s="3" t="s">
        <v>15</v>
      </c>
      <c r="E16" s="3" t="s">
        <v>423</v>
      </c>
      <c r="F16" s="200">
        <v>600</v>
      </c>
      <c r="G16" s="240">
        <v>11718.415000000001</v>
      </c>
      <c r="H16" s="240"/>
      <c r="I16" s="240">
        <f>G16+H16</f>
        <v>11718.415000000001</v>
      </c>
      <c r="J16" s="73">
        <f>8897.19+2821.225</f>
        <v>11718.415000000001</v>
      </c>
    </row>
    <row r="17" spans="1:11" ht="48" x14ac:dyDescent="0.2">
      <c r="A17" s="7" t="s">
        <v>86</v>
      </c>
      <c r="B17" s="3" t="s">
        <v>215</v>
      </c>
      <c r="C17" s="3" t="s">
        <v>79</v>
      </c>
      <c r="D17" s="3" t="s">
        <v>15</v>
      </c>
      <c r="E17" s="3" t="s">
        <v>424</v>
      </c>
      <c r="F17" s="3"/>
      <c r="G17" s="240">
        <f t="shared" ref="G17:I17" si="5">G18</f>
        <v>198</v>
      </c>
      <c r="H17" s="240">
        <f t="shared" si="5"/>
        <v>0</v>
      </c>
      <c r="I17" s="240">
        <f t="shared" si="5"/>
        <v>198</v>
      </c>
      <c r="J17" s="73"/>
    </row>
    <row r="18" spans="1:11" ht="36" x14ac:dyDescent="0.2">
      <c r="A18" s="4" t="s">
        <v>29</v>
      </c>
      <c r="B18" s="3" t="s">
        <v>215</v>
      </c>
      <c r="C18" s="3" t="s">
        <v>79</v>
      </c>
      <c r="D18" s="3" t="s">
        <v>15</v>
      </c>
      <c r="E18" s="3" t="s">
        <v>424</v>
      </c>
      <c r="F18" s="3" t="s">
        <v>26</v>
      </c>
      <c r="G18" s="240">
        <v>198</v>
      </c>
      <c r="H18" s="240"/>
      <c r="I18" s="240">
        <f>G18+H18</f>
        <v>198</v>
      </c>
      <c r="J18" s="73"/>
    </row>
    <row r="19" spans="1:11" ht="132" x14ac:dyDescent="0.2">
      <c r="A19" s="4" t="s">
        <v>333</v>
      </c>
      <c r="B19" s="3" t="s">
        <v>215</v>
      </c>
      <c r="C19" s="3" t="s">
        <v>79</v>
      </c>
      <c r="D19" s="3" t="s">
        <v>15</v>
      </c>
      <c r="E19" s="3" t="s">
        <v>426</v>
      </c>
      <c r="F19" s="3"/>
      <c r="G19" s="240">
        <f t="shared" ref="G19:I19" si="6">G20</f>
        <v>48325.4</v>
      </c>
      <c r="H19" s="240">
        <f t="shared" si="6"/>
        <v>916</v>
      </c>
      <c r="I19" s="240">
        <f t="shared" si="6"/>
        <v>49241.4</v>
      </c>
      <c r="J19" s="73"/>
    </row>
    <row r="20" spans="1:11" ht="36" x14ac:dyDescent="0.2">
      <c r="A20" s="4" t="s">
        <v>29</v>
      </c>
      <c r="B20" s="3" t="s">
        <v>215</v>
      </c>
      <c r="C20" s="3" t="s">
        <v>79</v>
      </c>
      <c r="D20" s="3" t="s">
        <v>15</v>
      </c>
      <c r="E20" s="3" t="s">
        <v>426</v>
      </c>
      <c r="F20" s="3" t="s">
        <v>26</v>
      </c>
      <c r="G20" s="240">
        <f>32436+15889.4</f>
        <v>48325.4</v>
      </c>
      <c r="H20" s="240">
        <f>916</f>
        <v>916</v>
      </c>
      <c r="I20" s="240">
        <f>G20+H20</f>
        <v>49241.4</v>
      </c>
      <c r="J20" s="73">
        <f>32436+15889.4</f>
        <v>48325.4</v>
      </c>
    </row>
    <row r="21" spans="1:11" ht="24" x14ac:dyDescent="0.2">
      <c r="A21" s="4" t="s">
        <v>527</v>
      </c>
      <c r="B21" s="3" t="s">
        <v>215</v>
      </c>
      <c r="C21" s="3" t="s">
        <v>79</v>
      </c>
      <c r="D21" s="3" t="s">
        <v>15</v>
      </c>
      <c r="E21" s="3" t="s">
        <v>533</v>
      </c>
      <c r="F21" s="3"/>
      <c r="G21" s="240">
        <f t="shared" ref="G21:I21" si="7">G22</f>
        <v>13549.24</v>
      </c>
      <c r="H21" s="240">
        <f t="shared" si="7"/>
        <v>0</v>
      </c>
      <c r="I21" s="240">
        <f t="shared" si="7"/>
        <v>13549.24</v>
      </c>
      <c r="J21" s="73"/>
    </row>
    <row r="22" spans="1:11" ht="36" x14ac:dyDescent="0.2">
      <c r="A22" s="4" t="s">
        <v>29</v>
      </c>
      <c r="B22" s="3" t="s">
        <v>215</v>
      </c>
      <c r="C22" s="3" t="s">
        <v>79</v>
      </c>
      <c r="D22" s="3" t="s">
        <v>15</v>
      </c>
      <c r="E22" s="3" t="s">
        <v>533</v>
      </c>
      <c r="F22" s="3" t="s">
        <v>26</v>
      </c>
      <c r="G22" s="240">
        <f>10658.57+2890.67</f>
        <v>13549.24</v>
      </c>
      <c r="H22" s="240"/>
      <c r="I22" s="240">
        <f>G22+H22</f>
        <v>13549.24</v>
      </c>
      <c r="J22" s="73">
        <f>10658.57+2890.67</f>
        <v>13549.24</v>
      </c>
    </row>
    <row r="23" spans="1:11" ht="48" x14ac:dyDescent="0.2">
      <c r="A23" s="7" t="s">
        <v>623</v>
      </c>
      <c r="B23" s="3" t="s">
        <v>80</v>
      </c>
      <c r="C23" s="3" t="s">
        <v>79</v>
      </c>
      <c r="D23" s="3" t="s">
        <v>15</v>
      </c>
      <c r="E23" s="3" t="s">
        <v>622</v>
      </c>
      <c r="F23" s="3"/>
      <c r="G23" s="240">
        <f>G24</f>
        <v>2188.3126699999998</v>
      </c>
      <c r="H23" s="240">
        <f t="shared" ref="H23:I24" si="8">H24</f>
        <v>0</v>
      </c>
      <c r="I23" s="240">
        <f t="shared" si="8"/>
        <v>2188.3126699999998</v>
      </c>
      <c r="J23" s="73"/>
    </row>
    <row r="24" spans="1:11" ht="24" x14ac:dyDescent="0.2">
      <c r="A24" s="7" t="s">
        <v>624</v>
      </c>
      <c r="B24" s="3" t="s">
        <v>80</v>
      </c>
      <c r="C24" s="3" t="s">
        <v>79</v>
      </c>
      <c r="D24" s="3" t="s">
        <v>15</v>
      </c>
      <c r="E24" s="3" t="s">
        <v>625</v>
      </c>
      <c r="F24" s="3"/>
      <c r="G24" s="240">
        <f>G25</f>
        <v>2188.3126699999998</v>
      </c>
      <c r="H24" s="240">
        <f t="shared" si="8"/>
        <v>0</v>
      </c>
      <c r="I24" s="240">
        <f t="shared" si="8"/>
        <v>2188.3126699999998</v>
      </c>
      <c r="J24" s="73"/>
    </row>
    <row r="25" spans="1:11" ht="24" x14ac:dyDescent="0.2">
      <c r="A25" s="4" t="s">
        <v>47</v>
      </c>
      <c r="B25" s="3" t="s">
        <v>80</v>
      </c>
      <c r="C25" s="3" t="s">
        <v>79</v>
      </c>
      <c r="D25" s="3" t="s">
        <v>15</v>
      </c>
      <c r="E25" s="3" t="s">
        <v>625</v>
      </c>
      <c r="F25" s="3" t="s">
        <v>51</v>
      </c>
      <c r="G25" s="240">
        <v>2188.3126699999998</v>
      </c>
      <c r="H25" s="240"/>
      <c r="I25" s="240">
        <f>G25+H25</f>
        <v>2188.3126699999998</v>
      </c>
      <c r="J25" s="73"/>
    </row>
    <row r="26" spans="1:11" ht="12.75" x14ac:dyDescent="0.2">
      <c r="A26" s="4" t="s">
        <v>88</v>
      </c>
      <c r="B26" s="3" t="s">
        <v>215</v>
      </c>
      <c r="C26" s="3" t="s">
        <v>79</v>
      </c>
      <c r="D26" s="3" t="s">
        <v>27</v>
      </c>
      <c r="E26" s="3"/>
      <c r="F26" s="3"/>
      <c r="G26" s="240">
        <f>G27+G48</f>
        <v>254422.12756000002</v>
      </c>
      <c r="H26" s="240">
        <f>H27+H48</f>
        <v>5116</v>
      </c>
      <c r="I26" s="240">
        <f>I27+I48</f>
        <v>259538.12755999999</v>
      </c>
      <c r="J26" s="73"/>
    </row>
    <row r="27" spans="1:11" ht="60" x14ac:dyDescent="0.2">
      <c r="A27" s="4" t="s">
        <v>353</v>
      </c>
      <c r="B27" s="3" t="s">
        <v>215</v>
      </c>
      <c r="C27" s="3" t="s">
        <v>79</v>
      </c>
      <c r="D27" s="3" t="s">
        <v>27</v>
      </c>
      <c r="E27" s="3" t="s">
        <v>421</v>
      </c>
      <c r="F27" s="3"/>
      <c r="G27" s="240">
        <f>G28+G45</f>
        <v>254409.62756000002</v>
      </c>
      <c r="H27" s="240">
        <f t="shared" ref="H27:I27" si="9">H28+H45</f>
        <v>5116</v>
      </c>
      <c r="I27" s="240">
        <f t="shared" si="9"/>
        <v>259525.62755999999</v>
      </c>
      <c r="J27" s="73"/>
    </row>
    <row r="28" spans="1:11" ht="60" x14ac:dyDescent="0.2">
      <c r="A28" s="4" t="s">
        <v>354</v>
      </c>
      <c r="B28" s="3" t="s">
        <v>215</v>
      </c>
      <c r="C28" s="3" t="s">
        <v>79</v>
      </c>
      <c r="D28" s="3" t="s">
        <v>27</v>
      </c>
      <c r="E28" s="3" t="s">
        <v>420</v>
      </c>
      <c r="F28" s="3"/>
      <c r="G28" s="240">
        <f>G29+G39+G41+G33+G31+G43+G37+G35</f>
        <v>249576.10704000003</v>
      </c>
      <c r="H28" s="240">
        <f t="shared" ref="H28:I28" si="10">H29+H39+H41+H33+H31+H43+H37+H35</f>
        <v>5116</v>
      </c>
      <c r="I28" s="240">
        <f t="shared" si="10"/>
        <v>254692.10704</v>
      </c>
      <c r="J28" s="73"/>
    </row>
    <row r="29" spans="1:11" ht="48" x14ac:dyDescent="0.2">
      <c r="A29" s="4" t="s">
        <v>216</v>
      </c>
      <c r="B29" s="3" t="s">
        <v>215</v>
      </c>
      <c r="C29" s="3" t="s">
        <v>79</v>
      </c>
      <c r="D29" s="3" t="s">
        <v>27</v>
      </c>
      <c r="E29" s="3" t="s">
        <v>422</v>
      </c>
      <c r="F29" s="3"/>
      <c r="G29" s="240">
        <f t="shared" ref="G29:I29" si="11">G30</f>
        <v>42990.552349999998</v>
      </c>
      <c r="H29" s="240">
        <f>H30</f>
        <v>-128.08199999999999</v>
      </c>
      <c r="I29" s="240">
        <f t="shared" si="11"/>
        <v>42862.470349999996</v>
      </c>
      <c r="J29" s="73"/>
    </row>
    <row r="30" spans="1:11" ht="36" x14ac:dyDescent="0.2">
      <c r="A30" s="4" t="s">
        <v>29</v>
      </c>
      <c r="B30" s="3" t="s">
        <v>215</v>
      </c>
      <c r="C30" s="3" t="s">
        <v>79</v>
      </c>
      <c r="D30" s="3" t="s">
        <v>27</v>
      </c>
      <c r="E30" s="3" t="s">
        <v>422</v>
      </c>
      <c r="F30" s="3" t="s">
        <v>26</v>
      </c>
      <c r="G30" s="240">
        <v>42990.552349999998</v>
      </c>
      <c r="H30" s="240">
        <f>-229.33+101.248</f>
        <v>-128.08199999999999</v>
      </c>
      <c r="I30" s="240">
        <f>G30+H30</f>
        <v>42862.470349999996</v>
      </c>
      <c r="J30" s="217">
        <f>38453.31481+4546.23754</f>
        <v>42999.552350000005</v>
      </c>
      <c r="K30" s="2">
        <f>21620.45+7307.6505+1002.3575</f>
        <v>29930.457999999999</v>
      </c>
    </row>
    <row r="31" spans="1:11" ht="48" x14ac:dyDescent="0.2">
      <c r="A31" s="4" t="s">
        <v>355</v>
      </c>
      <c r="B31" s="3" t="s">
        <v>215</v>
      </c>
      <c r="C31" s="3" t="s">
        <v>79</v>
      </c>
      <c r="D31" s="3" t="s">
        <v>27</v>
      </c>
      <c r="E31" s="3" t="s">
        <v>423</v>
      </c>
      <c r="F31" s="3"/>
      <c r="G31" s="240">
        <f t="shared" ref="G31:I31" si="12">G32</f>
        <v>26409.83123</v>
      </c>
      <c r="H31" s="240">
        <f t="shared" si="12"/>
        <v>0</v>
      </c>
      <c r="I31" s="240">
        <f t="shared" si="12"/>
        <v>26409.83123</v>
      </c>
      <c r="J31" s="73"/>
    </row>
    <row r="32" spans="1:11" ht="36" x14ac:dyDescent="0.2">
      <c r="A32" s="4" t="s">
        <v>29</v>
      </c>
      <c r="B32" s="3" t="s">
        <v>215</v>
      </c>
      <c r="C32" s="3" t="s">
        <v>79</v>
      </c>
      <c r="D32" s="3" t="s">
        <v>27</v>
      </c>
      <c r="E32" s="3" t="s">
        <v>423</v>
      </c>
      <c r="F32" s="3" t="s">
        <v>26</v>
      </c>
      <c r="G32" s="240">
        <v>26409.83123</v>
      </c>
      <c r="H32" s="240"/>
      <c r="I32" s="240">
        <f>G32+H32</f>
        <v>26409.83123</v>
      </c>
      <c r="J32" s="73">
        <f>26409.83123</f>
        <v>26409.83123</v>
      </c>
    </row>
    <row r="33" spans="1:10" ht="48" x14ac:dyDescent="0.2">
      <c r="A33" s="7" t="s">
        <v>86</v>
      </c>
      <c r="B33" s="3" t="s">
        <v>215</v>
      </c>
      <c r="C33" s="3" t="s">
        <v>79</v>
      </c>
      <c r="D33" s="3" t="s">
        <v>27</v>
      </c>
      <c r="E33" s="3" t="s">
        <v>424</v>
      </c>
      <c r="F33" s="3"/>
      <c r="G33" s="240">
        <f t="shared" ref="G33:I33" si="13">G34</f>
        <v>3002</v>
      </c>
      <c r="H33" s="240">
        <f>H34</f>
        <v>0</v>
      </c>
      <c r="I33" s="240">
        <f t="shared" si="13"/>
        <v>3002</v>
      </c>
      <c r="J33" s="73"/>
    </row>
    <row r="34" spans="1:10" ht="36" x14ac:dyDescent="0.2">
      <c r="A34" s="4" t="s">
        <v>29</v>
      </c>
      <c r="B34" s="3" t="s">
        <v>215</v>
      </c>
      <c r="C34" s="3" t="s">
        <v>79</v>
      </c>
      <c r="D34" s="3" t="s">
        <v>27</v>
      </c>
      <c r="E34" s="3" t="s">
        <v>424</v>
      </c>
      <c r="F34" s="3" t="s">
        <v>26</v>
      </c>
      <c r="G34" s="240">
        <v>3002</v>
      </c>
      <c r="H34" s="240"/>
      <c r="I34" s="240">
        <f>G34+H34</f>
        <v>3002</v>
      </c>
      <c r="J34" s="73">
        <v>3002</v>
      </c>
    </row>
    <row r="35" spans="1:10" ht="36" x14ac:dyDescent="0.2">
      <c r="A35" s="4" t="s">
        <v>636</v>
      </c>
      <c r="B35" s="3" t="s">
        <v>215</v>
      </c>
      <c r="C35" s="3" t="s">
        <v>79</v>
      </c>
      <c r="D35" s="3" t="s">
        <v>27</v>
      </c>
      <c r="E35" s="3" t="s">
        <v>637</v>
      </c>
      <c r="F35" s="3"/>
      <c r="G35" s="240">
        <f t="shared" ref="G35:I37" si="14">G36</f>
        <v>0</v>
      </c>
      <c r="H35" s="240">
        <f t="shared" si="14"/>
        <v>2259.0819999999999</v>
      </c>
      <c r="I35" s="240">
        <f t="shared" si="14"/>
        <v>2259.0819999999999</v>
      </c>
      <c r="J35" s="73"/>
    </row>
    <row r="36" spans="1:10" ht="36" x14ac:dyDescent="0.2">
      <c r="A36" s="4" t="s">
        <v>29</v>
      </c>
      <c r="B36" s="3" t="s">
        <v>215</v>
      </c>
      <c r="C36" s="3" t="s">
        <v>79</v>
      </c>
      <c r="D36" s="3" t="s">
        <v>27</v>
      </c>
      <c r="E36" s="3" t="s">
        <v>637</v>
      </c>
      <c r="F36" s="3" t="s">
        <v>26</v>
      </c>
      <c r="G36" s="240"/>
      <c r="H36" s="240">
        <f>2259.082</f>
        <v>2259.0819999999999</v>
      </c>
      <c r="I36" s="240">
        <f>G36+H36</f>
        <v>2259.0819999999999</v>
      </c>
      <c r="J36" s="73">
        <v>2802.9591799999998</v>
      </c>
    </row>
    <row r="37" spans="1:10" ht="60" x14ac:dyDescent="0.2">
      <c r="A37" s="4" t="s">
        <v>356</v>
      </c>
      <c r="B37" s="3" t="s">
        <v>215</v>
      </c>
      <c r="C37" s="3" t="s">
        <v>79</v>
      </c>
      <c r="D37" s="3" t="s">
        <v>27</v>
      </c>
      <c r="E37" s="3" t="s">
        <v>425</v>
      </c>
      <c r="F37" s="3"/>
      <c r="G37" s="240">
        <f t="shared" si="14"/>
        <v>2802.9591799999998</v>
      </c>
      <c r="H37" s="240">
        <f t="shared" si="14"/>
        <v>0</v>
      </c>
      <c r="I37" s="240">
        <f t="shared" si="14"/>
        <v>2802.9591799999998</v>
      </c>
      <c r="J37" s="73"/>
    </row>
    <row r="38" spans="1:10" ht="36" x14ac:dyDescent="0.2">
      <c r="A38" s="4" t="s">
        <v>29</v>
      </c>
      <c r="B38" s="3" t="s">
        <v>215</v>
      </c>
      <c r="C38" s="3" t="s">
        <v>79</v>
      </c>
      <c r="D38" s="3" t="s">
        <v>27</v>
      </c>
      <c r="E38" s="3" t="s">
        <v>425</v>
      </c>
      <c r="F38" s="3" t="s">
        <v>26</v>
      </c>
      <c r="G38" s="240">
        <f>2802.95918</f>
        <v>2802.9591799999998</v>
      </c>
      <c r="H38" s="240"/>
      <c r="I38" s="240">
        <f>G38+H38</f>
        <v>2802.9591799999998</v>
      </c>
      <c r="J38" s="73">
        <v>2802.9591799999998</v>
      </c>
    </row>
    <row r="39" spans="1:10" ht="132" x14ac:dyDescent="0.2">
      <c r="A39" s="4" t="s">
        <v>333</v>
      </c>
      <c r="B39" s="3" t="s">
        <v>215</v>
      </c>
      <c r="C39" s="3" t="s">
        <v>79</v>
      </c>
      <c r="D39" s="3" t="s">
        <v>27</v>
      </c>
      <c r="E39" s="3" t="s">
        <v>426</v>
      </c>
      <c r="F39" s="3"/>
      <c r="G39" s="240">
        <f t="shared" ref="G39:I39" si="15">G40</f>
        <v>142055.29999999999</v>
      </c>
      <c r="H39" s="240">
        <f t="shared" si="15"/>
        <v>2985</v>
      </c>
      <c r="I39" s="240">
        <f t="shared" si="15"/>
        <v>145040.29999999999</v>
      </c>
      <c r="J39" s="73"/>
    </row>
    <row r="40" spans="1:10" ht="36" x14ac:dyDescent="0.2">
      <c r="A40" s="4" t="s">
        <v>29</v>
      </c>
      <c r="B40" s="3" t="s">
        <v>215</v>
      </c>
      <c r="C40" s="3" t="s">
        <v>79</v>
      </c>
      <c r="D40" s="3" t="s">
        <v>27</v>
      </c>
      <c r="E40" s="3" t="s">
        <v>426</v>
      </c>
      <c r="F40" s="3" t="s">
        <v>26</v>
      </c>
      <c r="G40" s="240">
        <v>142055.29999999999</v>
      </c>
      <c r="H40" s="240">
        <f>2985</f>
        <v>2985</v>
      </c>
      <c r="I40" s="240">
        <f>G40+H40</f>
        <v>145040.29999999999</v>
      </c>
      <c r="J40" s="73">
        <v>142055.29999999999</v>
      </c>
    </row>
    <row r="41" spans="1:10" ht="36" x14ac:dyDescent="0.2">
      <c r="A41" s="4" t="s">
        <v>233</v>
      </c>
      <c r="B41" s="3" t="s">
        <v>215</v>
      </c>
      <c r="C41" s="3" t="s">
        <v>79</v>
      </c>
      <c r="D41" s="3" t="s">
        <v>27</v>
      </c>
      <c r="E41" s="3" t="s">
        <v>427</v>
      </c>
      <c r="F41" s="3"/>
      <c r="G41" s="240">
        <f t="shared" ref="G41:I41" si="16">G42</f>
        <v>1126.83673</v>
      </c>
      <c r="H41" s="240">
        <f t="shared" si="16"/>
        <v>0</v>
      </c>
      <c r="I41" s="240">
        <f t="shared" si="16"/>
        <v>1126.83673</v>
      </c>
      <c r="J41" s="73"/>
    </row>
    <row r="42" spans="1:10" ht="36" x14ac:dyDescent="0.2">
      <c r="A42" s="4" t="s">
        <v>29</v>
      </c>
      <c r="B42" s="3" t="s">
        <v>215</v>
      </c>
      <c r="C42" s="3" t="s">
        <v>79</v>
      </c>
      <c r="D42" s="3" t="s">
        <v>27</v>
      </c>
      <c r="E42" s="3" t="s">
        <v>427</v>
      </c>
      <c r="F42" s="3" t="s">
        <v>26</v>
      </c>
      <c r="G42" s="240">
        <v>1126.83673</v>
      </c>
      <c r="H42" s="240"/>
      <c r="I42" s="240">
        <f>G42+H42</f>
        <v>1126.83673</v>
      </c>
      <c r="J42" s="73">
        <v>1126.83673</v>
      </c>
    </row>
    <row r="43" spans="1:10" ht="24" x14ac:dyDescent="0.2">
      <c r="A43" s="4" t="s">
        <v>527</v>
      </c>
      <c r="B43" s="3" t="s">
        <v>215</v>
      </c>
      <c r="C43" s="3" t="s">
        <v>79</v>
      </c>
      <c r="D43" s="3" t="s">
        <v>27</v>
      </c>
      <c r="E43" s="3" t="s">
        <v>533</v>
      </c>
      <c r="F43" s="3"/>
      <c r="G43" s="240">
        <f t="shared" ref="G43:I43" si="17">G44</f>
        <v>31188.627550000001</v>
      </c>
      <c r="H43" s="240">
        <f t="shared" si="17"/>
        <v>0</v>
      </c>
      <c r="I43" s="240">
        <f t="shared" si="17"/>
        <v>31188.627550000001</v>
      </c>
      <c r="J43" s="73"/>
    </row>
    <row r="44" spans="1:10" ht="36" x14ac:dyDescent="0.2">
      <c r="A44" s="4" t="s">
        <v>29</v>
      </c>
      <c r="B44" s="3" t="s">
        <v>215</v>
      </c>
      <c r="C44" s="3" t="s">
        <v>79</v>
      </c>
      <c r="D44" s="3" t="s">
        <v>27</v>
      </c>
      <c r="E44" s="3" t="s">
        <v>533</v>
      </c>
      <c r="F44" s="3" t="s">
        <v>26</v>
      </c>
      <c r="G44" s="240">
        <v>31188.627550000001</v>
      </c>
      <c r="H44" s="240"/>
      <c r="I44" s="240">
        <f>G44+H44</f>
        <v>31188.627550000001</v>
      </c>
      <c r="J44" s="73">
        <v>31188.627550000001</v>
      </c>
    </row>
    <row r="45" spans="1:10" ht="36" x14ac:dyDescent="0.2">
      <c r="A45" s="4" t="s">
        <v>630</v>
      </c>
      <c r="B45" s="3" t="s">
        <v>215</v>
      </c>
      <c r="C45" s="3" t="s">
        <v>79</v>
      </c>
      <c r="D45" s="3" t="s">
        <v>27</v>
      </c>
      <c r="E45" s="3" t="s">
        <v>631</v>
      </c>
      <c r="F45" s="3"/>
      <c r="G45" s="240">
        <f>G46</f>
        <v>4833.52052</v>
      </c>
      <c r="H45" s="240">
        <f t="shared" ref="H45:I45" si="18">H46</f>
        <v>0</v>
      </c>
      <c r="I45" s="240">
        <f t="shared" si="18"/>
        <v>4833.52052</v>
      </c>
      <c r="J45" s="73"/>
    </row>
    <row r="46" spans="1:10" ht="36" x14ac:dyDescent="0.2">
      <c r="A46" s="4" t="s">
        <v>358</v>
      </c>
      <c r="B46" s="3" t="s">
        <v>215</v>
      </c>
      <c r="C46" s="3" t="s">
        <v>79</v>
      </c>
      <c r="D46" s="3" t="s">
        <v>27</v>
      </c>
      <c r="E46" s="3" t="s">
        <v>600</v>
      </c>
      <c r="F46" s="3"/>
      <c r="G46" s="240">
        <f t="shared" ref="G46:I46" si="19">G47</f>
        <v>4833.52052</v>
      </c>
      <c r="H46" s="240">
        <f t="shared" si="19"/>
        <v>0</v>
      </c>
      <c r="I46" s="240">
        <f t="shared" si="19"/>
        <v>4833.52052</v>
      </c>
      <c r="J46" s="73"/>
    </row>
    <row r="47" spans="1:10" ht="36" x14ac:dyDescent="0.2">
      <c r="A47" s="4" t="s">
        <v>29</v>
      </c>
      <c r="B47" s="3" t="s">
        <v>215</v>
      </c>
      <c r="C47" s="3" t="s">
        <v>79</v>
      </c>
      <c r="D47" s="3" t="s">
        <v>27</v>
      </c>
      <c r="E47" s="3" t="s">
        <v>600</v>
      </c>
      <c r="F47" s="3" t="s">
        <v>26</v>
      </c>
      <c r="G47" s="240">
        <v>4833.52052</v>
      </c>
      <c r="H47" s="240"/>
      <c r="I47" s="240">
        <f>G47+H47</f>
        <v>4833.52052</v>
      </c>
      <c r="J47" s="73">
        <v>4833.52052</v>
      </c>
    </row>
    <row r="48" spans="1:10" ht="12.75" x14ac:dyDescent="0.2">
      <c r="A48" s="4" t="s">
        <v>46</v>
      </c>
      <c r="B48" s="3" t="s">
        <v>215</v>
      </c>
      <c r="C48" s="3" t="s">
        <v>79</v>
      </c>
      <c r="D48" s="3" t="s">
        <v>27</v>
      </c>
      <c r="E48" s="3" t="s">
        <v>44</v>
      </c>
      <c r="F48" s="3"/>
      <c r="G48" s="240">
        <f>G49</f>
        <v>12.5</v>
      </c>
      <c r="H48" s="240">
        <f t="shared" ref="H48:I48" si="20">H49</f>
        <v>0</v>
      </c>
      <c r="I48" s="240">
        <f t="shared" si="20"/>
        <v>12.5</v>
      </c>
      <c r="J48" s="73"/>
    </row>
    <row r="49" spans="1:10" ht="36" x14ac:dyDescent="0.2">
      <c r="A49" s="4" t="s">
        <v>29</v>
      </c>
      <c r="B49" s="3" t="s">
        <v>215</v>
      </c>
      <c r="C49" s="3" t="s">
        <v>79</v>
      </c>
      <c r="D49" s="3" t="s">
        <v>27</v>
      </c>
      <c r="E49" s="3" t="s">
        <v>44</v>
      </c>
      <c r="F49" s="3" t="s">
        <v>26</v>
      </c>
      <c r="G49" s="240">
        <v>12.5</v>
      </c>
      <c r="H49" s="240"/>
      <c r="I49" s="240">
        <f>G49+H49</f>
        <v>12.5</v>
      </c>
      <c r="J49" s="73">
        <v>12.5</v>
      </c>
    </row>
    <row r="50" spans="1:10" ht="12.75" x14ac:dyDescent="0.2">
      <c r="A50" s="4" t="s">
        <v>242</v>
      </c>
      <c r="B50" s="3" t="s">
        <v>215</v>
      </c>
      <c r="C50" s="3" t="s">
        <v>79</v>
      </c>
      <c r="D50" s="3" t="s">
        <v>6</v>
      </c>
      <c r="E50" s="3"/>
      <c r="F50" s="3"/>
      <c r="G50" s="240">
        <f>G51</f>
        <v>23543.343210000003</v>
      </c>
      <c r="H50" s="240">
        <f t="shared" ref="H50:I50" si="21">H51</f>
        <v>1095</v>
      </c>
      <c r="I50" s="240">
        <f t="shared" si="21"/>
        <v>24638.343209999999</v>
      </c>
      <c r="J50" s="73"/>
    </row>
    <row r="51" spans="1:10" ht="60" x14ac:dyDescent="0.2">
      <c r="A51" s="4" t="s">
        <v>359</v>
      </c>
      <c r="B51" s="3" t="s">
        <v>215</v>
      </c>
      <c r="C51" s="3" t="s">
        <v>79</v>
      </c>
      <c r="D51" s="3" t="s">
        <v>6</v>
      </c>
      <c r="E51" s="3" t="s">
        <v>430</v>
      </c>
      <c r="F51" s="3"/>
      <c r="G51" s="240">
        <f>G52+G61</f>
        <v>23543.343210000003</v>
      </c>
      <c r="H51" s="240">
        <f t="shared" ref="H51:I51" si="22">H52+H61</f>
        <v>1095</v>
      </c>
      <c r="I51" s="240">
        <f t="shared" si="22"/>
        <v>24638.343209999999</v>
      </c>
      <c r="J51" s="73"/>
    </row>
    <row r="52" spans="1:10" ht="24" x14ac:dyDescent="0.2">
      <c r="A52" s="4" t="s">
        <v>85</v>
      </c>
      <c r="B52" s="3" t="s">
        <v>215</v>
      </c>
      <c r="C52" s="3" t="s">
        <v>79</v>
      </c>
      <c r="D52" s="3" t="s">
        <v>6</v>
      </c>
      <c r="E52" s="3" t="s">
        <v>431</v>
      </c>
      <c r="F52" s="3"/>
      <c r="G52" s="240">
        <f>G53+G55+G59+G57</f>
        <v>23543.343210000003</v>
      </c>
      <c r="H52" s="240">
        <f t="shared" ref="H52:I52" si="23">H53+H55+H59+H57</f>
        <v>-2745</v>
      </c>
      <c r="I52" s="240">
        <f t="shared" si="23"/>
        <v>20798.343209999999</v>
      </c>
      <c r="J52" s="73"/>
    </row>
    <row r="53" spans="1:10" ht="24" x14ac:dyDescent="0.2">
      <c r="A53" s="4" t="s">
        <v>360</v>
      </c>
      <c r="B53" s="3" t="s">
        <v>215</v>
      </c>
      <c r="C53" s="3" t="s">
        <v>79</v>
      </c>
      <c r="D53" s="3" t="s">
        <v>6</v>
      </c>
      <c r="E53" s="3" t="s">
        <v>432</v>
      </c>
      <c r="F53" s="3"/>
      <c r="G53" s="240">
        <f t="shared" ref="G53:I53" si="24">G54</f>
        <v>14864.37242</v>
      </c>
      <c r="H53" s="240">
        <f t="shared" si="24"/>
        <v>-2729.2179999999998</v>
      </c>
      <c r="I53" s="240">
        <f t="shared" si="24"/>
        <v>12135.154419999999</v>
      </c>
      <c r="J53" s="73"/>
    </row>
    <row r="54" spans="1:10" ht="36" x14ac:dyDescent="0.2">
      <c r="A54" s="4" t="s">
        <v>29</v>
      </c>
      <c r="B54" s="3" t="s">
        <v>215</v>
      </c>
      <c r="C54" s="3" t="s">
        <v>79</v>
      </c>
      <c r="D54" s="3" t="s">
        <v>6</v>
      </c>
      <c r="E54" s="3" t="s">
        <v>432</v>
      </c>
      <c r="F54" s="3" t="s">
        <v>26</v>
      </c>
      <c r="G54" s="240">
        <v>14864.37242</v>
      </c>
      <c r="H54" s="240">
        <f>-2707.83-21.388</f>
        <v>-2729.2179999999998</v>
      </c>
      <c r="I54" s="240">
        <f>G54+H54</f>
        <v>12135.154419999999</v>
      </c>
      <c r="J54" s="73">
        <f>13348.77242+1515.6</f>
        <v>14864.37242</v>
      </c>
    </row>
    <row r="55" spans="1:10" ht="24" x14ac:dyDescent="0.2">
      <c r="A55" s="4" t="s">
        <v>361</v>
      </c>
      <c r="B55" s="3" t="s">
        <v>215</v>
      </c>
      <c r="C55" s="3" t="s">
        <v>79</v>
      </c>
      <c r="D55" s="3" t="s">
        <v>6</v>
      </c>
      <c r="E55" s="3" t="s">
        <v>509</v>
      </c>
      <c r="F55" s="3"/>
      <c r="G55" s="240">
        <f t="shared" ref="G55:I55" si="25">G56</f>
        <v>6047.6322700000001</v>
      </c>
      <c r="H55" s="240">
        <f t="shared" si="25"/>
        <v>-1085.17</v>
      </c>
      <c r="I55" s="240">
        <f t="shared" si="25"/>
        <v>4962.46227</v>
      </c>
      <c r="J55" s="73"/>
    </row>
    <row r="56" spans="1:10" ht="36" x14ac:dyDescent="0.2">
      <c r="A56" s="4" t="s">
        <v>29</v>
      </c>
      <c r="B56" s="3" t="s">
        <v>215</v>
      </c>
      <c r="C56" s="3" t="s">
        <v>79</v>
      </c>
      <c r="D56" s="3" t="s">
        <v>6</v>
      </c>
      <c r="E56" s="3" t="s">
        <v>509</v>
      </c>
      <c r="F56" s="3" t="s">
        <v>26</v>
      </c>
      <c r="G56" s="240">
        <v>6047.6322700000001</v>
      </c>
      <c r="H56" s="240">
        <f>-1085.17</f>
        <v>-1085.17</v>
      </c>
      <c r="I56" s="240">
        <f>G56+H56</f>
        <v>4962.46227</v>
      </c>
      <c r="J56" s="73">
        <f>5966.43227+81.2</f>
        <v>6047.6322700000001</v>
      </c>
    </row>
    <row r="57" spans="1:10" ht="36" x14ac:dyDescent="0.2">
      <c r="A57" s="4" t="s">
        <v>650</v>
      </c>
      <c r="B57" s="3" t="s">
        <v>215</v>
      </c>
      <c r="C57" s="3" t="s">
        <v>79</v>
      </c>
      <c r="D57" s="3" t="s">
        <v>6</v>
      </c>
      <c r="E57" s="3" t="s">
        <v>638</v>
      </c>
      <c r="F57" s="3"/>
      <c r="G57" s="244">
        <f t="shared" ref="G57:I59" si="26">G58</f>
        <v>0</v>
      </c>
      <c r="H57" s="244">
        <f t="shared" si="26"/>
        <v>1069.3879999999999</v>
      </c>
      <c r="I57" s="244">
        <f t="shared" si="26"/>
        <v>1069.3879999999999</v>
      </c>
      <c r="J57" s="73"/>
    </row>
    <row r="58" spans="1:10" ht="33" customHeight="1" x14ac:dyDescent="0.2">
      <c r="A58" s="4" t="s">
        <v>29</v>
      </c>
      <c r="B58" s="3" t="s">
        <v>215</v>
      </c>
      <c r="C58" s="3" t="s">
        <v>79</v>
      </c>
      <c r="D58" s="3" t="s">
        <v>6</v>
      </c>
      <c r="E58" s="3" t="s">
        <v>638</v>
      </c>
      <c r="F58" s="3" t="s">
        <v>26</v>
      </c>
      <c r="G58" s="240"/>
      <c r="H58" s="244">
        <f>220+849.388</f>
        <v>1069.3879999999999</v>
      </c>
      <c r="I58" s="240">
        <f>G58+H58</f>
        <v>1069.3879999999999</v>
      </c>
      <c r="J58" s="73">
        <f>809.92852+1821.41</f>
        <v>2631.3385200000002</v>
      </c>
    </row>
    <row r="59" spans="1:10" ht="24" x14ac:dyDescent="0.2">
      <c r="A59" s="4" t="s">
        <v>527</v>
      </c>
      <c r="B59" s="3" t="s">
        <v>215</v>
      </c>
      <c r="C59" s="3" t="s">
        <v>79</v>
      </c>
      <c r="D59" s="3" t="s">
        <v>6</v>
      </c>
      <c r="E59" s="3" t="s">
        <v>525</v>
      </c>
      <c r="F59" s="3"/>
      <c r="G59" s="244">
        <f t="shared" si="26"/>
        <v>2631.3385199999998</v>
      </c>
      <c r="H59" s="244">
        <f t="shared" si="26"/>
        <v>0</v>
      </c>
      <c r="I59" s="244">
        <f t="shared" si="26"/>
        <v>2631.3385199999998</v>
      </c>
      <c r="J59" s="73"/>
    </row>
    <row r="60" spans="1:10" ht="33" customHeight="1" x14ac:dyDescent="0.2">
      <c r="A60" s="4" t="s">
        <v>29</v>
      </c>
      <c r="B60" s="3" t="s">
        <v>215</v>
      </c>
      <c r="C60" s="3" t="s">
        <v>79</v>
      </c>
      <c r="D60" s="3" t="s">
        <v>6</v>
      </c>
      <c r="E60" s="3" t="s">
        <v>525</v>
      </c>
      <c r="F60" s="3" t="s">
        <v>26</v>
      </c>
      <c r="G60" s="240">
        <v>2631.3385199999998</v>
      </c>
      <c r="H60" s="244"/>
      <c r="I60" s="240">
        <f>G60+H60</f>
        <v>2631.3385199999998</v>
      </c>
      <c r="J60" s="73">
        <f>809.92852+1821.41</f>
        <v>2631.3385200000002</v>
      </c>
    </row>
    <row r="61" spans="1:10" ht="33" customHeight="1" x14ac:dyDescent="0.2">
      <c r="A61" s="4" t="s">
        <v>639</v>
      </c>
      <c r="B61" s="3" t="s">
        <v>215</v>
      </c>
      <c r="C61" s="3" t="s">
        <v>79</v>
      </c>
      <c r="D61" s="3" t="s">
        <v>6</v>
      </c>
      <c r="E61" s="3" t="s">
        <v>640</v>
      </c>
      <c r="F61" s="3"/>
      <c r="G61" s="240">
        <f>G62+G64+G66</f>
        <v>0</v>
      </c>
      <c r="H61" s="240">
        <f t="shared" ref="H61:I61" si="27">H62+H64+H66</f>
        <v>3840</v>
      </c>
      <c r="I61" s="240">
        <f t="shared" si="27"/>
        <v>3840</v>
      </c>
      <c r="J61" s="73"/>
    </row>
    <row r="62" spans="1:10" ht="33" customHeight="1" x14ac:dyDescent="0.2">
      <c r="A62" s="4" t="s">
        <v>641</v>
      </c>
      <c r="B62" s="3" t="s">
        <v>215</v>
      </c>
      <c r="C62" s="3" t="s">
        <v>79</v>
      </c>
      <c r="D62" s="3" t="s">
        <v>6</v>
      </c>
      <c r="E62" s="3" t="s">
        <v>642</v>
      </c>
      <c r="F62" s="3"/>
      <c r="G62" s="240">
        <f>G63</f>
        <v>0</v>
      </c>
      <c r="H62" s="240">
        <f t="shared" ref="H62:I62" si="28">H63</f>
        <v>2707.83</v>
      </c>
      <c r="I62" s="240">
        <f t="shared" si="28"/>
        <v>2707.83</v>
      </c>
      <c r="J62" s="73"/>
    </row>
    <row r="63" spans="1:10" ht="33" customHeight="1" x14ac:dyDescent="0.2">
      <c r="A63" s="4" t="s">
        <v>29</v>
      </c>
      <c r="B63" s="3" t="s">
        <v>215</v>
      </c>
      <c r="C63" s="3" t="s">
        <v>79</v>
      </c>
      <c r="D63" s="3" t="s">
        <v>6</v>
      </c>
      <c r="E63" s="3" t="s">
        <v>642</v>
      </c>
      <c r="F63" s="3" t="s">
        <v>26</v>
      </c>
      <c r="G63" s="240"/>
      <c r="H63" s="244">
        <v>2707.83</v>
      </c>
      <c r="I63" s="240">
        <f>G63+H63</f>
        <v>2707.83</v>
      </c>
      <c r="J63" s="73"/>
    </row>
    <row r="64" spans="1:10" ht="33" customHeight="1" x14ac:dyDescent="0.2">
      <c r="A64" s="4" t="s">
        <v>643</v>
      </c>
      <c r="B64" s="3" t="s">
        <v>215</v>
      </c>
      <c r="C64" s="3" t="s">
        <v>79</v>
      </c>
      <c r="D64" s="3" t="s">
        <v>6</v>
      </c>
      <c r="E64" s="3" t="s">
        <v>644</v>
      </c>
      <c r="F64" s="3"/>
      <c r="G64" s="240">
        <f>G65</f>
        <v>0</v>
      </c>
      <c r="H64" s="240">
        <f t="shared" ref="H64:I64" si="29">H65</f>
        <v>1085.17</v>
      </c>
      <c r="I64" s="240">
        <f t="shared" si="29"/>
        <v>1085.17</v>
      </c>
      <c r="J64" s="73"/>
    </row>
    <row r="65" spans="1:10" ht="33" customHeight="1" x14ac:dyDescent="0.2">
      <c r="A65" s="4" t="s">
        <v>29</v>
      </c>
      <c r="B65" s="3" t="s">
        <v>215</v>
      </c>
      <c r="C65" s="3" t="s">
        <v>79</v>
      </c>
      <c r="D65" s="3" t="s">
        <v>6</v>
      </c>
      <c r="E65" s="3" t="s">
        <v>644</v>
      </c>
      <c r="F65" s="3" t="s">
        <v>26</v>
      </c>
      <c r="G65" s="240"/>
      <c r="H65" s="244">
        <v>1085.17</v>
      </c>
      <c r="I65" s="240">
        <f>G65+H65</f>
        <v>1085.17</v>
      </c>
      <c r="J65" s="73"/>
    </row>
    <row r="66" spans="1:10" ht="33" customHeight="1" x14ac:dyDescent="0.2">
      <c r="A66" s="4" t="s">
        <v>645</v>
      </c>
      <c r="B66" s="3" t="s">
        <v>215</v>
      </c>
      <c r="C66" s="3" t="s">
        <v>79</v>
      </c>
      <c r="D66" s="3" t="s">
        <v>6</v>
      </c>
      <c r="E66" s="3" t="s">
        <v>646</v>
      </c>
      <c r="F66" s="3"/>
      <c r="G66" s="240">
        <f>G67</f>
        <v>0</v>
      </c>
      <c r="H66" s="240">
        <f t="shared" ref="H66:I66" si="30">H67</f>
        <v>47</v>
      </c>
      <c r="I66" s="240">
        <f t="shared" si="30"/>
        <v>47</v>
      </c>
      <c r="J66" s="73"/>
    </row>
    <row r="67" spans="1:10" ht="33" customHeight="1" x14ac:dyDescent="0.2">
      <c r="A67" s="4" t="s">
        <v>29</v>
      </c>
      <c r="B67" s="3" t="s">
        <v>215</v>
      </c>
      <c r="C67" s="3" t="s">
        <v>79</v>
      </c>
      <c r="D67" s="3" t="s">
        <v>6</v>
      </c>
      <c r="E67" s="3" t="s">
        <v>646</v>
      </c>
      <c r="F67" s="3" t="s">
        <v>26</v>
      </c>
      <c r="G67" s="240"/>
      <c r="H67" s="244">
        <v>47</v>
      </c>
      <c r="I67" s="240">
        <f>G67+H67</f>
        <v>47</v>
      </c>
      <c r="J67" s="73"/>
    </row>
    <row r="68" spans="1:10" ht="12.75" x14ac:dyDescent="0.2">
      <c r="A68" s="4" t="s">
        <v>84</v>
      </c>
      <c r="B68" s="3" t="s">
        <v>215</v>
      </c>
      <c r="C68" s="3" t="s">
        <v>79</v>
      </c>
      <c r="D68" s="3" t="s">
        <v>79</v>
      </c>
      <c r="E68" s="3"/>
      <c r="F68" s="3"/>
      <c r="G68" s="240">
        <f>G69</f>
        <v>1431.5</v>
      </c>
      <c r="H68" s="240">
        <f t="shared" ref="H68:I70" si="31">H69</f>
        <v>0</v>
      </c>
      <c r="I68" s="240">
        <f t="shared" si="31"/>
        <v>1431.5</v>
      </c>
      <c r="J68" s="73"/>
    </row>
    <row r="69" spans="1:10" ht="60" x14ac:dyDescent="0.2">
      <c r="A69" s="4" t="s">
        <v>359</v>
      </c>
      <c r="B69" s="3" t="s">
        <v>215</v>
      </c>
      <c r="C69" s="3" t="s">
        <v>79</v>
      </c>
      <c r="D69" s="3" t="s">
        <v>79</v>
      </c>
      <c r="E69" s="3" t="s">
        <v>430</v>
      </c>
      <c r="F69" s="3"/>
      <c r="G69" s="242">
        <f>G70</f>
        <v>1431.5</v>
      </c>
      <c r="H69" s="242">
        <f t="shared" si="31"/>
        <v>0</v>
      </c>
      <c r="I69" s="242">
        <f t="shared" si="31"/>
        <v>1431.5</v>
      </c>
      <c r="J69" s="73"/>
    </row>
    <row r="70" spans="1:10" ht="24" x14ac:dyDescent="0.2">
      <c r="A70" s="4" t="s">
        <v>362</v>
      </c>
      <c r="B70" s="3" t="s">
        <v>215</v>
      </c>
      <c r="C70" s="3" t="s">
        <v>79</v>
      </c>
      <c r="D70" s="3" t="s">
        <v>79</v>
      </c>
      <c r="E70" s="3" t="s">
        <v>433</v>
      </c>
      <c r="F70" s="3"/>
      <c r="G70" s="242">
        <f>G71</f>
        <v>1431.5</v>
      </c>
      <c r="H70" s="242">
        <f t="shared" si="31"/>
        <v>0</v>
      </c>
      <c r="I70" s="242">
        <f t="shared" si="31"/>
        <v>1431.5</v>
      </c>
      <c r="J70" s="73"/>
    </row>
    <row r="71" spans="1:10" ht="48" x14ac:dyDescent="0.2">
      <c r="A71" s="4" t="s">
        <v>334</v>
      </c>
      <c r="B71" s="3" t="s">
        <v>215</v>
      </c>
      <c r="C71" s="3" t="s">
        <v>79</v>
      </c>
      <c r="D71" s="3" t="s">
        <v>79</v>
      </c>
      <c r="E71" s="3" t="s">
        <v>434</v>
      </c>
      <c r="F71" s="3"/>
      <c r="G71" s="242">
        <f>G73+G72</f>
        <v>1431.5</v>
      </c>
      <c r="H71" s="242">
        <f t="shared" ref="H71:I71" si="32">H73+H72</f>
        <v>0</v>
      </c>
      <c r="I71" s="242">
        <f t="shared" si="32"/>
        <v>1431.5</v>
      </c>
      <c r="J71" s="73"/>
    </row>
    <row r="72" spans="1:10" ht="24" x14ac:dyDescent="0.2">
      <c r="A72" s="7" t="s">
        <v>45</v>
      </c>
      <c r="B72" s="3" t="s">
        <v>215</v>
      </c>
      <c r="C72" s="3" t="s">
        <v>79</v>
      </c>
      <c r="D72" s="3" t="s">
        <v>79</v>
      </c>
      <c r="E72" s="3" t="s">
        <v>434</v>
      </c>
      <c r="F72" s="3" t="s">
        <v>43</v>
      </c>
      <c r="G72" s="240">
        <v>278</v>
      </c>
      <c r="H72" s="242"/>
      <c r="I72" s="240">
        <f>G72+H72</f>
        <v>278</v>
      </c>
      <c r="J72" s="73">
        <v>278</v>
      </c>
    </row>
    <row r="73" spans="1:10" ht="36" x14ac:dyDescent="0.2">
      <c r="A73" s="4" t="s">
        <v>29</v>
      </c>
      <c r="B73" s="3" t="s">
        <v>215</v>
      </c>
      <c r="C73" s="3" t="s">
        <v>79</v>
      </c>
      <c r="D73" s="3" t="s">
        <v>79</v>
      </c>
      <c r="E73" s="3" t="s">
        <v>434</v>
      </c>
      <c r="F73" s="3" t="s">
        <v>26</v>
      </c>
      <c r="G73" s="240">
        <v>1153.5</v>
      </c>
      <c r="H73" s="242"/>
      <c r="I73" s="240">
        <f>G73+H73</f>
        <v>1153.5</v>
      </c>
      <c r="J73" s="73">
        <v>1153.5</v>
      </c>
    </row>
    <row r="74" spans="1:10" ht="12.75" x14ac:dyDescent="0.2">
      <c r="A74" s="4" t="s">
        <v>83</v>
      </c>
      <c r="B74" s="3" t="s">
        <v>215</v>
      </c>
      <c r="C74" s="3" t="s">
        <v>79</v>
      </c>
      <c r="D74" s="3" t="s">
        <v>67</v>
      </c>
      <c r="E74" s="3"/>
      <c r="F74" s="3"/>
      <c r="G74" s="240">
        <f>G75+G79+G88</f>
        <v>16110.471529999999</v>
      </c>
      <c r="H74" s="240">
        <f>H75+H79+H88</f>
        <v>0</v>
      </c>
      <c r="I74" s="240">
        <f>I75+I79+I88</f>
        <v>16110.471529999999</v>
      </c>
      <c r="J74" s="73"/>
    </row>
    <row r="75" spans="1:10" ht="84" x14ac:dyDescent="0.2">
      <c r="A75" s="4" t="s">
        <v>363</v>
      </c>
      <c r="B75" s="3" t="s">
        <v>215</v>
      </c>
      <c r="C75" s="3" t="s">
        <v>79</v>
      </c>
      <c r="D75" s="3" t="s">
        <v>67</v>
      </c>
      <c r="E75" s="3" t="s">
        <v>435</v>
      </c>
      <c r="F75" s="3"/>
      <c r="G75" s="240">
        <f>G76</f>
        <v>1455.9480100000001</v>
      </c>
      <c r="H75" s="240">
        <f t="shared" ref="H75:I75" si="33">H76</f>
        <v>0</v>
      </c>
      <c r="I75" s="240">
        <f t="shared" si="33"/>
        <v>1455.9480100000001</v>
      </c>
      <c r="J75" s="73"/>
    </row>
    <row r="76" spans="1:10" ht="48" x14ac:dyDescent="0.2">
      <c r="A76" s="4" t="s">
        <v>252</v>
      </c>
      <c r="B76" s="3" t="s">
        <v>215</v>
      </c>
      <c r="C76" s="3" t="s">
        <v>79</v>
      </c>
      <c r="D76" s="3" t="s">
        <v>67</v>
      </c>
      <c r="E76" s="3" t="s">
        <v>436</v>
      </c>
      <c r="F76" s="3"/>
      <c r="G76" s="240">
        <f t="shared" ref="G76:I77" si="34">G77</f>
        <v>1455.9480100000001</v>
      </c>
      <c r="H76" s="240">
        <f t="shared" si="34"/>
        <v>0</v>
      </c>
      <c r="I76" s="240">
        <f t="shared" si="34"/>
        <v>1455.9480100000001</v>
      </c>
      <c r="J76" s="73"/>
    </row>
    <row r="77" spans="1:10" ht="24" x14ac:dyDescent="0.2">
      <c r="A77" s="4" t="s">
        <v>82</v>
      </c>
      <c r="B77" s="3" t="s">
        <v>215</v>
      </c>
      <c r="C77" s="3" t="s">
        <v>79</v>
      </c>
      <c r="D77" s="3" t="s">
        <v>67</v>
      </c>
      <c r="E77" s="3" t="s">
        <v>437</v>
      </c>
      <c r="F77" s="3"/>
      <c r="G77" s="240">
        <f t="shared" si="34"/>
        <v>1455.9480100000001</v>
      </c>
      <c r="H77" s="240">
        <f t="shared" si="34"/>
        <v>0</v>
      </c>
      <c r="I77" s="240">
        <f t="shared" si="34"/>
        <v>1455.9480100000001</v>
      </c>
      <c r="J77" s="73"/>
    </row>
    <row r="78" spans="1:10" ht="60" x14ac:dyDescent="0.2">
      <c r="A78" s="4" t="s">
        <v>38</v>
      </c>
      <c r="B78" s="3" t="s">
        <v>215</v>
      </c>
      <c r="C78" s="3" t="s">
        <v>79</v>
      </c>
      <c r="D78" s="3" t="s">
        <v>67</v>
      </c>
      <c r="E78" s="3" t="s">
        <v>437</v>
      </c>
      <c r="F78" s="3" t="s">
        <v>34</v>
      </c>
      <c r="G78" s="240">
        <v>1455.9480100000001</v>
      </c>
      <c r="H78" s="240"/>
      <c r="I78" s="240">
        <f>G78+H78</f>
        <v>1455.9480100000001</v>
      </c>
      <c r="J78" s="73">
        <f>1118.23964+337.70837</f>
        <v>1455.9480100000001</v>
      </c>
    </row>
    <row r="79" spans="1:10" ht="84" x14ac:dyDescent="0.2">
      <c r="A79" s="4" t="s">
        <v>364</v>
      </c>
      <c r="B79" s="3" t="s">
        <v>215</v>
      </c>
      <c r="C79" s="3" t="s">
        <v>79</v>
      </c>
      <c r="D79" s="3" t="s">
        <v>67</v>
      </c>
      <c r="E79" s="3" t="s">
        <v>438</v>
      </c>
      <c r="F79" s="3"/>
      <c r="G79" s="240">
        <f>G80+G86</f>
        <v>4239.24881</v>
      </c>
      <c r="H79" s="240">
        <f>H80+H86</f>
        <v>0</v>
      </c>
      <c r="I79" s="240">
        <f t="shared" ref="I79" si="35">I80+I86</f>
        <v>4239.24881</v>
      </c>
      <c r="J79" s="73"/>
    </row>
    <row r="80" spans="1:10" ht="48" x14ac:dyDescent="0.2">
      <c r="A80" s="4" t="s">
        <v>253</v>
      </c>
      <c r="B80" s="3" t="s">
        <v>215</v>
      </c>
      <c r="C80" s="3" t="s">
        <v>79</v>
      </c>
      <c r="D80" s="3" t="s">
        <v>67</v>
      </c>
      <c r="E80" s="3" t="s">
        <v>439</v>
      </c>
      <c r="F80" s="3"/>
      <c r="G80" s="240">
        <f>G81+G83</f>
        <v>3980.3799600000002</v>
      </c>
      <c r="H80" s="240">
        <f t="shared" ref="H80:I80" si="36">H81+H83</f>
        <v>0</v>
      </c>
      <c r="I80" s="240">
        <f t="shared" si="36"/>
        <v>3980.3799600000002</v>
      </c>
      <c r="J80" s="73"/>
    </row>
    <row r="81" spans="1:10" ht="24" x14ac:dyDescent="0.2">
      <c r="A81" s="4" t="s">
        <v>82</v>
      </c>
      <c r="B81" s="3" t="s">
        <v>215</v>
      </c>
      <c r="C81" s="3" t="s">
        <v>79</v>
      </c>
      <c r="D81" s="3" t="s">
        <v>67</v>
      </c>
      <c r="E81" s="3" t="s">
        <v>440</v>
      </c>
      <c r="F81" s="3"/>
      <c r="G81" s="240">
        <f t="shared" ref="G81:I81" si="37">G82</f>
        <v>1959.7142100000001</v>
      </c>
      <c r="H81" s="240">
        <f t="shared" si="37"/>
        <v>0</v>
      </c>
      <c r="I81" s="240">
        <f t="shared" si="37"/>
        <v>1959.7142100000001</v>
      </c>
      <c r="J81" s="73"/>
    </row>
    <row r="82" spans="1:10" ht="60" x14ac:dyDescent="0.2">
      <c r="A82" s="4" t="s">
        <v>38</v>
      </c>
      <c r="B82" s="3" t="s">
        <v>215</v>
      </c>
      <c r="C82" s="3" t="s">
        <v>79</v>
      </c>
      <c r="D82" s="3" t="s">
        <v>67</v>
      </c>
      <c r="E82" s="3" t="s">
        <v>440</v>
      </c>
      <c r="F82" s="3" t="s">
        <v>34</v>
      </c>
      <c r="G82" s="240">
        <v>1959.7142100000001</v>
      </c>
      <c r="H82" s="240"/>
      <c r="I82" s="240">
        <f>G82+H82</f>
        <v>1959.7142100000001</v>
      </c>
      <c r="J82" s="73">
        <f>1501.3934+4.9+453.42081</f>
        <v>1959.7142100000001</v>
      </c>
    </row>
    <row r="83" spans="1:10" ht="24" x14ac:dyDescent="0.2">
      <c r="A83" s="4" t="s">
        <v>81</v>
      </c>
      <c r="B83" s="3" t="s">
        <v>215</v>
      </c>
      <c r="C83" s="3" t="s">
        <v>79</v>
      </c>
      <c r="D83" s="3" t="s">
        <v>67</v>
      </c>
      <c r="E83" s="3" t="s">
        <v>441</v>
      </c>
      <c r="F83" s="3"/>
      <c r="G83" s="240">
        <f>G84+G85</f>
        <v>2020.6657500000001</v>
      </c>
      <c r="H83" s="240">
        <f>H84+H85</f>
        <v>0</v>
      </c>
      <c r="I83" s="240">
        <f t="shared" ref="I83" si="38">I84+I85</f>
        <v>2020.6657500000001</v>
      </c>
      <c r="J83" s="73"/>
    </row>
    <row r="84" spans="1:10" ht="24" x14ac:dyDescent="0.2">
      <c r="A84" s="4" t="s">
        <v>47</v>
      </c>
      <c r="B84" s="3" t="s">
        <v>215</v>
      </c>
      <c r="C84" s="3" t="s">
        <v>79</v>
      </c>
      <c r="D84" s="3" t="s">
        <v>67</v>
      </c>
      <c r="E84" s="3" t="s">
        <v>441</v>
      </c>
      <c r="F84" s="3" t="s">
        <v>51</v>
      </c>
      <c r="G84" s="240">
        <v>2007.5127500000001</v>
      </c>
      <c r="H84" s="240">
        <f>-7.5</f>
        <v>-7.5</v>
      </c>
      <c r="I84" s="240">
        <f>G84+H84</f>
        <v>2000.0127500000001</v>
      </c>
      <c r="J84" s="73">
        <v>2007.5127500000001</v>
      </c>
    </row>
    <row r="85" spans="1:10" ht="24" x14ac:dyDescent="0.2">
      <c r="A85" s="4" t="s">
        <v>73</v>
      </c>
      <c r="B85" s="3" t="s">
        <v>215</v>
      </c>
      <c r="C85" s="3" t="s">
        <v>79</v>
      </c>
      <c r="D85" s="3" t="s">
        <v>67</v>
      </c>
      <c r="E85" s="3" t="s">
        <v>441</v>
      </c>
      <c r="F85" s="3" t="s">
        <v>80</v>
      </c>
      <c r="G85" s="240">
        <v>13.153</v>
      </c>
      <c r="H85" s="240">
        <v>7.5</v>
      </c>
      <c r="I85" s="240">
        <f>G85+H85</f>
        <v>20.652999999999999</v>
      </c>
      <c r="J85" s="73">
        <v>13.153</v>
      </c>
    </row>
    <row r="86" spans="1:10" ht="24" x14ac:dyDescent="0.2">
      <c r="A86" s="4" t="s">
        <v>527</v>
      </c>
      <c r="B86" s="3" t="s">
        <v>215</v>
      </c>
      <c r="C86" s="3" t="s">
        <v>79</v>
      </c>
      <c r="D86" s="3" t="s">
        <v>67</v>
      </c>
      <c r="E86" s="3" t="s">
        <v>537</v>
      </c>
      <c r="F86" s="3"/>
      <c r="G86" s="240">
        <f t="shared" ref="G86:I86" si="39">G87</f>
        <v>258.86885000000001</v>
      </c>
      <c r="H86" s="240">
        <f t="shared" si="39"/>
        <v>0</v>
      </c>
      <c r="I86" s="240">
        <f t="shared" si="39"/>
        <v>258.86885000000001</v>
      </c>
      <c r="J86" s="73"/>
    </row>
    <row r="87" spans="1:10" ht="60" x14ac:dyDescent="0.2">
      <c r="A87" s="4" t="s">
        <v>38</v>
      </c>
      <c r="B87" s="3" t="s">
        <v>215</v>
      </c>
      <c r="C87" s="3" t="s">
        <v>79</v>
      </c>
      <c r="D87" s="3" t="s">
        <v>67</v>
      </c>
      <c r="E87" s="3" t="s">
        <v>537</v>
      </c>
      <c r="F87" s="3" t="s">
        <v>34</v>
      </c>
      <c r="G87" s="240">
        <v>258.86885000000001</v>
      </c>
      <c r="H87" s="240"/>
      <c r="I87" s="240">
        <f>G87+H87</f>
        <v>258.86885000000001</v>
      </c>
      <c r="J87" s="73">
        <f>198.824+60.04485</f>
        <v>258.86885000000001</v>
      </c>
    </row>
    <row r="88" spans="1:10" ht="84" x14ac:dyDescent="0.2">
      <c r="A88" s="4" t="s">
        <v>365</v>
      </c>
      <c r="B88" s="3" t="s">
        <v>215</v>
      </c>
      <c r="C88" s="3" t="s">
        <v>79</v>
      </c>
      <c r="D88" s="3" t="s">
        <v>67</v>
      </c>
      <c r="E88" s="3" t="s">
        <v>442</v>
      </c>
      <c r="F88" s="3"/>
      <c r="G88" s="240">
        <f>G89+G94+G96</f>
        <v>10415.27471</v>
      </c>
      <c r="H88" s="240">
        <f t="shared" ref="H88:I88" si="40">H89+H94+H96</f>
        <v>0</v>
      </c>
      <c r="I88" s="240">
        <f t="shared" si="40"/>
        <v>10415.27471</v>
      </c>
      <c r="J88" s="73"/>
    </row>
    <row r="89" spans="1:10" ht="36" x14ac:dyDescent="0.2">
      <c r="A89" s="67" t="s">
        <v>332</v>
      </c>
      <c r="B89" s="3" t="s">
        <v>215</v>
      </c>
      <c r="C89" s="3" t="s">
        <v>79</v>
      </c>
      <c r="D89" s="3" t="s">
        <v>67</v>
      </c>
      <c r="E89" s="3" t="s">
        <v>443</v>
      </c>
      <c r="F89" s="3"/>
      <c r="G89" s="240">
        <f t="shared" ref="G89:I89" si="41">G90+G92</f>
        <v>3502.0227100000002</v>
      </c>
      <c r="H89" s="240">
        <f t="shared" si="41"/>
        <v>0</v>
      </c>
      <c r="I89" s="240">
        <f t="shared" si="41"/>
        <v>3502.0227100000002</v>
      </c>
      <c r="J89" s="73"/>
    </row>
    <row r="90" spans="1:10" ht="24" x14ac:dyDescent="0.2">
      <c r="A90" s="4" t="s">
        <v>366</v>
      </c>
      <c r="B90" s="3" t="s">
        <v>215</v>
      </c>
      <c r="C90" s="3" t="s">
        <v>79</v>
      </c>
      <c r="D90" s="3" t="s">
        <v>67</v>
      </c>
      <c r="E90" s="3" t="s">
        <v>444</v>
      </c>
      <c r="F90" s="3"/>
      <c r="G90" s="240">
        <f t="shared" ref="G90:I90" si="42">G91</f>
        <v>3131.4670000000001</v>
      </c>
      <c r="H90" s="240">
        <f t="shared" si="42"/>
        <v>0</v>
      </c>
      <c r="I90" s="240">
        <f t="shared" si="42"/>
        <v>3131.4670000000001</v>
      </c>
      <c r="J90" s="73"/>
    </row>
    <row r="91" spans="1:10" ht="60" x14ac:dyDescent="0.2">
      <c r="A91" s="4" t="s">
        <v>38</v>
      </c>
      <c r="B91" s="3" t="s">
        <v>215</v>
      </c>
      <c r="C91" s="3" t="s">
        <v>79</v>
      </c>
      <c r="D91" s="3" t="s">
        <v>67</v>
      </c>
      <c r="E91" s="3" t="s">
        <v>444</v>
      </c>
      <c r="F91" s="3" t="s">
        <v>34</v>
      </c>
      <c r="G91" s="240">
        <v>3131.4670000000001</v>
      </c>
      <c r="H91" s="240"/>
      <c r="I91" s="240">
        <f>G91+H91</f>
        <v>3131.4670000000001</v>
      </c>
      <c r="J91" s="73">
        <f>2402.433+3.5+725.534</f>
        <v>3131.4670000000001</v>
      </c>
    </row>
    <row r="92" spans="1:10" ht="24" x14ac:dyDescent="0.2">
      <c r="A92" s="4" t="s">
        <v>327</v>
      </c>
      <c r="B92" s="3" t="s">
        <v>215</v>
      </c>
      <c r="C92" s="3" t="s">
        <v>79</v>
      </c>
      <c r="D92" s="3" t="s">
        <v>67</v>
      </c>
      <c r="E92" s="3" t="s">
        <v>445</v>
      </c>
      <c r="F92" s="3"/>
      <c r="G92" s="240">
        <f t="shared" ref="G92:I92" si="43">G93</f>
        <v>370.55570999999998</v>
      </c>
      <c r="H92" s="240">
        <f t="shared" si="43"/>
        <v>0</v>
      </c>
      <c r="I92" s="240">
        <f t="shared" si="43"/>
        <v>370.55570999999998</v>
      </c>
      <c r="J92" s="73"/>
    </row>
    <row r="93" spans="1:10" ht="24" x14ac:dyDescent="0.2">
      <c r="A93" s="4" t="s">
        <v>47</v>
      </c>
      <c r="B93" s="3" t="s">
        <v>215</v>
      </c>
      <c r="C93" s="3" t="s">
        <v>79</v>
      </c>
      <c r="D93" s="3" t="s">
        <v>67</v>
      </c>
      <c r="E93" s="3" t="s">
        <v>445</v>
      </c>
      <c r="F93" s="3" t="s">
        <v>51</v>
      </c>
      <c r="G93" s="240">
        <v>370.55570999999998</v>
      </c>
      <c r="H93" s="240"/>
      <c r="I93" s="240">
        <f>G93+H93</f>
        <v>370.55570999999998</v>
      </c>
      <c r="J93" s="218">
        <f>361.55571</f>
        <v>361.55570999999998</v>
      </c>
    </row>
    <row r="94" spans="1:10" ht="156" x14ac:dyDescent="0.2">
      <c r="A94" s="4" t="s">
        <v>343</v>
      </c>
      <c r="B94" s="3" t="s">
        <v>215</v>
      </c>
      <c r="C94" s="3" t="s">
        <v>79</v>
      </c>
      <c r="D94" s="3" t="s">
        <v>67</v>
      </c>
      <c r="E94" s="3" t="s">
        <v>446</v>
      </c>
      <c r="F94" s="3"/>
      <c r="G94" s="240">
        <f t="shared" ref="G94:I94" si="44">G95</f>
        <v>5827.1</v>
      </c>
      <c r="H94" s="240">
        <f t="shared" si="44"/>
        <v>0</v>
      </c>
      <c r="I94" s="240">
        <f t="shared" si="44"/>
        <v>5827.1</v>
      </c>
      <c r="J94" s="73"/>
    </row>
    <row r="95" spans="1:10" ht="60" x14ac:dyDescent="0.2">
      <c r="A95" s="4" t="s">
        <v>38</v>
      </c>
      <c r="B95" s="3" t="s">
        <v>215</v>
      </c>
      <c r="C95" s="3" t="s">
        <v>79</v>
      </c>
      <c r="D95" s="3" t="s">
        <v>67</v>
      </c>
      <c r="E95" s="3" t="s">
        <v>446</v>
      </c>
      <c r="F95" s="3" t="s">
        <v>34</v>
      </c>
      <c r="G95" s="240">
        <f>4475.499+1351.601</f>
        <v>5827.1</v>
      </c>
      <c r="H95" s="240"/>
      <c r="I95" s="240">
        <f>G95+H95</f>
        <v>5827.1</v>
      </c>
      <c r="J95" s="73">
        <f>4475.499+1351.601</f>
        <v>5827.1</v>
      </c>
    </row>
    <row r="96" spans="1:10" ht="24" x14ac:dyDescent="0.2">
      <c r="A96" s="4" t="s">
        <v>527</v>
      </c>
      <c r="B96" s="3" t="s">
        <v>215</v>
      </c>
      <c r="C96" s="3" t="s">
        <v>79</v>
      </c>
      <c r="D96" s="3" t="s">
        <v>67</v>
      </c>
      <c r="E96" s="3" t="s">
        <v>535</v>
      </c>
      <c r="F96" s="3"/>
      <c r="G96" s="244">
        <f t="shared" ref="G96:I96" si="45">G97</f>
        <v>1086.152</v>
      </c>
      <c r="H96" s="244">
        <f t="shared" si="45"/>
        <v>0</v>
      </c>
      <c r="I96" s="244">
        <f t="shared" si="45"/>
        <v>1086.152</v>
      </c>
      <c r="J96" s="73"/>
    </row>
    <row r="97" spans="1:10" ht="60" x14ac:dyDescent="0.2">
      <c r="A97" s="4" t="s">
        <v>38</v>
      </c>
      <c r="B97" s="3" t="s">
        <v>215</v>
      </c>
      <c r="C97" s="3" t="s">
        <v>79</v>
      </c>
      <c r="D97" s="3" t="s">
        <v>67</v>
      </c>
      <c r="E97" s="3" t="s">
        <v>535</v>
      </c>
      <c r="F97" s="3" t="s">
        <v>34</v>
      </c>
      <c r="G97" s="240">
        <v>1086.152</v>
      </c>
      <c r="H97" s="240"/>
      <c r="I97" s="240">
        <f>G97+H97</f>
        <v>1086.152</v>
      </c>
      <c r="J97" s="73">
        <f>834.218+251.934</f>
        <v>1086.152</v>
      </c>
    </row>
    <row r="98" spans="1:10" ht="12.75" x14ac:dyDescent="0.2">
      <c r="A98" s="4" t="s">
        <v>66</v>
      </c>
      <c r="B98" s="3" t="s">
        <v>215</v>
      </c>
      <c r="C98" s="3" t="s">
        <v>54</v>
      </c>
      <c r="D98" s="3"/>
      <c r="E98" s="3"/>
      <c r="F98" s="3"/>
      <c r="G98" s="240">
        <f t="shared" ref="G98:I99" si="46">G99</f>
        <v>5054.8999999999996</v>
      </c>
      <c r="H98" s="240">
        <f t="shared" si="46"/>
        <v>0</v>
      </c>
      <c r="I98" s="240">
        <f t="shared" si="46"/>
        <v>5054.8999999999996</v>
      </c>
      <c r="J98" s="73"/>
    </row>
    <row r="99" spans="1:10" ht="12.75" x14ac:dyDescent="0.2">
      <c r="A99" s="4" t="s">
        <v>61</v>
      </c>
      <c r="B99" s="3" t="s">
        <v>215</v>
      </c>
      <c r="C99" s="3" t="s">
        <v>54</v>
      </c>
      <c r="D99" s="3" t="s">
        <v>59</v>
      </c>
      <c r="E99" s="3"/>
      <c r="F99" s="3"/>
      <c r="G99" s="240">
        <f>G100</f>
        <v>5054.8999999999996</v>
      </c>
      <c r="H99" s="240">
        <f t="shared" si="46"/>
        <v>0</v>
      </c>
      <c r="I99" s="240">
        <f t="shared" si="46"/>
        <v>5054.8999999999996</v>
      </c>
      <c r="J99" s="73"/>
    </row>
    <row r="100" spans="1:10" ht="60" x14ac:dyDescent="0.2">
      <c r="A100" s="4" t="s">
        <v>353</v>
      </c>
      <c r="B100" s="3" t="s">
        <v>215</v>
      </c>
      <c r="C100" s="3" t="s">
        <v>54</v>
      </c>
      <c r="D100" s="3" t="s">
        <v>59</v>
      </c>
      <c r="E100" s="3" t="s">
        <v>421</v>
      </c>
      <c r="F100" s="3"/>
      <c r="G100" s="240">
        <f t="shared" ref="G100:I101" si="47">G101</f>
        <v>5054.8999999999996</v>
      </c>
      <c r="H100" s="240">
        <f t="shared" si="47"/>
        <v>0</v>
      </c>
      <c r="I100" s="240">
        <f t="shared" si="47"/>
        <v>5054.8999999999996</v>
      </c>
      <c r="J100" s="73"/>
    </row>
    <row r="101" spans="1:10" ht="60" x14ac:dyDescent="0.2">
      <c r="A101" s="4" t="s">
        <v>354</v>
      </c>
      <c r="B101" s="3" t="s">
        <v>215</v>
      </c>
      <c r="C101" s="3" t="s">
        <v>54</v>
      </c>
      <c r="D101" s="3" t="s">
        <v>59</v>
      </c>
      <c r="E101" s="3" t="s">
        <v>420</v>
      </c>
      <c r="F101" s="3"/>
      <c r="G101" s="240">
        <f t="shared" si="47"/>
        <v>5054.8999999999996</v>
      </c>
      <c r="H101" s="240">
        <f t="shared" si="47"/>
        <v>0</v>
      </c>
      <c r="I101" s="240">
        <f t="shared" si="47"/>
        <v>5054.8999999999996</v>
      </c>
      <c r="J101" s="73"/>
    </row>
    <row r="102" spans="1:10" ht="60" x14ac:dyDescent="0.2">
      <c r="A102" s="4" t="s">
        <v>335</v>
      </c>
      <c r="B102" s="3" t="s">
        <v>215</v>
      </c>
      <c r="C102" s="3" t="s">
        <v>54</v>
      </c>
      <c r="D102" s="3" t="s">
        <v>59</v>
      </c>
      <c r="E102" s="3" t="s">
        <v>447</v>
      </c>
      <c r="F102" s="3"/>
      <c r="G102" s="240">
        <f>G104+G103</f>
        <v>5054.8999999999996</v>
      </c>
      <c r="H102" s="240">
        <f t="shared" ref="H102:I102" si="48">H104+H103</f>
        <v>0</v>
      </c>
      <c r="I102" s="240">
        <f t="shared" si="48"/>
        <v>5054.8999999999996</v>
      </c>
      <c r="J102" s="73"/>
    </row>
    <row r="103" spans="1:10" ht="24" x14ac:dyDescent="0.2">
      <c r="A103" s="4" t="s">
        <v>47</v>
      </c>
      <c r="B103" s="3" t="s">
        <v>215</v>
      </c>
      <c r="C103" s="3" t="s">
        <v>54</v>
      </c>
      <c r="D103" s="3" t="s">
        <v>59</v>
      </c>
      <c r="E103" s="3" t="s">
        <v>447</v>
      </c>
      <c r="F103" s="3" t="s">
        <v>51</v>
      </c>
      <c r="G103" s="240">
        <f>15.21</f>
        <v>15.21</v>
      </c>
      <c r="H103" s="240"/>
      <c r="I103" s="240">
        <f>G103+H103</f>
        <v>15.21</v>
      </c>
      <c r="J103" s="73">
        <v>15.21</v>
      </c>
    </row>
    <row r="104" spans="1:10" ht="24" x14ac:dyDescent="0.2">
      <c r="A104" s="4" t="s">
        <v>45</v>
      </c>
      <c r="B104" s="3" t="s">
        <v>215</v>
      </c>
      <c r="C104" s="3" t="s">
        <v>54</v>
      </c>
      <c r="D104" s="3" t="s">
        <v>59</v>
      </c>
      <c r="E104" s="3" t="s">
        <v>447</v>
      </c>
      <c r="F104" s="3" t="s">
        <v>43</v>
      </c>
      <c r="G104" s="240">
        <v>5039.6899999999996</v>
      </c>
      <c r="H104" s="240"/>
      <c r="I104" s="240">
        <f>G104+H104</f>
        <v>5039.6899999999996</v>
      </c>
      <c r="J104" s="73">
        <f>5039.69</f>
        <v>5039.6899999999996</v>
      </c>
    </row>
    <row r="105" spans="1:10" ht="36" x14ac:dyDescent="0.2">
      <c r="A105" s="51" t="s">
        <v>245</v>
      </c>
      <c r="B105" s="5" t="s">
        <v>213</v>
      </c>
      <c r="C105" s="5"/>
      <c r="D105" s="5"/>
      <c r="E105" s="5"/>
      <c r="F105" s="3"/>
      <c r="G105" s="255">
        <f>G106+G119+G125</f>
        <v>47926.797310000002</v>
      </c>
      <c r="H105" s="255">
        <f>H106+H119+H125</f>
        <v>364</v>
      </c>
      <c r="I105" s="255">
        <f>I106+I119+I125</f>
        <v>48290.797310000002</v>
      </c>
      <c r="J105" s="73"/>
    </row>
    <row r="106" spans="1:10" ht="12.75" x14ac:dyDescent="0.2">
      <c r="A106" s="4" t="s">
        <v>214</v>
      </c>
      <c r="B106" s="3" t="s">
        <v>213</v>
      </c>
      <c r="C106" s="3" t="s">
        <v>15</v>
      </c>
      <c r="D106" s="3"/>
      <c r="E106" s="3"/>
      <c r="F106" s="3"/>
      <c r="G106" s="240">
        <f>G107+G115</f>
        <v>6111.0178800000003</v>
      </c>
      <c r="H106" s="240">
        <f>H107+H115</f>
        <v>-106</v>
      </c>
      <c r="I106" s="240">
        <f>I107+I115</f>
        <v>6005.0178800000003</v>
      </c>
      <c r="J106" s="73"/>
    </row>
    <row r="107" spans="1:10" ht="36" x14ac:dyDescent="0.2">
      <c r="A107" s="4" t="s">
        <v>140</v>
      </c>
      <c r="B107" s="3" t="s">
        <v>213</v>
      </c>
      <c r="C107" s="3" t="s">
        <v>15</v>
      </c>
      <c r="D107" s="3" t="s">
        <v>53</v>
      </c>
      <c r="E107" s="3"/>
      <c r="F107" s="2"/>
      <c r="G107" s="240">
        <f>G108</f>
        <v>4769.93588</v>
      </c>
      <c r="H107" s="240">
        <f t="shared" ref="H107:I108" si="49">H108</f>
        <v>0</v>
      </c>
      <c r="I107" s="240">
        <f t="shared" si="49"/>
        <v>4769.93588</v>
      </c>
      <c r="J107" s="73"/>
    </row>
    <row r="108" spans="1:10" ht="60" x14ac:dyDescent="0.2">
      <c r="A108" s="4" t="s">
        <v>367</v>
      </c>
      <c r="B108" s="3" t="s">
        <v>213</v>
      </c>
      <c r="C108" s="3" t="s">
        <v>15</v>
      </c>
      <c r="D108" s="3" t="s">
        <v>53</v>
      </c>
      <c r="E108" s="3" t="s">
        <v>368</v>
      </c>
      <c r="F108" s="3"/>
      <c r="G108" s="240">
        <f>G109</f>
        <v>4769.93588</v>
      </c>
      <c r="H108" s="240">
        <f t="shared" si="49"/>
        <v>0</v>
      </c>
      <c r="I108" s="240">
        <f t="shared" si="49"/>
        <v>4769.93588</v>
      </c>
      <c r="J108" s="73"/>
    </row>
    <row r="109" spans="1:10" ht="36" x14ac:dyDescent="0.2">
      <c r="A109" s="4" t="s">
        <v>254</v>
      </c>
      <c r="B109" s="3" t="s">
        <v>213</v>
      </c>
      <c r="C109" s="3" t="s">
        <v>15</v>
      </c>
      <c r="D109" s="3" t="s">
        <v>53</v>
      </c>
      <c r="E109" s="3" t="s">
        <v>255</v>
      </c>
      <c r="F109" s="3"/>
      <c r="G109" s="240">
        <f t="shared" ref="G109:I109" si="50">G110+G112</f>
        <v>4769.93588</v>
      </c>
      <c r="H109" s="240">
        <f t="shared" si="50"/>
        <v>0</v>
      </c>
      <c r="I109" s="240">
        <f t="shared" si="50"/>
        <v>4769.93588</v>
      </c>
      <c r="J109" s="73"/>
    </row>
    <row r="110" spans="1:10" ht="36" x14ac:dyDescent="0.2">
      <c r="A110" s="4" t="s">
        <v>138</v>
      </c>
      <c r="B110" s="3" t="s">
        <v>213</v>
      </c>
      <c r="C110" s="3" t="s">
        <v>15</v>
      </c>
      <c r="D110" s="3" t="s">
        <v>53</v>
      </c>
      <c r="E110" s="3" t="s">
        <v>136</v>
      </c>
      <c r="F110" s="3"/>
      <c r="G110" s="240">
        <f t="shared" ref="G110:I110" si="51">G111</f>
        <v>3887.4058799999998</v>
      </c>
      <c r="H110" s="240">
        <f t="shared" si="51"/>
        <v>0</v>
      </c>
      <c r="I110" s="240">
        <f t="shared" si="51"/>
        <v>3887.4058799999998</v>
      </c>
      <c r="J110" s="73"/>
    </row>
    <row r="111" spans="1:10" ht="60" x14ac:dyDescent="0.2">
      <c r="A111" s="4" t="s">
        <v>38</v>
      </c>
      <c r="B111" s="3" t="s">
        <v>213</v>
      </c>
      <c r="C111" s="3" t="s">
        <v>15</v>
      </c>
      <c r="D111" s="3" t="s">
        <v>53</v>
      </c>
      <c r="E111" s="3" t="s">
        <v>136</v>
      </c>
      <c r="F111" s="3" t="s">
        <v>34</v>
      </c>
      <c r="G111" s="240">
        <v>3887.4058799999998</v>
      </c>
      <c r="H111" s="240"/>
      <c r="I111" s="240">
        <f>G111+H111</f>
        <v>3887.4058799999998</v>
      </c>
      <c r="J111" s="73">
        <f>2985.7188+901.68708</f>
        <v>3887.4058800000003</v>
      </c>
    </row>
    <row r="112" spans="1:10" ht="36" x14ac:dyDescent="0.2">
      <c r="A112" s="4" t="s">
        <v>137</v>
      </c>
      <c r="B112" s="3" t="s">
        <v>213</v>
      </c>
      <c r="C112" s="3" t="s">
        <v>15</v>
      </c>
      <c r="D112" s="3" t="s">
        <v>53</v>
      </c>
      <c r="E112" s="3" t="s">
        <v>248</v>
      </c>
      <c r="F112" s="3"/>
      <c r="G112" s="240">
        <f t="shared" ref="G112:I112" si="52">G113+G114</f>
        <v>882.53</v>
      </c>
      <c r="H112" s="240">
        <f t="shared" si="52"/>
        <v>0</v>
      </c>
      <c r="I112" s="240">
        <f t="shared" si="52"/>
        <v>882.53</v>
      </c>
      <c r="J112" s="73"/>
    </row>
    <row r="113" spans="1:10" ht="24" x14ac:dyDescent="0.2">
      <c r="A113" s="4" t="s">
        <v>47</v>
      </c>
      <c r="B113" s="3" t="s">
        <v>213</v>
      </c>
      <c r="C113" s="3" t="s">
        <v>15</v>
      </c>
      <c r="D113" s="3" t="s">
        <v>53</v>
      </c>
      <c r="E113" s="3" t="s">
        <v>248</v>
      </c>
      <c r="F113" s="3" t="s">
        <v>51</v>
      </c>
      <c r="G113" s="240">
        <v>876.53</v>
      </c>
      <c r="H113" s="240"/>
      <c r="I113" s="240">
        <f>G113+H113</f>
        <v>876.53</v>
      </c>
      <c r="J113" s="73">
        <v>876.53</v>
      </c>
    </row>
    <row r="114" spans="1:10" ht="24" x14ac:dyDescent="0.2">
      <c r="A114" s="4" t="s">
        <v>73</v>
      </c>
      <c r="B114" s="3" t="s">
        <v>213</v>
      </c>
      <c r="C114" s="3" t="s">
        <v>15</v>
      </c>
      <c r="D114" s="3" t="s">
        <v>53</v>
      </c>
      <c r="E114" s="3" t="s">
        <v>248</v>
      </c>
      <c r="F114" s="3" t="s">
        <v>80</v>
      </c>
      <c r="G114" s="240">
        <v>6</v>
      </c>
      <c r="H114" s="240"/>
      <c r="I114" s="240">
        <f>G114+H114</f>
        <v>6</v>
      </c>
      <c r="J114" s="73">
        <f>1+5</f>
        <v>6</v>
      </c>
    </row>
    <row r="115" spans="1:10" ht="12.75" x14ac:dyDescent="0.2">
      <c r="A115" s="4" t="s">
        <v>129</v>
      </c>
      <c r="B115" s="3" t="s">
        <v>213</v>
      </c>
      <c r="C115" s="3" t="s">
        <v>15</v>
      </c>
      <c r="D115" s="3" t="s">
        <v>37</v>
      </c>
      <c r="E115" s="3"/>
      <c r="F115" s="3"/>
      <c r="G115" s="240">
        <f>G116</f>
        <v>1341.0820000000001</v>
      </c>
      <c r="H115" s="240">
        <f t="shared" ref="H115:I116" si="53">H116</f>
        <v>-106</v>
      </c>
      <c r="I115" s="240">
        <f t="shared" si="53"/>
        <v>1235.0820000000001</v>
      </c>
      <c r="J115" s="73"/>
    </row>
    <row r="116" spans="1:10" ht="12.75" x14ac:dyDescent="0.2">
      <c r="A116" s="4" t="s">
        <v>129</v>
      </c>
      <c r="B116" s="3" t="s">
        <v>213</v>
      </c>
      <c r="C116" s="3" t="s">
        <v>15</v>
      </c>
      <c r="D116" s="3" t="s">
        <v>37</v>
      </c>
      <c r="E116" s="3" t="s">
        <v>258</v>
      </c>
      <c r="F116" s="3"/>
      <c r="G116" s="244">
        <f>G117</f>
        <v>1341.0820000000001</v>
      </c>
      <c r="H116" s="244">
        <f t="shared" si="53"/>
        <v>-106</v>
      </c>
      <c r="I116" s="244">
        <f t="shared" si="53"/>
        <v>1235.0820000000001</v>
      </c>
      <c r="J116" s="73"/>
    </row>
    <row r="117" spans="1:10" ht="12.75" x14ac:dyDescent="0.2">
      <c r="A117" s="4" t="s">
        <v>46</v>
      </c>
      <c r="B117" s="3" t="s">
        <v>213</v>
      </c>
      <c r="C117" s="3" t="s">
        <v>15</v>
      </c>
      <c r="D117" s="3" t="s">
        <v>37</v>
      </c>
      <c r="E117" s="3" t="s">
        <v>44</v>
      </c>
      <c r="F117" s="3"/>
      <c r="G117" s="244">
        <f t="shared" ref="G117:I117" si="54">G118</f>
        <v>1341.0820000000001</v>
      </c>
      <c r="H117" s="244">
        <f t="shared" si="54"/>
        <v>-106</v>
      </c>
      <c r="I117" s="244">
        <f t="shared" si="54"/>
        <v>1235.0820000000001</v>
      </c>
      <c r="J117" s="73"/>
    </row>
    <row r="118" spans="1:10" ht="24" x14ac:dyDescent="0.2">
      <c r="A118" s="7" t="s">
        <v>73</v>
      </c>
      <c r="B118" s="3" t="s">
        <v>213</v>
      </c>
      <c r="C118" s="3" t="s">
        <v>15</v>
      </c>
      <c r="D118" s="3" t="s">
        <v>37</v>
      </c>
      <c r="E118" s="3" t="s">
        <v>44</v>
      </c>
      <c r="F118" s="3" t="s">
        <v>80</v>
      </c>
      <c r="G118" s="240">
        <v>1341.0820000000001</v>
      </c>
      <c r="H118" s="244">
        <f>-106</f>
        <v>-106</v>
      </c>
      <c r="I118" s="240">
        <f>G118+H118</f>
        <v>1235.0820000000001</v>
      </c>
      <c r="J118" s="73">
        <v>1341.0820000000001</v>
      </c>
    </row>
    <row r="119" spans="1:10" ht="24" x14ac:dyDescent="0.2">
      <c r="A119" s="4" t="s">
        <v>168</v>
      </c>
      <c r="B119" s="3" t="s">
        <v>213</v>
      </c>
      <c r="C119" s="3" t="s">
        <v>24</v>
      </c>
      <c r="D119" s="3"/>
      <c r="E119" s="3"/>
      <c r="F119" s="3"/>
      <c r="G119" s="240">
        <f t="shared" ref="G119:I123" si="55">G120</f>
        <v>97</v>
      </c>
      <c r="H119" s="240">
        <f t="shared" si="55"/>
        <v>0</v>
      </c>
      <c r="I119" s="240">
        <f t="shared" si="55"/>
        <v>97</v>
      </c>
      <c r="J119" s="73"/>
    </row>
    <row r="120" spans="1:10" ht="24" x14ac:dyDescent="0.2">
      <c r="A120" s="4" t="s">
        <v>25</v>
      </c>
      <c r="B120" s="3" t="s">
        <v>213</v>
      </c>
      <c r="C120" s="3" t="s">
        <v>24</v>
      </c>
      <c r="D120" s="3" t="s">
        <v>15</v>
      </c>
      <c r="E120" s="3"/>
      <c r="F120" s="3"/>
      <c r="G120" s="240">
        <f t="shared" si="55"/>
        <v>97</v>
      </c>
      <c r="H120" s="240">
        <f t="shared" si="55"/>
        <v>0</v>
      </c>
      <c r="I120" s="240">
        <f>I121</f>
        <v>97</v>
      </c>
      <c r="J120" s="73"/>
    </row>
    <row r="121" spans="1:10" ht="72" x14ac:dyDescent="0.2">
      <c r="A121" s="4" t="s">
        <v>370</v>
      </c>
      <c r="B121" s="3" t="s">
        <v>213</v>
      </c>
      <c r="C121" s="3">
        <v>13</v>
      </c>
      <c r="D121" s="3" t="s">
        <v>15</v>
      </c>
      <c r="E121" s="3" t="s">
        <v>12</v>
      </c>
      <c r="F121" s="3"/>
      <c r="G121" s="242">
        <f>G122</f>
        <v>97</v>
      </c>
      <c r="H121" s="242">
        <f t="shared" si="55"/>
        <v>0</v>
      </c>
      <c r="I121" s="242">
        <f t="shared" si="55"/>
        <v>97</v>
      </c>
      <c r="J121" s="73"/>
    </row>
    <row r="122" spans="1:10" ht="48" x14ac:dyDescent="0.2">
      <c r="A122" s="4" t="s">
        <v>11</v>
      </c>
      <c r="B122" s="3" t="s">
        <v>213</v>
      </c>
      <c r="C122" s="3">
        <v>13</v>
      </c>
      <c r="D122" s="3" t="s">
        <v>15</v>
      </c>
      <c r="E122" s="3" t="s">
        <v>10</v>
      </c>
      <c r="F122" s="3"/>
      <c r="G122" s="242">
        <f t="shared" si="55"/>
        <v>97</v>
      </c>
      <c r="H122" s="242">
        <f t="shared" si="55"/>
        <v>0</v>
      </c>
      <c r="I122" s="242">
        <f t="shared" si="55"/>
        <v>97</v>
      </c>
      <c r="J122" s="73"/>
    </row>
    <row r="123" spans="1:10" ht="24" x14ac:dyDescent="0.2">
      <c r="A123" s="4" t="s">
        <v>371</v>
      </c>
      <c r="B123" s="3" t="s">
        <v>213</v>
      </c>
      <c r="C123" s="3">
        <v>13</v>
      </c>
      <c r="D123" s="3" t="s">
        <v>15</v>
      </c>
      <c r="E123" s="3" t="s">
        <v>23</v>
      </c>
      <c r="F123" s="3"/>
      <c r="G123" s="242">
        <f t="shared" si="55"/>
        <v>97</v>
      </c>
      <c r="H123" s="242">
        <f t="shared" si="55"/>
        <v>0</v>
      </c>
      <c r="I123" s="242">
        <f t="shared" si="55"/>
        <v>97</v>
      </c>
      <c r="J123" s="73"/>
    </row>
    <row r="124" spans="1:10" ht="24" x14ac:dyDescent="0.2">
      <c r="A124" s="4" t="s">
        <v>22</v>
      </c>
      <c r="B124" s="3" t="s">
        <v>213</v>
      </c>
      <c r="C124" s="3">
        <v>13</v>
      </c>
      <c r="D124" s="3" t="s">
        <v>15</v>
      </c>
      <c r="E124" s="3" t="s">
        <v>23</v>
      </c>
      <c r="F124" s="3" t="s">
        <v>21</v>
      </c>
      <c r="G124" s="240">
        <v>97</v>
      </c>
      <c r="H124" s="242"/>
      <c r="I124" s="240">
        <f>G124+H124</f>
        <v>97</v>
      </c>
      <c r="J124" s="73">
        <v>97</v>
      </c>
    </row>
    <row r="125" spans="1:10" ht="12.75" x14ac:dyDescent="0.2">
      <c r="A125" s="4" t="s">
        <v>8</v>
      </c>
      <c r="B125" s="3" t="s">
        <v>213</v>
      </c>
      <c r="C125" s="3"/>
      <c r="D125" s="3"/>
      <c r="E125" s="3"/>
      <c r="F125" s="3"/>
      <c r="G125" s="240">
        <f>G181+G169+G126+G143+G175+G156</f>
        <v>41718.779430000002</v>
      </c>
      <c r="H125" s="240">
        <f>H181+H169+H126+H143+H175+H156</f>
        <v>470</v>
      </c>
      <c r="I125" s="240">
        <f>I181+I169+I126+I143+I175+I156</f>
        <v>42188.779430000002</v>
      </c>
      <c r="J125" s="73"/>
    </row>
    <row r="126" spans="1:10" ht="24" x14ac:dyDescent="0.2">
      <c r="A126" s="7" t="s">
        <v>122</v>
      </c>
      <c r="B126" s="3" t="s">
        <v>213</v>
      </c>
      <c r="C126" s="3" t="s">
        <v>6</v>
      </c>
      <c r="D126" s="3"/>
      <c r="E126" s="3"/>
      <c r="F126" s="3"/>
      <c r="G126" s="240">
        <f>G127+G134</f>
        <v>1419.8624300000001</v>
      </c>
      <c r="H126" s="240">
        <f t="shared" ref="H126:I126" si="56">H127+H134</f>
        <v>0</v>
      </c>
      <c r="I126" s="240">
        <f t="shared" si="56"/>
        <v>1419.8624300000001</v>
      </c>
      <c r="J126" s="73"/>
    </row>
    <row r="127" spans="1:10" ht="36" x14ac:dyDescent="0.2">
      <c r="A127" s="7" t="s">
        <v>121</v>
      </c>
      <c r="B127" s="3" t="s">
        <v>213</v>
      </c>
      <c r="C127" s="3" t="s">
        <v>6</v>
      </c>
      <c r="D127" s="3" t="s">
        <v>67</v>
      </c>
      <c r="E127" s="3"/>
      <c r="F127" s="3"/>
      <c r="G127" s="240">
        <f>G128+G132</f>
        <v>539.18799999999999</v>
      </c>
      <c r="H127" s="240">
        <f t="shared" ref="H127:I127" si="57">H128+H132</f>
        <v>0</v>
      </c>
      <c r="I127" s="240">
        <f t="shared" si="57"/>
        <v>539.18799999999999</v>
      </c>
      <c r="J127" s="73"/>
    </row>
    <row r="128" spans="1:10" ht="72" x14ac:dyDescent="0.2">
      <c r="A128" s="4" t="s">
        <v>370</v>
      </c>
      <c r="B128" s="3" t="s">
        <v>213</v>
      </c>
      <c r="C128" s="3" t="s">
        <v>6</v>
      </c>
      <c r="D128" s="3" t="s">
        <v>67</v>
      </c>
      <c r="E128" s="3" t="s">
        <v>12</v>
      </c>
      <c r="F128" s="3"/>
      <c r="G128" s="240">
        <f>G129</f>
        <v>20</v>
      </c>
      <c r="H128" s="240">
        <f t="shared" ref="H128:I130" si="58">H129</f>
        <v>0</v>
      </c>
      <c r="I128" s="240">
        <f t="shared" si="58"/>
        <v>20</v>
      </c>
      <c r="J128" s="73"/>
    </row>
    <row r="129" spans="1:10" ht="48" x14ac:dyDescent="0.2">
      <c r="A129" s="7" t="s">
        <v>11</v>
      </c>
      <c r="B129" s="3" t="s">
        <v>213</v>
      </c>
      <c r="C129" s="3" t="s">
        <v>6</v>
      </c>
      <c r="D129" s="3" t="s">
        <v>67</v>
      </c>
      <c r="E129" s="3" t="s">
        <v>10</v>
      </c>
      <c r="F129" s="3"/>
      <c r="G129" s="240">
        <f>G130</f>
        <v>20</v>
      </c>
      <c r="H129" s="240">
        <f t="shared" si="58"/>
        <v>0</v>
      </c>
      <c r="I129" s="240">
        <f t="shared" si="58"/>
        <v>20</v>
      </c>
      <c r="J129" s="73"/>
    </row>
    <row r="130" spans="1:10" ht="24" x14ac:dyDescent="0.2">
      <c r="A130" s="7" t="s">
        <v>9</v>
      </c>
      <c r="B130" s="3" t="s">
        <v>213</v>
      </c>
      <c r="C130" s="3" t="s">
        <v>6</v>
      </c>
      <c r="D130" s="3" t="s">
        <v>67</v>
      </c>
      <c r="E130" s="3" t="s">
        <v>259</v>
      </c>
      <c r="F130" s="3"/>
      <c r="G130" s="240">
        <f>G131</f>
        <v>20</v>
      </c>
      <c r="H130" s="240">
        <f t="shared" si="58"/>
        <v>0</v>
      </c>
      <c r="I130" s="240">
        <f t="shared" si="58"/>
        <v>20</v>
      </c>
      <c r="J130" s="73"/>
    </row>
    <row r="131" spans="1:10" ht="12.75" x14ac:dyDescent="0.2">
      <c r="A131" s="7" t="s">
        <v>8</v>
      </c>
      <c r="B131" s="3" t="s">
        <v>213</v>
      </c>
      <c r="C131" s="3" t="s">
        <v>6</v>
      </c>
      <c r="D131" s="3" t="s">
        <v>67</v>
      </c>
      <c r="E131" s="3" t="s">
        <v>259</v>
      </c>
      <c r="F131" s="3" t="s">
        <v>5</v>
      </c>
      <c r="G131" s="240">
        <v>20</v>
      </c>
      <c r="H131" s="240"/>
      <c r="I131" s="240">
        <f>G131+H131</f>
        <v>20</v>
      </c>
      <c r="J131" s="73">
        <v>20</v>
      </c>
    </row>
    <row r="132" spans="1:10" ht="12.75" x14ac:dyDescent="0.2">
      <c r="A132" s="4" t="s">
        <v>46</v>
      </c>
      <c r="B132" s="3" t="s">
        <v>213</v>
      </c>
      <c r="C132" s="3" t="s">
        <v>6</v>
      </c>
      <c r="D132" s="3" t="s">
        <v>67</v>
      </c>
      <c r="E132" s="3" t="s">
        <v>44</v>
      </c>
      <c r="F132" s="3"/>
      <c r="G132" s="240">
        <f>G133</f>
        <v>519.18799999999999</v>
      </c>
      <c r="H132" s="240">
        <f>H133</f>
        <v>0</v>
      </c>
      <c r="I132" s="240">
        <f>I133</f>
        <v>519.18799999999999</v>
      </c>
      <c r="J132" s="73"/>
    </row>
    <row r="133" spans="1:10" ht="12.75" x14ac:dyDescent="0.2">
      <c r="A133" s="7" t="s">
        <v>8</v>
      </c>
      <c r="B133" s="3" t="s">
        <v>213</v>
      </c>
      <c r="C133" s="3" t="s">
        <v>6</v>
      </c>
      <c r="D133" s="3" t="s">
        <v>67</v>
      </c>
      <c r="E133" s="3" t="s">
        <v>44</v>
      </c>
      <c r="F133" s="3" t="s">
        <v>5</v>
      </c>
      <c r="G133" s="240">
        <v>519.18799999999999</v>
      </c>
      <c r="H133" s="240"/>
      <c r="I133" s="240">
        <f>H133+G133</f>
        <v>519.18799999999999</v>
      </c>
      <c r="J133" s="73">
        <v>519.18799999999999</v>
      </c>
    </row>
    <row r="134" spans="1:10" ht="12.75" x14ac:dyDescent="0.2">
      <c r="A134" s="4" t="s">
        <v>555</v>
      </c>
      <c r="B134" s="3" t="s">
        <v>213</v>
      </c>
      <c r="C134" s="3" t="s">
        <v>6</v>
      </c>
      <c r="D134" s="3" t="s">
        <v>54</v>
      </c>
      <c r="E134" s="3"/>
      <c r="F134" s="3"/>
      <c r="G134" s="240">
        <f>G135+G139</f>
        <v>880.67443000000003</v>
      </c>
      <c r="H134" s="240">
        <f t="shared" ref="H134:I134" si="59">H135+H139</f>
        <v>0</v>
      </c>
      <c r="I134" s="240">
        <f t="shared" si="59"/>
        <v>880.67443000000003</v>
      </c>
      <c r="J134" s="73"/>
    </row>
    <row r="135" spans="1:10" ht="72" x14ac:dyDescent="0.2">
      <c r="A135" s="4" t="s">
        <v>370</v>
      </c>
      <c r="B135" s="3" t="s">
        <v>213</v>
      </c>
      <c r="C135" s="3" t="s">
        <v>6</v>
      </c>
      <c r="D135" s="3" t="s">
        <v>54</v>
      </c>
      <c r="E135" s="3" t="s">
        <v>12</v>
      </c>
      <c r="F135" s="3"/>
      <c r="G135" s="240">
        <f>G136</f>
        <v>452.10300000000001</v>
      </c>
      <c r="H135" s="240">
        <f t="shared" ref="H135:I137" si="60">H136</f>
        <v>0</v>
      </c>
      <c r="I135" s="240">
        <f t="shared" si="60"/>
        <v>452.10300000000001</v>
      </c>
      <c r="J135" s="73"/>
    </row>
    <row r="136" spans="1:10" ht="48" x14ac:dyDescent="0.2">
      <c r="A136" s="7" t="s">
        <v>11</v>
      </c>
      <c r="B136" s="3" t="s">
        <v>213</v>
      </c>
      <c r="C136" s="3" t="s">
        <v>6</v>
      </c>
      <c r="D136" s="3" t="s">
        <v>54</v>
      </c>
      <c r="E136" s="3" t="s">
        <v>10</v>
      </c>
      <c r="F136" s="3"/>
      <c r="G136" s="240">
        <f>G137</f>
        <v>452.10300000000001</v>
      </c>
      <c r="H136" s="240">
        <f t="shared" si="60"/>
        <v>0</v>
      </c>
      <c r="I136" s="240">
        <f t="shared" si="60"/>
        <v>452.10300000000001</v>
      </c>
      <c r="J136" s="73"/>
    </row>
    <row r="137" spans="1:10" ht="24" x14ac:dyDescent="0.2">
      <c r="A137" s="7" t="s">
        <v>9</v>
      </c>
      <c r="B137" s="3" t="s">
        <v>213</v>
      </c>
      <c r="C137" s="3" t="s">
        <v>6</v>
      </c>
      <c r="D137" s="3" t="s">
        <v>54</v>
      </c>
      <c r="E137" s="3" t="s">
        <v>259</v>
      </c>
      <c r="F137" s="3"/>
      <c r="G137" s="240">
        <f>G138</f>
        <v>452.10300000000001</v>
      </c>
      <c r="H137" s="240">
        <f t="shared" si="60"/>
        <v>0</v>
      </c>
      <c r="I137" s="240">
        <f t="shared" si="60"/>
        <v>452.10300000000001</v>
      </c>
      <c r="J137" s="73"/>
    </row>
    <row r="138" spans="1:10" ht="12.75" x14ac:dyDescent="0.2">
      <c r="A138" s="7" t="s">
        <v>8</v>
      </c>
      <c r="B138" s="3" t="s">
        <v>213</v>
      </c>
      <c r="C138" s="3" t="s">
        <v>6</v>
      </c>
      <c r="D138" s="3" t="s">
        <v>54</v>
      </c>
      <c r="E138" s="3" t="s">
        <v>259</v>
      </c>
      <c r="F138" s="3" t="s">
        <v>5</v>
      </c>
      <c r="G138" s="240">
        <v>452.10300000000001</v>
      </c>
      <c r="H138" s="240"/>
      <c r="I138" s="240">
        <f>G138+H138</f>
        <v>452.10300000000001</v>
      </c>
      <c r="J138" s="73">
        <v>452.10300000000001</v>
      </c>
    </row>
    <row r="139" spans="1:10" ht="60.75" x14ac:dyDescent="0.25">
      <c r="A139" s="4" t="s">
        <v>273</v>
      </c>
      <c r="B139" s="3" t="s">
        <v>213</v>
      </c>
      <c r="C139" s="3" t="s">
        <v>6</v>
      </c>
      <c r="D139" s="3" t="s">
        <v>54</v>
      </c>
      <c r="E139" s="3" t="s">
        <v>95</v>
      </c>
      <c r="F139" s="3"/>
      <c r="G139" s="248">
        <f>G140</f>
        <v>428.57143000000002</v>
      </c>
      <c r="H139" s="248">
        <f t="shared" ref="H139:I141" si="61">H140</f>
        <v>0</v>
      </c>
      <c r="I139" s="248">
        <f t="shared" si="61"/>
        <v>428.57143000000002</v>
      </c>
      <c r="J139" s="73"/>
    </row>
    <row r="140" spans="1:10" ht="72.75" x14ac:dyDescent="0.25">
      <c r="A140" s="4" t="s">
        <v>117</v>
      </c>
      <c r="B140" s="3" t="s">
        <v>213</v>
      </c>
      <c r="C140" s="3" t="s">
        <v>6</v>
      </c>
      <c r="D140" s="3" t="s">
        <v>54</v>
      </c>
      <c r="E140" s="3" t="s">
        <v>277</v>
      </c>
      <c r="F140" s="3"/>
      <c r="G140" s="248">
        <f>G141</f>
        <v>428.57143000000002</v>
      </c>
      <c r="H140" s="248">
        <f t="shared" si="61"/>
        <v>0</v>
      </c>
      <c r="I140" s="248">
        <f t="shared" si="61"/>
        <v>428.57143000000002</v>
      </c>
      <c r="J140" s="73"/>
    </row>
    <row r="141" spans="1:10" ht="72.75" x14ac:dyDescent="0.25">
      <c r="A141" s="4" t="s">
        <v>556</v>
      </c>
      <c r="B141" s="3" t="s">
        <v>213</v>
      </c>
      <c r="C141" s="3" t="s">
        <v>6</v>
      </c>
      <c r="D141" s="3" t="s">
        <v>54</v>
      </c>
      <c r="E141" s="3" t="s">
        <v>557</v>
      </c>
      <c r="F141" s="3"/>
      <c r="G141" s="248">
        <f>G142</f>
        <v>428.57143000000002</v>
      </c>
      <c r="H141" s="248">
        <f t="shared" si="61"/>
        <v>0</v>
      </c>
      <c r="I141" s="248">
        <f t="shared" si="61"/>
        <v>428.57143000000002</v>
      </c>
      <c r="J141" s="73"/>
    </row>
    <row r="142" spans="1:10" x14ac:dyDescent="0.25">
      <c r="A142" s="7" t="s">
        <v>8</v>
      </c>
      <c r="B142" s="3" t="s">
        <v>213</v>
      </c>
      <c r="C142" s="3" t="s">
        <v>6</v>
      </c>
      <c r="D142" s="3" t="s">
        <v>54</v>
      </c>
      <c r="E142" s="3" t="s">
        <v>557</v>
      </c>
      <c r="F142" s="3" t="s">
        <v>5</v>
      </c>
      <c r="G142" s="248">
        <v>428.57143000000002</v>
      </c>
      <c r="H142" s="249"/>
      <c r="I142" s="248">
        <f>G142+H142</f>
        <v>428.57143000000002</v>
      </c>
      <c r="J142" s="73">
        <v>428.57143000000002</v>
      </c>
    </row>
    <row r="143" spans="1:10" ht="12.75" x14ac:dyDescent="0.2">
      <c r="A143" s="4" t="s">
        <v>111</v>
      </c>
      <c r="B143" s="3" t="s">
        <v>213</v>
      </c>
      <c r="C143" s="3" t="s">
        <v>59</v>
      </c>
      <c r="D143" s="3"/>
      <c r="E143" s="3"/>
      <c r="F143" s="3"/>
      <c r="G143" s="240">
        <f>G144+G151</f>
        <v>1506.9290000000001</v>
      </c>
      <c r="H143" s="240">
        <f t="shared" ref="H143:I143" si="62">H144+H151</f>
        <v>0</v>
      </c>
      <c r="I143" s="240">
        <f t="shared" si="62"/>
        <v>1506.9290000000001</v>
      </c>
      <c r="J143" s="73"/>
    </row>
    <row r="144" spans="1:10" ht="12.75" x14ac:dyDescent="0.2">
      <c r="A144" s="4" t="s">
        <v>105</v>
      </c>
      <c r="B144" s="3" t="s">
        <v>213</v>
      </c>
      <c r="C144" s="3" t="s">
        <v>59</v>
      </c>
      <c r="D144" s="3" t="s">
        <v>67</v>
      </c>
      <c r="E144" s="3"/>
      <c r="F144" s="3"/>
      <c r="G144" s="240">
        <f>G145+G149</f>
        <v>322.46899999999999</v>
      </c>
      <c r="H144" s="240">
        <f t="shared" ref="H144:I144" si="63">H145+H149</f>
        <v>0</v>
      </c>
      <c r="I144" s="240">
        <f t="shared" si="63"/>
        <v>322.46899999999999</v>
      </c>
      <c r="J144" s="73"/>
    </row>
    <row r="145" spans="1:10" ht="60" x14ac:dyDescent="0.2">
      <c r="A145" s="7" t="s">
        <v>385</v>
      </c>
      <c r="B145" s="3" t="s">
        <v>213</v>
      </c>
      <c r="C145" s="3" t="s">
        <v>59</v>
      </c>
      <c r="D145" s="3" t="s">
        <v>67</v>
      </c>
      <c r="E145" s="3" t="s">
        <v>386</v>
      </c>
      <c r="F145" s="3"/>
      <c r="G145" s="240">
        <f>G146</f>
        <v>272.46899999999999</v>
      </c>
      <c r="H145" s="240">
        <f t="shared" ref="H145:I147" si="64">H146</f>
        <v>0</v>
      </c>
      <c r="I145" s="240">
        <f t="shared" si="64"/>
        <v>272.46899999999999</v>
      </c>
      <c r="J145" s="73"/>
    </row>
    <row r="146" spans="1:10" ht="24" x14ac:dyDescent="0.2">
      <c r="A146" s="7" t="s">
        <v>552</v>
      </c>
      <c r="B146" s="3" t="s">
        <v>213</v>
      </c>
      <c r="C146" s="3" t="s">
        <v>59</v>
      </c>
      <c r="D146" s="3" t="s">
        <v>67</v>
      </c>
      <c r="E146" s="3" t="s">
        <v>387</v>
      </c>
      <c r="F146" s="3"/>
      <c r="G146" s="240">
        <f>G147</f>
        <v>272.46899999999999</v>
      </c>
      <c r="H146" s="240">
        <f t="shared" si="64"/>
        <v>0</v>
      </c>
      <c r="I146" s="240">
        <f t="shared" si="64"/>
        <v>272.46899999999999</v>
      </c>
      <c r="J146" s="73"/>
    </row>
    <row r="147" spans="1:10" s="59" customFormat="1" ht="24" x14ac:dyDescent="0.25">
      <c r="A147" s="7" t="s">
        <v>551</v>
      </c>
      <c r="B147" s="210" t="s">
        <v>213</v>
      </c>
      <c r="C147" s="210" t="s">
        <v>59</v>
      </c>
      <c r="D147" s="210" t="s">
        <v>67</v>
      </c>
      <c r="E147" s="210" t="s">
        <v>388</v>
      </c>
      <c r="F147" s="210"/>
      <c r="G147" s="256">
        <f>G148</f>
        <v>272.46899999999999</v>
      </c>
      <c r="H147" s="256">
        <f t="shared" si="64"/>
        <v>0</v>
      </c>
      <c r="I147" s="256">
        <f t="shared" si="64"/>
        <v>272.46899999999999</v>
      </c>
      <c r="J147" s="74"/>
    </row>
    <row r="148" spans="1:10" ht="12.75" x14ac:dyDescent="0.2">
      <c r="A148" s="7" t="s">
        <v>8</v>
      </c>
      <c r="B148" s="3" t="s">
        <v>213</v>
      </c>
      <c r="C148" s="3" t="s">
        <v>59</v>
      </c>
      <c r="D148" s="3" t="s">
        <v>67</v>
      </c>
      <c r="E148" s="3" t="s">
        <v>388</v>
      </c>
      <c r="F148" s="3" t="s">
        <v>5</v>
      </c>
      <c r="G148" s="240">
        <v>272.46899999999999</v>
      </c>
      <c r="H148" s="240"/>
      <c r="I148" s="240">
        <f>G148+H148</f>
        <v>272.46899999999999</v>
      </c>
      <c r="J148" s="73">
        <v>272.46899999999999</v>
      </c>
    </row>
    <row r="149" spans="1:10" ht="12.75" x14ac:dyDescent="0.2">
      <c r="A149" s="4" t="s">
        <v>46</v>
      </c>
      <c r="B149" s="3" t="s">
        <v>213</v>
      </c>
      <c r="C149" s="3" t="s">
        <v>59</v>
      </c>
      <c r="D149" s="3" t="s">
        <v>67</v>
      </c>
      <c r="E149" s="3" t="s">
        <v>44</v>
      </c>
      <c r="F149" s="3"/>
      <c r="G149" s="240">
        <f>G150</f>
        <v>50</v>
      </c>
      <c r="H149" s="240">
        <f>H150</f>
        <v>0</v>
      </c>
      <c r="I149" s="240">
        <f t="shared" ref="I149:I161" si="65">G149+H149</f>
        <v>50</v>
      </c>
      <c r="J149" s="73"/>
    </row>
    <row r="150" spans="1:10" ht="12.75" x14ac:dyDescent="0.2">
      <c r="A150" s="7" t="s">
        <v>8</v>
      </c>
      <c r="B150" s="3" t="s">
        <v>213</v>
      </c>
      <c r="C150" s="3" t="s">
        <v>59</v>
      </c>
      <c r="D150" s="3" t="s">
        <v>67</v>
      </c>
      <c r="E150" s="3" t="s">
        <v>44</v>
      </c>
      <c r="F150" s="3" t="s">
        <v>5</v>
      </c>
      <c r="G150" s="240">
        <v>50</v>
      </c>
      <c r="H150" s="240"/>
      <c r="I150" s="240">
        <f t="shared" si="65"/>
        <v>50</v>
      </c>
      <c r="J150" s="73">
        <v>50</v>
      </c>
    </row>
    <row r="151" spans="1:10" ht="24" x14ac:dyDescent="0.2">
      <c r="A151" s="7" t="s">
        <v>104</v>
      </c>
      <c r="B151" s="3" t="s">
        <v>213</v>
      </c>
      <c r="C151" s="3" t="s">
        <v>59</v>
      </c>
      <c r="D151" s="3" t="s">
        <v>28</v>
      </c>
      <c r="E151" s="3"/>
      <c r="F151" s="3"/>
      <c r="G151" s="240">
        <f>G152</f>
        <v>1184.46</v>
      </c>
      <c r="H151" s="240">
        <f t="shared" ref="H151:I153" si="66">H152</f>
        <v>0</v>
      </c>
      <c r="I151" s="240">
        <f t="shared" si="66"/>
        <v>1184.46</v>
      </c>
      <c r="J151" s="73"/>
    </row>
    <row r="152" spans="1:10" ht="72" x14ac:dyDescent="0.2">
      <c r="A152" s="4" t="s">
        <v>393</v>
      </c>
      <c r="B152" s="3" t="s">
        <v>213</v>
      </c>
      <c r="C152" s="3" t="s">
        <v>59</v>
      </c>
      <c r="D152" s="3" t="s">
        <v>28</v>
      </c>
      <c r="E152" s="3" t="s">
        <v>394</v>
      </c>
      <c r="F152" s="3"/>
      <c r="G152" s="243">
        <f>G153</f>
        <v>1184.46</v>
      </c>
      <c r="H152" s="243">
        <f t="shared" si="66"/>
        <v>0</v>
      </c>
      <c r="I152" s="243">
        <f t="shared" si="66"/>
        <v>1184.46</v>
      </c>
      <c r="J152" s="73"/>
    </row>
    <row r="153" spans="1:10" ht="36" x14ac:dyDescent="0.2">
      <c r="A153" s="4" t="s">
        <v>101</v>
      </c>
      <c r="B153" s="3" t="s">
        <v>213</v>
      </c>
      <c r="C153" s="3" t="s">
        <v>59</v>
      </c>
      <c r="D153" s="3" t="s">
        <v>28</v>
      </c>
      <c r="E153" s="3" t="s">
        <v>395</v>
      </c>
      <c r="F153" s="3"/>
      <c r="G153" s="243">
        <f>G154</f>
        <v>1184.46</v>
      </c>
      <c r="H153" s="243">
        <f t="shared" si="66"/>
        <v>0</v>
      </c>
      <c r="I153" s="243">
        <f t="shared" si="66"/>
        <v>1184.46</v>
      </c>
      <c r="J153" s="73"/>
    </row>
    <row r="154" spans="1:10" ht="36" x14ac:dyDescent="0.2">
      <c r="A154" s="4" t="s">
        <v>293</v>
      </c>
      <c r="B154" s="3" t="s">
        <v>213</v>
      </c>
      <c r="C154" s="3" t="s">
        <v>59</v>
      </c>
      <c r="D154" s="3" t="s">
        <v>28</v>
      </c>
      <c r="E154" s="3" t="s">
        <v>396</v>
      </c>
      <c r="F154" s="3"/>
      <c r="G154" s="243">
        <f t="shared" ref="G154:I154" si="67">G155</f>
        <v>1184.46</v>
      </c>
      <c r="H154" s="243">
        <f t="shared" si="67"/>
        <v>0</v>
      </c>
      <c r="I154" s="243">
        <f t="shared" si="67"/>
        <v>1184.46</v>
      </c>
      <c r="J154" s="73"/>
    </row>
    <row r="155" spans="1:10" ht="12.75" x14ac:dyDescent="0.2">
      <c r="A155" s="7" t="s">
        <v>8</v>
      </c>
      <c r="B155" s="3" t="s">
        <v>213</v>
      </c>
      <c r="C155" s="3" t="s">
        <v>59</v>
      </c>
      <c r="D155" s="3" t="s">
        <v>28</v>
      </c>
      <c r="E155" s="3" t="s">
        <v>396</v>
      </c>
      <c r="F155" s="3" t="s">
        <v>5</v>
      </c>
      <c r="G155" s="240">
        <v>1184.46</v>
      </c>
      <c r="H155" s="240"/>
      <c r="I155" s="240">
        <f>G155+H155</f>
        <v>1184.46</v>
      </c>
      <c r="J155" s="73">
        <v>1184.46</v>
      </c>
    </row>
    <row r="156" spans="1:10" ht="12.75" x14ac:dyDescent="0.2">
      <c r="A156" s="4" t="s">
        <v>100</v>
      </c>
      <c r="B156" s="3" t="s">
        <v>213</v>
      </c>
      <c r="C156" s="3" t="s">
        <v>36</v>
      </c>
      <c r="D156" s="3" t="s">
        <v>19</v>
      </c>
      <c r="E156" s="3"/>
      <c r="F156" s="3"/>
      <c r="G156" s="240">
        <f>G157+G162</f>
        <v>311.38800000000003</v>
      </c>
      <c r="H156" s="240">
        <f>H157+H162</f>
        <v>470</v>
      </c>
      <c r="I156" s="240">
        <f>I157+I162</f>
        <v>781.38800000000003</v>
      </c>
      <c r="J156" s="73"/>
    </row>
    <row r="157" spans="1:10" ht="12.75" x14ac:dyDescent="0.2">
      <c r="A157" s="4" t="s">
        <v>98</v>
      </c>
      <c r="B157" s="3" t="s">
        <v>213</v>
      </c>
      <c r="C157" s="3" t="s">
        <v>36</v>
      </c>
      <c r="D157" s="3" t="s">
        <v>27</v>
      </c>
      <c r="E157" s="3"/>
      <c r="F157" s="3"/>
      <c r="G157" s="240">
        <f t="shared" ref="G157:H160" si="68">G158</f>
        <v>120</v>
      </c>
      <c r="H157" s="240">
        <f t="shared" si="68"/>
        <v>464</v>
      </c>
      <c r="I157" s="240">
        <f t="shared" si="65"/>
        <v>584</v>
      </c>
      <c r="J157" s="73"/>
    </row>
    <row r="158" spans="1:10" ht="72" x14ac:dyDescent="0.25">
      <c r="A158" s="7" t="s">
        <v>402</v>
      </c>
      <c r="B158" s="3" t="s">
        <v>213</v>
      </c>
      <c r="C158" s="3" t="s">
        <v>36</v>
      </c>
      <c r="D158" s="3" t="s">
        <v>27</v>
      </c>
      <c r="E158" s="3" t="s">
        <v>91</v>
      </c>
      <c r="F158" s="3"/>
      <c r="G158" s="252">
        <f>G159</f>
        <v>120</v>
      </c>
      <c r="H158" s="252">
        <f t="shared" si="68"/>
        <v>464</v>
      </c>
      <c r="I158" s="240">
        <f t="shared" si="65"/>
        <v>584</v>
      </c>
      <c r="J158" s="73"/>
    </row>
    <row r="159" spans="1:10" ht="36" x14ac:dyDescent="0.25">
      <c r="A159" s="7" t="s">
        <v>94</v>
      </c>
      <c r="B159" s="3" t="s">
        <v>213</v>
      </c>
      <c r="C159" s="3" t="s">
        <v>36</v>
      </c>
      <c r="D159" s="3" t="s">
        <v>27</v>
      </c>
      <c r="E159" s="3" t="s">
        <v>403</v>
      </c>
      <c r="F159" s="3"/>
      <c r="G159" s="252">
        <f t="shared" si="68"/>
        <v>120</v>
      </c>
      <c r="H159" s="252">
        <f t="shared" si="68"/>
        <v>464</v>
      </c>
      <c r="I159" s="240">
        <f t="shared" si="65"/>
        <v>584</v>
      </c>
      <c r="J159" s="73"/>
    </row>
    <row r="160" spans="1:10" ht="48" x14ac:dyDescent="0.25">
      <c r="A160" s="7" t="s">
        <v>296</v>
      </c>
      <c r="B160" s="3" t="s">
        <v>213</v>
      </c>
      <c r="C160" s="3" t="s">
        <v>36</v>
      </c>
      <c r="D160" s="3" t="s">
        <v>27</v>
      </c>
      <c r="E160" s="3" t="s">
        <v>408</v>
      </c>
      <c r="F160" s="3"/>
      <c r="G160" s="252">
        <f t="shared" si="68"/>
        <v>120</v>
      </c>
      <c r="H160" s="252">
        <f t="shared" si="68"/>
        <v>464</v>
      </c>
      <c r="I160" s="240">
        <f t="shared" si="65"/>
        <v>584</v>
      </c>
      <c r="J160" s="73"/>
    </row>
    <row r="161" spans="1:10" x14ac:dyDescent="0.25">
      <c r="A161" s="7" t="s">
        <v>8</v>
      </c>
      <c r="B161" s="3" t="s">
        <v>213</v>
      </c>
      <c r="C161" s="3" t="s">
        <v>36</v>
      </c>
      <c r="D161" s="3" t="s">
        <v>27</v>
      </c>
      <c r="E161" s="3" t="s">
        <v>408</v>
      </c>
      <c r="F161" s="3" t="s">
        <v>5</v>
      </c>
      <c r="G161" s="248">
        <v>120</v>
      </c>
      <c r="H161" s="252">
        <f>385+79</f>
        <v>464</v>
      </c>
      <c r="I161" s="240">
        <f t="shared" si="65"/>
        <v>584</v>
      </c>
      <c r="J161" s="73">
        <v>120</v>
      </c>
    </row>
    <row r="162" spans="1:10" ht="12.75" x14ac:dyDescent="0.2">
      <c r="A162" s="4" t="s">
        <v>92</v>
      </c>
      <c r="B162" s="3" t="s">
        <v>213</v>
      </c>
      <c r="C162" s="3" t="s">
        <v>36</v>
      </c>
      <c r="D162" s="3" t="s">
        <v>6</v>
      </c>
      <c r="E162" s="3"/>
      <c r="F162" s="3"/>
      <c r="G162" s="239">
        <f>G163+G167</f>
        <v>191.38800000000001</v>
      </c>
      <c r="H162" s="239">
        <f t="shared" ref="H162:I162" si="69">H163+H167</f>
        <v>6</v>
      </c>
      <c r="I162" s="239">
        <f t="shared" si="69"/>
        <v>197.38800000000001</v>
      </c>
      <c r="J162" s="73"/>
    </row>
    <row r="163" spans="1:10" ht="72.75" x14ac:dyDescent="0.25">
      <c r="A163" s="4" t="s">
        <v>402</v>
      </c>
      <c r="B163" s="3" t="s">
        <v>213</v>
      </c>
      <c r="C163" s="3" t="s">
        <v>36</v>
      </c>
      <c r="D163" s="3" t="s">
        <v>6</v>
      </c>
      <c r="E163" s="3" t="s">
        <v>91</v>
      </c>
      <c r="F163" s="3"/>
      <c r="G163" s="249">
        <f t="shared" ref="G163:I165" si="70">G164</f>
        <v>191.38800000000001</v>
      </c>
      <c r="H163" s="249">
        <f t="shared" si="70"/>
        <v>0</v>
      </c>
      <c r="I163" s="249">
        <f t="shared" si="70"/>
        <v>191.38800000000001</v>
      </c>
      <c r="J163" s="73"/>
    </row>
    <row r="164" spans="1:10" ht="36.75" x14ac:dyDescent="0.25">
      <c r="A164" s="4" t="s">
        <v>229</v>
      </c>
      <c r="B164" s="3" t="s">
        <v>213</v>
      </c>
      <c r="C164" s="3" t="s">
        <v>36</v>
      </c>
      <c r="D164" s="3" t="s">
        <v>6</v>
      </c>
      <c r="E164" s="3" t="s">
        <v>300</v>
      </c>
      <c r="F164" s="3"/>
      <c r="G164" s="249">
        <f t="shared" si="70"/>
        <v>191.38800000000001</v>
      </c>
      <c r="H164" s="249">
        <f t="shared" si="70"/>
        <v>0</v>
      </c>
      <c r="I164" s="249">
        <f t="shared" si="70"/>
        <v>191.38800000000001</v>
      </c>
      <c r="J164" s="73"/>
    </row>
    <row r="165" spans="1:10" ht="36.75" x14ac:dyDescent="0.25">
      <c r="A165" s="4" t="s">
        <v>302</v>
      </c>
      <c r="B165" s="3" t="s">
        <v>213</v>
      </c>
      <c r="C165" s="3" t="s">
        <v>36</v>
      </c>
      <c r="D165" s="3" t="s">
        <v>6</v>
      </c>
      <c r="E165" s="3" t="s">
        <v>301</v>
      </c>
      <c r="F165" s="3"/>
      <c r="G165" s="249">
        <f t="shared" si="70"/>
        <v>191.38800000000001</v>
      </c>
      <c r="H165" s="249">
        <f t="shared" si="70"/>
        <v>0</v>
      </c>
      <c r="I165" s="249">
        <f t="shared" si="70"/>
        <v>191.38800000000001</v>
      </c>
      <c r="J165" s="73"/>
    </row>
    <row r="166" spans="1:10" x14ac:dyDescent="0.25">
      <c r="A166" s="7" t="s">
        <v>8</v>
      </c>
      <c r="B166" s="3" t="s">
        <v>213</v>
      </c>
      <c r="C166" s="3" t="s">
        <v>36</v>
      </c>
      <c r="D166" s="3" t="s">
        <v>6</v>
      </c>
      <c r="E166" s="3" t="s">
        <v>301</v>
      </c>
      <c r="F166" s="3" t="s">
        <v>5</v>
      </c>
      <c r="G166" s="248">
        <v>191.38800000000001</v>
      </c>
      <c r="H166" s="249"/>
      <c r="I166" s="248">
        <f>G166+H166</f>
        <v>191.38800000000001</v>
      </c>
      <c r="J166" s="73">
        <v>191.38800000000001</v>
      </c>
    </row>
    <row r="167" spans="1:10" ht="12.75" x14ac:dyDescent="0.2">
      <c r="A167" s="4" t="s">
        <v>46</v>
      </c>
      <c r="B167" s="3" t="s">
        <v>213</v>
      </c>
      <c r="C167" s="3" t="s">
        <v>36</v>
      </c>
      <c r="D167" s="3" t="s">
        <v>6</v>
      </c>
      <c r="E167" s="3" t="s">
        <v>44</v>
      </c>
      <c r="F167" s="3"/>
      <c r="G167" s="240">
        <f>G168</f>
        <v>0</v>
      </c>
      <c r="H167" s="240">
        <f>H168</f>
        <v>6</v>
      </c>
      <c r="I167" s="240">
        <f t="shared" ref="I167:I168" si="71">G167+H167</f>
        <v>6</v>
      </c>
      <c r="J167" s="73"/>
    </row>
    <row r="168" spans="1:10" ht="12.75" x14ac:dyDescent="0.2">
      <c r="A168" s="7" t="s">
        <v>8</v>
      </c>
      <c r="B168" s="3" t="s">
        <v>213</v>
      </c>
      <c r="C168" s="3" t="s">
        <v>36</v>
      </c>
      <c r="D168" s="3" t="s">
        <v>6</v>
      </c>
      <c r="E168" s="3" t="s">
        <v>44</v>
      </c>
      <c r="F168" s="3" t="s">
        <v>5</v>
      </c>
      <c r="G168" s="240"/>
      <c r="H168" s="240">
        <v>6</v>
      </c>
      <c r="I168" s="240">
        <f t="shared" si="71"/>
        <v>6</v>
      </c>
      <c r="J168" s="73">
        <v>50</v>
      </c>
    </row>
    <row r="169" spans="1:10" ht="12.75" x14ac:dyDescent="0.2">
      <c r="A169" s="4" t="s">
        <v>77</v>
      </c>
      <c r="B169" s="3" t="s">
        <v>213</v>
      </c>
      <c r="C169" s="3" t="s">
        <v>72</v>
      </c>
      <c r="D169" s="3"/>
      <c r="E169" s="3"/>
      <c r="F169" s="3"/>
      <c r="G169" s="240">
        <f>G170</f>
        <v>1255</v>
      </c>
      <c r="H169" s="240">
        <f t="shared" ref="H169:I173" si="72">H170</f>
        <v>0</v>
      </c>
      <c r="I169" s="240">
        <f t="shared" si="72"/>
        <v>1255</v>
      </c>
      <c r="J169" s="73"/>
    </row>
    <row r="170" spans="1:10" ht="12.75" x14ac:dyDescent="0.2">
      <c r="A170" s="4" t="s">
        <v>77</v>
      </c>
      <c r="B170" s="3" t="s">
        <v>213</v>
      </c>
      <c r="C170" s="3" t="s">
        <v>72</v>
      </c>
      <c r="D170" s="3" t="s">
        <v>15</v>
      </c>
      <c r="E170" s="3"/>
      <c r="F170" s="3"/>
      <c r="G170" s="240">
        <f>G171</f>
        <v>1255</v>
      </c>
      <c r="H170" s="240">
        <f t="shared" si="72"/>
        <v>0</v>
      </c>
      <c r="I170" s="240">
        <f t="shared" si="72"/>
        <v>1255</v>
      </c>
      <c r="J170" s="73"/>
    </row>
    <row r="171" spans="1:10" ht="72" x14ac:dyDescent="0.2">
      <c r="A171" s="4" t="s">
        <v>370</v>
      </c>
      <c r="B171" s="3" t="s">
        <v>213</v>
      </c>
      <c r="C171" s="3" t="s">
        <v>72</v>
      </c>
      <c r="D171" s="3" t="s">
        <v>15</v>
      </c>
      <c r="E171" s="3" t="s">
        <v>12</v>
      </c>
      <c r="F171" s="3"/>
      <c r="G171" s="240">
        <f>G172</f>
        <v>1255</v>
      </c>
      <c r="H171" s="240">
        <f t="shared" si="72"/>
        <v>0</v>
      </c>
      <c r="I171" s="240">
        <f t="shared" si="72"/>
        <v>1255</v>
      </c>
      <c r="J171" s="73"/>
    </row>
    <row r="172" spans="1:10" ht="48" x14ac:dyDescent="0.2">
      <c r="A172" s="7" t="s">
        <v>11</v>
      </c>
      <c r="B172" s="3" t="s">
        <v>213</v>
      </c>
      <c r="C172" s="3" t="s">
        <v>72</v>
      </c>
      <c r="D172" s="3" t="s">
        <v>15</v>
      </c>
      <c r="E172" s="3" t="s">
        <v>10</v>
      </c>
      <c r="F172" s="3"/>
      <c r="G172" s="240">
        <f>G173</f>
        <v>1255</v>
      </c>
      <c r="H172" s="240">
        <f t="shared" si="72"/>
        <v>0</v>
      </c>
      <c r="I172" s="240">
        <f t="shared" si="72"/>
        <v>1255</v>
      </c>
      <c r="J172" s="73"/>
    </row>
    <row r="173" spans="1:10" ht="24" x14ac:dyDescent="0.2">
      <c r="A173" s="7" t="s">
        <v>9</v>
      </c>
      <c r="B173" s="3" t="s">
        <v>213</v>
      </c>
      <c r="C173" s="3" t="s">
        <v>72</v>
      </c>
      <c r="D173" s="3" t="s">
        <v>15</v>
      </c>
      <c r="E173" s="3" t="s">
        <v>259</v>
      </c>
      <c r="F173" s="3"/>
      <c r="G173" s="240">
        <f>G174</f>
        <v>1255</v>
      </c>
      <c r="H173" s="240">
        <f t="shared" si="72"/>
        <v>0</v>
      </c>
      <c r="I173" s="240">
        <f t="shared" si="72"/>
        <v>1255</v>
      </c>
      <c r="J173" s="73"/>
    </row>
    <row r="174" spans="1:10" ht="12.75" x14ac:dyDescent="0.2">
      <c r="A174" s="7" t="s">
        <v>8</v>
      </c>
      <c r="B174" s="3" t="s">
        <v>213</v>
      </c>
      <c r="C174" s="3" t="s">
        <v>72</v>
      </c>
      <c r="D174" s="3" t="s">
        <v>15</v>
      </c>
      <c r="E174" s="3" t="s">
        <v>259</v>
      </c>
      <c r="F174" s="3" t="s">
        <v>5</v>
      </c>
      <c r="G174" s="240">
        <v>1255</v>
      </c>
      <c r="H174" s="240"/>
      <c r="I174" s="240">
        <f>G174+H174</f>
        <v>1255</v>
      </c>
      <c r="J174" s="73">
        <v>1255</v>
      </c>
    </row>
    <row r="175" spans="1:10" ht="12.75" x14ac:dyDescent="0.2">
      <c r="A175" s="4" t="s">
        <v>50</v>
      </c>
      <c r="B175" s="3" t="s">
        <v>213</v>
      </c>
      <c r="C175" s="3" t="s">
        <v>37</v>
      </c>
      <c r="D175" s="3"/>
      <c r="E175" s="3"/>
      <c r="F175" s="3"/>
      <c r="G175" s="240">
        <f>G176</f>
        <v>400</v>
      </c>
      <c r="H175" s="240">
        <f t="shared" ref="H175:I179" si="73">H176</f>
        <v>0</v>
      </c>
      <c r="I175" s="240">
        <f t="shared" si="73"/>
        <v>400</v>
      </c>
      <c r="J175" s="73"/>
    </row>
    <row r="176" spans="1:10" ht="12.75" x14ac:dyDescent="0.2">
      <c r="A176" s="4" t="s">
        <v>49</v>
      </c>
      <c r="B176" s="3" t="s">
        <v>213</v>
      </c>
      <c r="C176" s="3" t="s">
        <v>37</v>
      </c>
      <c r="D176" s="3" t="s">
        <v>15</v>
      </c>
      <c r="E176" s="3"/>
      <c r="F176" s="3"/>
      <c r="G176" s="240">
        <f>G177</f>
        <v>400</v>
      </c>
      <c r="H176" s="240">
        <f t="shared" si="73"/>
        <v>0</v>
      </c>
      <c r="I176" s="240">
        <f t="shared" si="73"/>
        <v>400</v>
      </c>
      <c r="J176" s="73"/>
    </row>
    <row r="177" spans="1:10" ht="72" x14ac:dyDescent="0.2">
      <c r="A177" s="4" t="s">
        <v>370</v>
      </c>
      <c r="B177" s="3" t="s">
        <v>213</v>
      </c>
      <c r="C177" s="3" t="s">
        <v>37</v>
      </c>
      <c r="D177" s="3" t="s">
        <v>15</v>
      </c>
      <c r="E177" s="3" t="s">
        <v>12</v>
      </c>
      <c r="F177" s="3"/>
      <c r="G177" s="240">
        <f>G178</f>
        <v>400</v>
      </c>
      <c r="H177" s="240">
        <f t="shared" si="73"/>
        <v>0</v>
      </c>
      <c r="I177" s="240">
        <f t="shared" si="73"/>
        <v>400</v>
      </c>
      <c r="J177" s="73"/>
    </row>
    <row r="178" spans="1:10" ht="48" x14ac:dyDescent="0.2">
      <c r="A178" s="7" t="s">
        <v>11</v>
      </c>
      <c r="B178" s="3" t="s">
        <v>213</v>
      </c>
      <c r="C178" s="3" t="s">
        <v>37</v>
      </c>
      <c r="D178" s="3" t="s">
        <v>15</v>
      </c>
      <c r="E178" s="3" t="s">
        <v>10</v>
      </c>
      <c r="F178" s="3"/>
      <c r="G178" s="240">
        <f>G179</f>
        <v>400</v>
      </c>
      <c r="H178" s="240">
        <f t="shared" si="73"/>
        <v>0</v>
      </c>
      <c r="I178" s="240">
        <f t="shared" si="73"/>
        <v>400</v>
      </c>
      <c r="J178" s="73"/>
    </row>
    <row r="179" spans="1:10" ht="24" x14ac:dyDescent="0.2">
      <c r="A179" s="7" t="s">
        <v>9</v>
      </c>
      <c r="B179" s="3" t="s">
        <v>213</v>
      </c>
      <c r="C179" s="3" t="s">
        <v>37</v>
      </c>
      <c r="D179" s="3" t="s">
        <v>15</v>
      </c>
      <c r="E179" s="3" t="s">
        <v>259</v>
      </c>
      <c r="F179" s="3"/>
      <c r="G179" s="240">
        <f>G180</f>
        <v>400</v>
      </c>
      <c r="H179" s="240">
        <f t="shared" si="73"/>
        <v>0</v>
      </c>
      <c r="I179" s="240">
        <f t="shared" si="73"/>
        <v>400</v>
      </c>
      <c r="J179" s="73"/>
    </row>
    <row r="180" spans="1:10" ht="12.75" x14ac:dyDescent="0.2">
      <c r="A180" s="7" t="s">
        <v>8</v>
      </c>
      <c r="B180" s="3" t="s">
        <v>213</v>
      </c>
      <c r="C180" s="3" t="s">
        <v>37</v>
      </c>
      <c r="D180" s="3" t="s">
        <v>15</v>
      </c>
      <c r="E180" s="3" t="s">
        <v>259</v>
      </c>
      <c r="F180" s="3" t="s">
        <v>5</v>
      </c>
      <c r="G180" s="240">
        <v>400</v>
      </c>
      <c r="H180" s="240"/>
      <c r="I180" s="240">
        <f>G180+H180</f>
        <v>400</v>
      </c>
      <c r="J180" s="73">
        <v>400</v>
      </c>
    </row>
    <row r="181" spans="1:10" ht="36" x14ac:dyDescent="0.2">
      <c r="A181" s="4" t="s">
        <v>20</v>
      </c>
      <c r="B181" s="3" t="s">
        <v>213</v>
      </c>
      <c r="C181" s="3" t="s">
        <v>7</v>
      </c>
      <c r="D181" s="3" t="s">
        <v>19</v>
      </c>
      <c r="E181" s="3"/>
      <c r="F181" s="3"/>
      <c r="G181" s="240">
        <f>G182+G189</f>
        <v>36825.599999999999</v>
      </c>
      <c r="H181" s="240">
        <f>H182+H189</f>
        <v>0</v>
      </c>
      <c r="I181" s="240">
        <f>I182+I189</f>
        <v>36825.599999999999</v>
      </c>
      <c r="J181" s="73"/>
    </row>
    <row r="182" spans="1:10" ht="36" x14ac:dyDescent="0.2">
      <c r="A182" s="4" t="s">
        <v>18</v>
      </c>
      <c r="B182" s="3" t="s">
        <v>213</v>
      </c>
      <c r="C182" s="3" t="s">
        <v>7</v>
      </c>
      <c r="D182" s="3" t="s">
        <v>15</v>
      </c>
      <c r="E182" s="3"/>
      <c r="F182" s="3"/>
      <c r="G182" s="240">
        <f>G183</f>
        <v>25963.5</v>
      </c>
      <c r="H182" s="240">
        <f>H183</f>
        <v>0</v>
      </c>
      <c r="I182" s="240">
        <f>I183</f>
        <v>25963.5</v>
      </c>
      <c r="J182" s="73"/>
    </row>
    <row r="183" spans="1:10" ht="72" x14ac:dyDescent="0.2">
      <c r="A183" s="4" t="s">
        <v>370</v>
      </c>
      <c r="B183" s="3" t="s">
        <v>213</v>
      </c>
      <c r="C183" s="3" t="s">
        <v>7</v>
      </c>
      <c r="D183" s="3" t="s">
        <v>15</v>
      </c>
      <c r="E183" s="3" t="s">
        <v>12</v>
      </c>
      <c r="F183" s="3"/>
      <c r="G183" s="242">
        <f t="shared" ref="G183:I183" si="74">G184</f>
        <v>25963.5</v>
      </c>
      <c r="H183" s="242">
        <f t="shared" si="74"/>
        <v>0</v>
      </c>
      <c r="I183" s="242">
        <f t="shared" si="74"/>
        <v>25963.5</v>
      </c>
      <c r="J183" s="73"/>
    </row>
    <row r="184" spans="1:10" ht="48" x14ac:dyDescent="0.2">
      <c r="A184" s="4" t="s">
        <v>11</v>
      </c>
      <c r="B184" s="3" t="s">
        <v>213</v>
      </c>
      <c r="C184" s="3" t="s">
        <v>7</v>
      </c>
      <c r="D184" s="3" t="s">
        <v>15</v>
      </c>
      <c r="E184" s="3" t="s">
        <v>10</v>
      </c>
      <c r="F184" s="3"/>
      <c r="G184" s="242">
        <f t="shared" ref="G184:I184" si="75">G185+G187</f>
        <v>25963.5</v>
      </c>
      <c r="H184" s="242">
        <f t="shared" si="75"/>
        <v>0</v>
      </c>
      <c r="I184" s="242">
        <f t="shared" si="75"/>
        <v>25963.5</v>
      </c>
      <c r="J184" s="73"/>
    </row>
    <row r="185" spans="1:10" ht="36" x14ac:dyDescent="0.2">
      <c r="A185" s="4" t="s">
        <v>17</v>
      </c>
      <c r="B185" s="3" t="s">
        <v>213</v>
      </c>
      <c r="C185" s="3" t="s">
        <v>7</v>
      </c>
      <c r="D185" s="3" t="s">
        <v>15</v>
      </c>
      <c r="E185" s="3" t="s">
        <v>16</v>
      </c>
      <c r="F185" s="3"/>
      <c r="G185" s="242">
        <f t="shared" ref="G185:I185" si="76">G186</f>
        <v>20107</v>
      </c>
      <c r="H185" s="242">
        <f t="shared" si="76"/>
        <v>0</v>
      </c>
      <c r="I185" s="242">
        <f t="shared" si="76"/>
        <v>20107</v>
      </c>
      <c r="J185" s="73"/>
    </row>
    <row r="186" spans="1:10" ht="12.75" x14ac:dyDescent="0.2">
      <c r="A186" s="4" t="s">
        <v>8</v>
      </c>
      <c r="B186" s="3" t="s">
        <v>213</v>
      </c>
      <c r="C186" s="3" t="s">
        <v>7</v>
      </c>
      <c r="D186" s="3" t="s">
        <v>15</v>
      </c>
      <c r="E186" s="3" t="s">
        <v>16</v>
      </c>
      <c r="F186" s="3" t="s">
        <v>5</v>
      </c>
      <c r="G186" s="240">
        <v>20107</v>
      </c>
      <c r="H186" s="242"/>
      <c r="I186" s="240">
        <f>G186+H186</f>
        <v>20107</v>
      </c>
      <c r="J186" s="73">
        <v>20107</v>
      </c>
    </row>
    <row r="187" spans="1:10" ht="48" x14ac:dyDescent="0.2">
      <c r="A187" s="4" t="s">
        <v>344</v>
      </c>
      <c r="B187" s="3" t="s">
        <v>213</v>
      </c>
      <c r="C187" s="3" t="s">
        <v>7</v>
      </c>
      <c r="D187" s="3" t="s">
        <v>15</v>
      </c>
      <c r="E187" s="3" t="s">
        <v>14</v>
      </c>
      <c r="F187" s="3"/>
      <c r="G187" s="242">
        <f t="shared" ref="G187:I187" si="77">G188</f>
        <v>5856.5</v>
      </c>
      <c r="H187" s="242">
        <f t="shared" si="77"/>
        <v>0</v>
      </c>
      <c r="I187" s="242">
        <f t="shared" si="77"/>
        <v>5856.5</v>
      </c>
      <c r="J187" s="73"/>
    </row>
    <row r="188" spans="1:10" ht="12.75" x14ac:dyDescent="0.2">
      <c r="A188" s="4" t="s">
        <v>8</v>
      </c>
      <c r="B188" s="3" t="s">
        <v>213</v>
      </c>
      <c r="C188" s="3" t="s">
        <v>7</v>
      </c>
      <c r="D188" s="3" t="s">
        <v>15</v>
      </c>
      <c r="E188" s="3" t="s">
        <v>14</v>
      </c>
      <c r="F188" s="3" t="s">
        <v>5</v>
      </c>
      <c r="G188" s="240">
        <v>5856.5</v>
      </c>
      <c r="H188" s="242"/>
      <c r="I188" s="240">
        <f>G188+H188</f>
        <v>5856.5</v>
      </c>
      <c r="J188" s="73">
        <v>5856.5</v>
      </c>
    </row>
    <row r="189" spans="1:10" ht="36" x14ac:dyDescent="0.2">
      <c r="A189" s="4" t="s">
        <v>13</v>
      </c>
      <c r="B189" s="3" t="s">
        <v>213</v>
      </c>
      <c r="C189" s="3" t="s">
        <v>7</v>
      </c>
      <c r="D189" s="3" t="s">
        <v>6</v>
      </c>
      <c r="E189" s="3"/>
      <c r="F189" s="3"/>
      <c r="G189" s="240">
        <f>G190</f>
        <v>10862.1</v>
      </c>
      <c r="H189" s="240">
        <f t="shared" ref="H189:I189" si="78">H190</f>
        <v>0</v>
      </c>
      <c r="I189" s="240">
        <f t="shared" si="78"/>
        <v>10862.1</v>
      </c>
      <c r="J189" s="73"/>
    </row>
    <row r="190" spans="1:10" ht="72" x14ac:dyDescent="0.2">
      <c r="A190" s="4" t="s">
        <v>370</v>
      </c>
      <c r="B190" s="3" t="s">
        <v>213</v>
      </c>
      <c r="C190" s="3" t="s">
        <v>7</v>
      </c>
      <c r="D190" s="3" t="s">
        <v>6</v>
      </c>
      <c r="E190" s="3" t="s">
        <v>12</v>
      </c>
      <c r="F190" s="3"/>
      <c r="G190" s="247">
        <f t="shared" ref="G190:I190" si="79">G191</f>
        <v>10862.1</v>
      </c>
      <c r="H190" s="247">
        <f t="shared" si="79"/>
        <v>0</v>
      </c>
      <c r="I190" s="247">
        <f t="shared" si="79"/>
        <v>10862.1</v>
      </c>
      <c r="J190" s="73"/>
    </row>
    <row r="191" spans="1:10" ht="48" x14ac:dyDescent="0.2">
      <c r="A191" s="4" t="s">
        <v>11</v>
      </c>
      <c r="B191" s="3" t="s">
        <v>213</v>
      </c>
      <c r="C191" s="3" t="s">
        <v>7</v>
      </c>
      <c r="D191" s="3" t="s">
        <v>6</v>
      </c>
      <c r="E191" s="3" t="s">
        <v>10</v>
      </c>
      <c r="F191" s="3"/>
      <c r="G191" s="247">
        <f>G194+G192</f>
        <v>10862.1</v>
      </c>
      <c r="H191" s="247">
        <f t="shared" ref="H191:I191" si="80">H194+H192</f>
        <v>0</v>
      </c>
      <c r="I191" s="247">
        <f t="shared" si="80"/>
        <v>10862.1</v>
      </c>
      <c r="J191" s="73"/>
    </row>
    <row r="192" spans="1:10" ht="24" x14ac:dyDescent="0.2">
      <c r="A192" s="7" t="s">
        <v>9</v>
      </c>
      <c r="B192" s="3" t="s">
        <v>213</v>
      </c>
      <c r="C192" s="3" t="s">
        <v>7</v>
      </c>
      <c r="D192" s="3" t="s">
        <v>6</v>
      </c>
      <c r="E192" s="3" t="s">
        <v>259</v>
      </c>
      <c r="F192" s="3"/>
      <c r="G192" s="240">
        <f>G193</f>
        <v>72</v>
      </c>
      <c r="H192" s="240">
        <f t="shared" ref="H192:I192" si="81">H193</f>
        <v>0</v>
      </c>
      <c r="I192" s="240">
        <f t="shared" si="81"/>
        <v>72</v>
      </c>
      <c r="J192" s="73"/>
    </row>
    <row r="193" spans="1:10" ht="12.75" x14ac:dyDescent="0.2">
      <c r="A193" s="7" t="s">
        <v>8</v>
      </c>
      <c r="B193" s="3" t="s">
        <v>213</v>
      </c>
      <c r="C193" s="3" t="s">
        <v>7</v>
      </c>
      <c r="D193" s="3" t="s">
        <v>6</v>
      </c>
      <c r="E193" s="3" t="s">
        <v>259</v>
      </c>
      <c r="F193" s="3" t="s">
        <v>5</v>
      </c>
      <c r="G193" s="240">
        <v>72</v>
      </c>
      <c r="H193" s="240"/>
      <c r="I193" s="240">
        <f>G193+H193</f>
        <v>72</v>
      </c>
      <c r="J193" s="73">
        <v>72</v>
      </c>
    </row>
    <row r="194" spans="1:10" ht="24" x14ac:dyDescent="0.2">
      <c r="A194" s="7" t="s">
        <v>527</v>
      </c>
      <c r="B194" s="3" t="s">
        <v>213</v>
      </c>
      <c r="C194" s="3" t="s">
        <v>7</v>
      </c>
      <c r="D194" s="3" t="s">
        <v>6</v>
      </c>
      <c r="E194" s="3" t="s">
        <v>558</v>
      </c>
      <c r="F194" s="3"/>
      <c r="G194" s="240">
        <f>G195</f>
        <v>10790.1</v>
      </c>
      <c r="H194" s="240">
        <f t="shared" ref="H194:I194" si="82">H195</f>
        <v>0</v>
      </c>
      <c r="I194" s="240">
        <f t="shared" si="82"/>
        <v>10790.1</v>
      </c>
      <c r="J194" s="73"/>
    </row>
    <row r="195" spans="1:10" ht="12.75" x14ac:dyDescent="0.2">
      <c r="A195" s="4" t="s">
        <v>8</v>
      </c>
      <c r="B195" s="3" t="s">
        <v>213</v>
      </c>
      <c r="C195" s="3" t="s">
        <v>7</v>
      </c>
      <c r="D195" s="3" t="s">
        <v>6</v>
      </c>
      <c r="E195" s="3" t="s">
        <v>558</v>
      </c>
      <c r="F195" s="3" t="s">
        <v>5</v>
      </c>
      <c r="G195" s="240">
        <v>10790.1</v>
      </c>
      <c r="H195" s="247"/>
      <c r="I195" s="240">
        <f>G195+H195</f>
        <v>10790.1</v>
      </c>
      <c r="J195" s="73">
        <v>10790.1</v>
      </c>
    </row>
    <row r="196" spans="1:10" ht="24" x14ac:dyDescent="0.2">
      <c r="A196" s="51" t="s">
        <v>244</v>
      </c>
      <c r="B196" s="5" t="s">
        <v>80</v>
      </c>
      <c r="C196" s="5"/>
      <c r="D196" s="5"/>
      <c r="E196" s="5"/>
      <c r="F196" s="3"/>
      <c r="G196" s="257">
        <f>G197+G262+G286+G330+G377+G398+G424+G392+G430</f>
        <v>214345.45335</v>
      </c>
      <c r="H196" s="257">
        <f>H197+H262+H286+H330+H377+H398+H424+H392+H430</f>
        <v>-459.91068000000013</v>
      </c>
      <c r="I196" s="257">
        <f>I197+I262+I286+I330+I377+I398+I424+I392+I430</f>
        <v>213885.54267</v>
      </c>
      <c r="J196" s="73">
        <v>214345.45335</v>
      </c>
    </row>
    <row r="197" spans="1:10" ht="12.75" x14ac:dyDescent="0.2">
      <c r="A197" s="4" t="s">
        <v>157</v>
      </c>
      <c r="B197" s="3" t="s">
        <v>80</v>
      </c>
      <c r="C197" s="3" t="s">
        <v>15</v>
      </c>
      <c r="D197" s="3"/>
      <c r="E197" s="3"/>
      <c r="F197" s="3"/>
      <c r="G197" s="240">
        <f>G198+G201+G207+G238+G231+G226+G235</f>
        <v>21582.928979999997</v>
      </c>
      <c r="H197" s="240">
        <f t="shared" ref="H197:I197" si="83">H198+H201+H207+H238+H231+H226+H235</f>
        <v>-786.15899999999999</v>
      </c>
      <c r="I197" s="240">
        <f t="shared" si="83"/>
        <v>20796.769979999997</v>
      </c>
      <c r="J197" s="73"/>
    </row>
    <row r="198" spans="1:10" ht="36" x14ac:dyDescent="0.2">
      <c r="A198" s="4" t="s">
        <v>156</v>
      </c>
      <c r="B198" s="3" t="s">
        <v>80</v>
      </c>
      <c r="C198" s="3" t="s">
        <v>15</v>
      </c>
      <c r="D198" s="3" t="s">
        <v>27</v>
      </c>
      <c r="E198" s="3"/>
      <c r="F198" s="3"/>
      <c r="G198" s="240">
        <f t="shared" ref="G198:I199" si="84">G199</f>
        <v>1980.0735099999999</v>
      </c>
      <c r="H198" s="240">
        <f t="shared" si="84"/>
        <v>0</v>
      </c>
      <c r="I198" s="240">
        <f t="shared" si="84"/>
        <v>1980.0735099999999</v>
      </c>
      <c r="J198" s="73"/>
    </row>
    <row r="199" spans="1:10" ht="24" x14ac:dyDescent="0.2">
      <c r="A199" s="4" t="s">
        <v>155</v>
      </c>
      <c r="B199" s="3" t="s">
        <v>80</v>
      </c>
      <c r="C199" s="3" t="s">
        <v>15</v>
      </c>
      <c r="D199" s="3" t="s">
        <v>27</v>
      </c>
      <c r="E199" s="3" t="s">
        <v>154</v>
      </c>
      <c r="F199" s="3"/>
      <c r="G199" s="239">
        <f t="shared" si="84"/>
        <v>1980.0735099999999</v>
      </c>
      <c r="H199" s="239">
        <f t="shared" si="84"/>
        <v>0</v>
      </c>
      <c r="I199" s="239">
        <f t="shared" si="84"/>
        <v>1980.0735099999999</v>
      </c>
      <c r="J199" s="73"/>
    </row>
    <row r="200" spans="1:10" ht="60" x14ac:dyDescent="0.2">
      <c r="A200" s="4" t="s">
        <v>38</v>
      </c>
      <c r="B200" s="3" t="s">
        <v>80</v>
      </c>
      <c r="C200" s="3" t="s">
        <v>15</v>
      </c>
      <c r="D200" s="3" t="s">
        <v>27</v>
      </c>
      <c r="E200" s="3" t="s">
        <v>154</v>
      </c>
      <c r="F200" s="3" t="s">
        <v>34</v>
      </c>
      <c r="G200" s="240">
        <v>1980.0735099999999</v>
      </c>
      <c r="H200" s="239"/>
      <c r="I200" s="240">
        <f>G200+H200</f>
        <v>1980.0735099999999</v>
      </c>
      <c r="J200" s="73">
        <f>1520.79379+459.27972</f>
        <v>1980.0735099999999</v>
      </c>
    </row>
    <row r="201" spans="1:10" ht="48" x14ac:dyDescent="0.2">
      <c r="A201" s="4" t="s">
        <v>153</v>
      </c>
      <c r="B201" s="3" t="s">
        <v>80</v>
      </c>
      <c r="C201" s="3" t="s">
        <v>15</v>
      </c>
      <c r="D201" s="3" t="s">
        <v>6</v>
      </c>
      <c r="E201" s="3"/>
      <c r="F201" s="3"/>
      <c r="G201" s="240">
        <f t="shared" ref="G201" si="85">G202+G204</f>
        <v>2010.4665100000002</v>
      </c>
      <c r="H201" s="240">
        <f>H202+H204</f>
        <v>0</v>
      </c>
      <c r="I201" s="240">
        <f>I202+I204</f>
        <v>2010.4665100000002</v>
      </c>
      <c r="J201" s="73"/>
    </row>
    <row r="202" spans="1:10" ht="24" x14ac:dyDescent="0.2">
      <c r="A202" s="4" t="s">
        <v>152</v>
      </c>
      <c r="B202" s="3" t="s">
        <v>80</v>
      </c>
      <c r="C202" s="3" t="s">
        <v>15</v>
      </c>
      <c r="D202" s="3" t="s">
        <v>6</v>
      </c>
      <c r="E202" s="3" t="s">
        <v>151</v>
      </c>
      <c r="F202" s="3"/>
      <c r="G202" s="239">
        <f t="shared" ref="G202:I202" si="86">G203</f>
        <v>1185.1483900000001</v>
      </c>
      <c r="H202" s="239">
        <f t="shared" si="86"/>
        <v>0</v>
      </c>
      <c r="I202" s="239">
        <f t="shared" si="86"/>
        <v>1185.1483900000001</v>
      </c>
      <c r="J202" s="73"/>
    </row>
    <row r="203" spans="1:10" ht="60" x14ac:dyDescent="0.2">
      <c r="A203" s="4" t="s">
        <v>38</v>
      </c>
      <c r="B203" s="3" t="s">
        <v>80</v>
      </c>
      <c r="C203" s="3" t="s">
        <v>15</v>
      </c>
      <c r="D203" s="3" t="s">
        <v>6</v>
      </c>
      <c r="E203" s="3" t="s">
        <v>151</v>
      </c>
      <c r="F203" s="3" t="s">
        <v>34</v>
      </c>
      <c r="G203" s="240">
        <v>1185.1483900000001</v>
      </c>
      <c r="H203" s="239"/>
      <c r="I203" s="240">
        <f>G203+H203</f>
        <v>1185.1483900000001</v>
      </c>
      <c r="J203" s="73">
        <f>910.25222+274.89617</f>
        <v>1185.1483899999998</v>
      </c>
    </row>
    <row r="204" spans="1:10" ht="24.75" x14ac:dyDescent="0.25">
      <c r="A204" s="4" t="s">
        <v>150</v>
      </c>
      <c r="B204" s="3">
        <v>800</v>
      </c>
      <c r="C204" s="3" t="s">
        <v>15</v>
      </c>
      <c r="D204" s="3" t="s">
        <v>6</v>
      </c>
      <c r="E204" s="3" t="s">
        <v>149</v>
      </c>
      <c r="F204" s="3"/>
      <c r="G204" s="254">
        <f>G205</f>
        <v>825.31812000000002</v>
      </c>
      <c r="H204" s="254">
        <f t="shared" ref="H204:I204" si="87">H205</f>
        <v>0</v>
      </c>
      <c r="I204" s="254">
        <f t="shared" si="87"/>
        <v>825.31812000000002</v>
      </c>
      <c r="J204" s="73"/>
    </row>
    <row r="205" spans="1:10" ht="36.75" x14ac:dyDescent="0.25">
      <c r="A205" s="4" t="s">
        <v>148</v>
      </c>
      <c r="B205" s="3">
        <v>800</v>
      </c>
      <c r="C205" s="3" t="s">
        <v>15</v>
      </c>
      <c r="D205" s="3" t="s">
        <v>6</v>
      </c>
      <c r="E205" s="3" t="s">
        <v>147</v>
      </c>
      <c r="F205" s="3"/>
      <c r="G205" s="254">
        <f t="shared" ref="G205:I205" si="88">G206</f>
        <v>825.31812000000002</v>
      </c>
      <c r="H205" s="254">
        <f t="shared" si="88"/>
        <v>0</v>
      </c>
      <c r="I205" s="254">
        <f t="shared" si="88"/>
        <v>825.31812000000002</v>
      </c>
      <c r="J205" s="73"/>
    </row>
    <row r="206" spans="1:10" ht="60.75" x14ac:dyDescent="0.25">
      <c r="A206" s="4" t="s">
        <v>38</v>
      </c>
      <c r="B206" s="3" t="s">
        <v>80</v>
      </c>
      <c r="C206" s="3" t="s">
        <v>15</v>
      </c>
      <c r="D206" s="3" t="s">
        <v>6</v>
      </c>
      <c r="E206" s="3" t="s">
        <v>147</v>
      </c>
      <c r="F206" s="3" t="s">
        <v>34</v>
      </c>
      <c r="G206" s="248">
        <v>825.31812000000002</v>
      </c>
      <c r="H206" s="254"/>
      <c r="I206" s="248">
        <f>G206+H206</f>
        <v>825.31812000000002</v>
      </c>
      <c r="J206" s="73">
        <f>385.03696+324+116.28116</f>
        <v>825.31812000000002</v>
      </c>
    </row>
    <row r="207" spans="1:10" ht="48" x14ac:dyDescent="0.2">
      <c r="A207" s="4" t="s">
        <v>146</v>
      </c>
      <c r="B207" s="3" t="s">
        <v>80</v>
      </c>
      <c r="C207" s="3" t="s">
        <v>15</v>
      </c>
      <c r="D207" s="3" t="s">
        <v>59</v>
      </c>
      <c r="E207" s="3"/>
      <c r="F207" s="3"/>
      <c r="G207" s="239">
        <f>G208+G217+G221</f>
        <v>15423.10866</v>
      </c>
      <c r="H207" s="239">
        <f t="shared" ref="H207:I207" si="89">H208+H217+H221</f>
        <v>-811.15899999999999</v>
      </c>
      <c r="I207" s="239">
        <f t="shared" si="89"/>
        <v>14611.94966</v>
      </c>
      <c r="J207" s="73"/>
    </row>
    <row r="208" spans="1:10" ht="84" x14ac:dyDescent="0.2">
      <c r="A208" s="4" t="s">
        <v>261</v>
      </c>
      <c r="B208" s="3" t="s">
        <v>80</v>
      </c>
      <c r="C208" s="3" t="s">
        <v>15</v>
      </c>
      <c r="D208" s="3" t="s">
        <v>59</v>
      </c>
      <c r="E208" s="3" t="s">
        <v>145</v>
      </c>
      <c r="F208" s="3"/>
      <c r="G208" s="239">
        <f>G209+G215</f>
        <v>14142.10866</v>
      </c>
      <c r="H208" s="239">
        <f t="shared" ref="H208:I208" si="90">H209+H215</f>
        <v>-811.15899999999999</v>
      </c>
      <c r="I208" s="239">
        <f t="shared" si="90"/>
        <v>13330.94966</v>
      </c>
      <c r="J208" s="73"/>
    </row>
    <row r="209" spans="1:10" ht="36" x14ac:dyDescent="0.2">
      <c r="A209" s="4" t="s">
        <v>260</v>
      </c>
      <c r="B209" s="3" t="s">
        <v>80</v>
      </c>
      <c r="C209" s="3" t="s">
        <v>15</v>
      </c>
      <c r="D209" s="3" t="s">
        <v>59</v>
      </c>
      <c r="E209" s="3" t="s">
        <v>262</v>
      </c>
      <c r="F209" s="3"/>
      <c r="G209" s="239">
        <f t="shared" ref="G209" si="91">G210+G212</f>
        <v>13869.36153</v>
      </c>
      <c r="H209" s="239">
        <f>H210+H212</f>
        <v>-811.15899999999999</v>
      </c>
      <c r="I209" s="239">
        <f>I210+I212</f>
        <v>13058.20253</v>
      </c>
      <c r="J209" s="73"/>
    </row>
    <row r="210" spans="1:10" ht="24" x14ac:dyDescent="0.2">
      <c r="A210" s="4" t="s">
        <v>144</v>
      </c>
      <c r="B210" s="3" t="s">
        <v>80</v>
      </c>
      <c r="C210" s="3" t="s">
        <v>15</v>
      </c>
      <c r="D210" s="3" t="s">
        <v>59</v>
      </c>
      <c r="E210" s="3" t="s">
        <v>143</v>
      </c>
      <c r="F210" s="3"/>
      <c r="G210" s="239">
        <f t="shared" ref="G210:I210" si="92">G211</f>
        <v>13169.37153</v>
      </c>
      <c r="H210" s="239">
        <f t="shared" si="92"/>
        <v>-811.15899999999999</v>
      </c>
      <c r="I210" s="239">
        <f t="shared" si="92"/>
        <v>12358.212530000001</v>
      </c>
      <c r="J210" s="73"/>
    </row>
    <row r="211" spans="1:10" ht="60" x14ac:dyDescent="0.2">
      <c r="A211" s="4" t="s">
        <v>38</v>
      </c>
      <c r="B211" s="3" t="s">
        <v>80</v>
      </c>
      <c r="C211" s="3" t="s">
        <v>15</v>
      </c>
      <c r="D211" s="3" t="s">
        <v>59</v>
      </c>
      <c r="E211" s="3" t="s">
        <v>143</v>
      </c>
      <c r="F211" s="3" t="s">
        <v>34</v>
      </c>
      <c r="G211" s="240">
        <v>13169.37153</v>
      </c>
      <c r="H211" s="239">
        <v>-811.15899999999999</v>
      </c>
      <c r="I211" s="240">
        <f>G211+H211</f>
        <v>12358.212530000001</v>
      </c>
      <c r="J211" s="73">
        <f>10076.3224+50+3043.04913</f>
        <v>13169.371529999999</v>
      </c>
    </row>
    <row r="212" spans="1:10" ht="24" x14ac:dyDescent="0.2">
      <c r="A212" s="4" t="s">
        <v>142</v>
      </c>
      <c r="B212" s="3" t="s">
        <v>80</v>
      </c>
      <c r="C212" s="3" t="s">
        <v>15</v>
      </c>
      <c r="D212" s="3" t="s">
        <v>59</v>
      </c>
      <c r="E212" s="3" t="s">
        <v>141</v>
      </c>
      <c r="F212" s="3"/>
      <c r="G212" s="239">
        <f t="shared" ref="G212" si="93">G213+G214</f>
        <v>699.99</v>
      </c>
      <c r="H212" s="239">
        <f>H213+H214</f>
        <v>0</v>
      </c>
      <c r="I212" s="239">
        <f>I213+I214</f>
        <v>699.99</v>
      </c>
      <c r="J212" s="73"/>
    </row>
    <row r="213" spans="1:10" ht="24" x14ac:dyDescent="0.2">
      <c r="A213" s="4" t="s">
        <v>47</v>
      </c>
      <c r="B213" s="3" t="s">
        <v>80</v>
      </c>
      <c r="C213" s="3" t="s">
        <v>15</v>
      </c>
      <c r="D213" s="3" t="s">
        <v>59</v>
      </c>
      <c r="E213" s="3" t="s">
        <v>141</v>
      </c>
      <c r="F213" s="3" t="s">
        <v>51</v>
      </c>
      <c r="G213" s="240">
        <v>699.99</v>
      </c>
      <c r="H213" s="239"/>
      <c r="I213" s="240">
        <f>G213+H213</f>
        <v>699.99</v>
      </c>
      <c r="J213" s="73">
        <v>699.99</v>
      </c>
    </row>
    <row r="214" spans="1:10" ht="24" x14ac:dyDescent="0.2">
      <c r="A214" s="4" t="s">
        <v>73</v>
      </c>
      <c r="B214" s="3" t="s">
        <v>80</v>
      </c>
      <c r="C214" s="3" t="s">
        <v>15</v>
      </c>
      <c r="D214" s="3" t="s">
        <v>59</v>
      </c>
      <c r="E214" s="3" t="s">
        <v>141</v>
      </c>
      <c r="F214" s="3" t="s">
        <v>80</v>
      </c>
      <c r="G214" s="240"/>
      <c r="H214" s="239"/>
      <c r="I214" s="240">
        <f>G214+H214</f>
        <v>0</v>
      </c>
      <c r="J214" s="73"/>
    </row>
    <row r="215" spans="1:10" ht="24" x14ac:dyDescent="0.2">
      <c r="A215" s="4" t="s">
        <v>527</v>
      </c>
      <c r="B215" s="3" t="s">
        <v>80</v>
      </c>
      <c r="C215" s="3" t="s">
        <v>15</v>
      </c>
      <c r="D215" s="3" t="s">
        <v>59</v>
      </c>
      <c r="E215" s="3" t="s">
        <v>539</v>
      </c>
      <c r="F215" s="3"/>
      <c r="G215" s="240">
        <f>G216</f>
        <v>272.74713000000003</v>
      </c>
      <c r="H215" s="240">
        <f t="shared" ref="H215:I215" si="94">H216</f>
        <v>0</v>
      </c>
      <c r="I215" s="240">
        <f t="shared" si="94"/>
        <v>272.74713000000003</v>
      </c>
      <c r="J215" s="73"/>
    </row>
    <row r="216" spans="1:10" ht="60" x14ac:dyDescent="0.2">
      <c r="A216" s="4" t="s">
        <v>38</v>
      </c>
      <c r="B216" s="3" t="s">
        <v>80</v>
      </c>
      <c r="C216" s="3" t="s">
        <v>15</v>
      </c>
      <c r="D216" s="3" t="s">
        <v>59</v>
      </c>
      <c r="E216" s="3" t="s">
        <v>539</v>
      </c>
      <c r="F216" s="3" t="s">
        <v>34</v>
      </c>
      <c r="G216" s="240">
        <v>272.74713000000003</v>
      </c>
      <c r="H216" s="239"/>
      <c r="I216" s="240">
        <f>G216+H216</f>
        <v>272.74713000000003</v>
      </c>
      <c r="J216" s="73">
        <f>209.4832+63.26393</f>
        <v>272.74713000000003</v>
      </c>
    </row>
    <row r="217" spans="1:10" ht="63.75" x14ac:dyDescent="0.2">
      <c r="A217" s="8" t="s">
        <v>263</v>
      </c>
      <c r="B217" s="3" t="s">
        <v>80</v>
      </c>
      <c r="C217" s="3" t="s">
        <v>15</v>
      </c>
      <c r="D217" s="3" t="s">
        <v>59</v>
      </c>
      <c r="E217" s="3" t="s">
        <v>57</v>
      </c>
      <c r="F217" s="3"/>
      <c r="G217" s="246">
        <f t="shared" ref="G217:I219" si="95">G218</f>
        <v>72</v>
      </c>
      <c r="H217" s="246">
        <f t="shared" si="95"/>
        <v>0</v>
      </c>
      <c r="I217" s="246">
        <f t="shared" si="95"/>
        <v>72</v>
      </c>
      <c r="J217" s="73"/>
    </row>
    <row r="218" spans="1:10" ht="38.25" x14ac:dyDescent="0.2">
      <c r="A218" s="8" t="s">
        <v>55</v>
      </c>
      <c r="B218" s="3" t="s">
        <v>80</v>
      </c>
      <c r="C218" s="3" t="s">
        <v>15</v>
      </c>
      <c r="D218" s="3" t="s">
        <v>59</v>
      </c>
      <c r="E218" s="3" t="s">
        <v>264</v>
      </c>
      <c r="F218" s="3"/>
      <c r="G218" s="246">
        <f t="shared" si="95"/>
        <v>72</v>
      </c>
      <c r="H218" s="246">
        <f t="shared" si="95"/>
        <v>0</v>
      </c>
      <c r="I218" s="246">
        <f t="shared" si="95"/>
        <v>72</v>
      </c>
      <c r="J218" s="73"/>
    </row>
    <row r="219" spans="1:10" ht="63.75" x14ac:dyDescent="0.2">
      <c r="A219" s="8" t="s">
        <v>336</v>
      </c>
      <c r="B219" s="3" t="s">
        <v>80</v>
      </c>
      <c r="C219" s="3" t="s">
        <v>15</v>
      </c>
      <c r="D219" s="3" t="s">
        <v>59</v>
      </c>
      <c r="E219" s="3" t="s">
        <v>56</v>
      </c>
      <c r="F219" s="3"/>
      <c r="G219" s="246">
        <f t="shared" si="95"/>
        <v>72</v>
      </c>
      <c r="H219" s="246">
        <f t="shared" si="95"/>
        <v>0</v>
      </c>
      <c r="I219" s="246">
        <f t="shared" si="95"/>
        <v>72</v>
      </c>
      <c r="J219" s="73"/>
    </row>
    <row r="220" spans="1:10" ht="60" x14ac:dyDescent="0.2">
      <c r="A220" s="4" t="s">
        <v>38</v>
      </c>
      <c r="B220" s="3" t="s">
        <v>80</v>
      </c>
      <c r="C220" s="3" t="s">
        <v>15</v>
      </c>
      <c r="D220" s="3" t="s">
        <v>59</v>
      </c>
      <c r="E220" s="3" t="s">
        <v>56</v>
      </c>
      <c r="F220" s="3" t="s">
        <v>34</v>
      </c>
      <c r="G220" s="240">
        <f>55.29954+16.70046</f>
        <v>72</v>
      </c>
      <c r="H220" s="246"/>
      <c r="I220" s="240">
        <f>G220+H220</f>
        <v>72</v>
      </c>
      <c r="J220" s="73">
        <f>55.29954+16.70046</f>
        <v>72</v>
      </c>
    </row>
    <row r="221" spans="1:10" ht="60.75" x14ac:dyDescent="0.25">
      <c r="A221" s="4" t="s">
        <v>372</v>
      </c>
      <c r="B221" s="3" t="s">
        <v>80</v>
      </c>
      <c r="C221" s="3" t="s">
        <v>15</v>
      </c>
      <c r="D221" s="3" t="s">
        <v>59</v>
      </c>
      <c r="E221" s="3" t="s">
        <v>95</v>
      </c>
      <c r="F221" s="3"/>
      <c r="G221" s="250">
        <f>G222</f>
        <v>1209</v>
      </c>
      <c r="H221" s="250">
        <f t="shared" ref="H221:I221" si="96">H222</f>
        <v>0</v>
      </c>
      <c r="I221" s="250">
        <f t="shared" si="96"/>
        <v>1209</v>
      </c>
      <c r="J221" s="73"/>
    </row>
    <row r="222" spans="1:10" ht="24.75" x14ac:dyDescent="0.25">
      <c r="A222" s="4" t="s">
        <v>265</v>
      </c>
      <c r="B222" s="3" t="s">
        <v>80</v>
      </c>
      <c r="C222" s="3" t="s">
        <v>15</v>
      </c>
      <c r="D222" s="3" t="s">
        <v>59</v>
      </c>
      <c r="E222" s="3" t="s">
        <v>373</v>
      </c>
      <c r="F222" s="3"/>
      <c r="G222" s="250">
        <f t="shared" ref="G222:I222" si="97">G223</f>
        <v>1209</v>
      </c>
      <c r="H222" s="250">
        <f t="shared" si="97"/>
        <v>0</v>
      </c>
      <c r="I222" s="250">
        <f t="shared" si="97"/>
        <v>1209</v>
      </c>
      <c r="J222" s="73"/>
    </row>
    <row r="223" spans="1:10" ht="48.75" x14ac:dyDescent="0.25">
      <c r="A223" s="4" t="s">
        <v>266</v>
      </c>
      <c r="B223" s="3" t="s">
        <v>80</v>
      </c>
      <c r="C223" s="3" t="s">
        <v>15</v>
      </c>
      <c r="D223" s="3" t="s">
        <v>59</v>
      </c>
      <c r="E223" s="3" t="s">
        <v>374</v>
      </c>
      <c r="F223" s="3"/>
      <c r="G223" s="250">
        <f t="shared" ref="G223:I223" si="98">G224+G225</f>
        <v>1209</v>
      </c>
      <c r="H223" s="250">
        <f t="shared" si="98"/>
        <v>0</v>
      </c>
      <c r="I223" s="250">
        <f t="shared" si="98"/>
        <v>1209</v>
      </c>
      <c r="J223" s="73"/>
    </row>
    <row r="224" spans="1:10" ht="60.75" x14ac:dyDescent="0.25">
      <c r="A224" s="4" t="s">
        <v>38</v>
      </c>
      <c r="B224" s="3" t="s">
        <v>80</v>
      </c>
      <c r="C224" s="3" t="s">
        <v>15</v>
      </c>
      <c r="D224" s="3" t="s">
        <v>59</v>
      </c>
      <c r="E224" s="3" t="s">
        <v>374</v>
      </c>
      <c r="F224" s="3" t="s">
        <v>34</v>
      </c>
      <c r="G224" s="248">
        <f>774.9616+234.0384</f>
        <v>1009</v>
      </c>
      <c r="H224" s="250">
        <f>189.504+57.23021-189.504-57.23021</f>
        <v>0</v>
      </c>
      <c r="I224" s="248">
        <f>G224+H224</f>
        <v>1009</v>
      </c>
      <c r="J224" s="73">
        <f>189.504+57.23021+585.4576+176.80819</f>
        <v>1008.9999999999999</v>
      </c>
    </row>
    <row r="225" spans="1:10" ht="24.75" x14ac:dyDescent="0.25">
      <c r="A225" s="4" t="s">
        <v>47</v>
      </c>
      <c r="B225" s="3" t="s">
        <v>80</v>
      </c>
      <c r="C225" s="3" t="s">
        <v>15</v>
      </c>
      <c r="D225" s="3" t="s">
        <v>59</v>
      </c>
      <c r="E225" s="3" t="s">
        <v>374</v>
      </c>
      <c r="F225" s="3" t="s">
        <v>51</v>
      </c>
      <c r="G225" s="248">
        <v>200</v>
      </c>
      <c r="H225" s="250"/>
      <c r="I225" s="248">
        <f>G225+H225</f>
        <v>200</v>
      </c>
      <c r="J225" s="73">
        <f>200</f>
        <v>200</v>
      </c>
    </row>
    <row r="226" spans="1:10" ht="12.75" x14ac:dyDescent="0.2">
      <c r="A226" s="4" t="s">
        <v>202</v>
      </c>
      <c r="B226" s="3" t="s">
        <v>80</v>
      </c>
      <c r="C226" s="3" t="s">
        <v>15</v>
      </c>
      <c r="D226" s="3" t="s">
        <v>36</v>
      </c>
      <c r="E226" s="3"/>
      <c r="F226" s="3"/>
      <c r="G226" s="246">
        <f>G227</f>
        <v>9.6</v>
      </c>
      <c r="H226" s="246">
        <f t="shared" ref="H226:I226" si="99">H227</f>
        <v>0</v>
      </c>
      <c r="I226" s="246">
        <f t="shared" si="99"/>
        <v>9.6</v>
      </c>
      <c r="J226" s="73"/>
    </row>
    <row r="227" spans="1:10" ht="72" x14ac:dyDescent="0.2">
      <c r="A227" s="4" t="s">
        <v>370</v>
      </c>
      <c r="B227" s="3" t="s">
        <v>80</v>
      </c>
      <c r="C227" s="3" t="s">
        <v>15</v>
      </c>
      <c r="D227" s="3" t="s">
        <v>36</v>
      </c>
      <c r="E227" s="3" t="s">
        <v>12</v>
      </c>
      <c r="F227" s="3"/>
      <c r="G227" s="241">
        <f t="shared" ref="G227:I229" si="100">G228</f>
        <v>9.6</v>
      </c>
      <c r="H227" s="241">
        <f t="shared" si="100"/>
        <v>0</v>
      </c>
      <c r="I227" s="241">
        <f t="shared" si="100"/>
        <v>9.6</v>
      </c>
      <c r="J227" s="73"/>
    </row>
    <row r="228" spans="1:10" ht="48" x14ac:dyDescent="0.2">
      <c r="A228" s="4" t="s">
        <v>377</v>
      </c>
      <c r="B228" s="3" t="s">
        <v>80</v>
      </c>
      <c r="C228" s="3" t="s">
        <v>15</v>
      </c>
      <c r="D228" s="3" t="s">
        <v>36</v>
      </c>
      <c r="E228" s="3" t="s">
        <v>10</v>
      </c>
      <c r="F228" s="3"/>
      <c r="G228" s="241">
        <f t="shared" si="100"/>
        <v>9.6</v>
      </c>
      <c r="H228" s="241">
        <f t="shared" si="100"/>
        <v>0</v>
      </c>
      <c r="I228" s="241">
        <f t="shared" si="100"/>
        <v>9.6</v>
      </c>
      <c r="J228" s="73"/>
    </row>
    <row r="229" spans="1:10" ht="48" x14ac:dyDescent="0.2">
      <c r="A229" s="4" t="s">
        <v>124</v>
      </c>
      <c r="B229" s="3" t="s">
        <v>80</v>
      </c>
      <c r="C229" s="3" t="s">
        <v>15</v>
      </c>
      <c r="D229" s="3" t="s">
        <v>36</v>
      </c>
      <c r="E229" s="3" t="s">
        <v>504</v>
      </c>
      <c r="F229" s="3"/>
      <c r="G229" s="241">
        <f t="shared" si="100"/>
        <v>9.6</v>
      </c>
      <c r="H229" s="241">
        <f t="shared" si="100"/>
        <v>0</v>
      </c>
      <c r="I229" s="241">
        <f t="shared" si="100"/>
        <v>9.6</v>
      </c>
      <c r="J229" s="73"/>
    </row>
    <row r="230" spans="1:10" ht="24" x14ac:dyDescent="0.2">
      <c r="A230" s="4" t="s">
        <v>47</v>
      </c>
      <c r="B230" s="3" t="s">
        <v>80</v>
      </c>
      <c r="C230" s="3" t="s">
        <v>15</v>
      </c>
      <c r="D230" s="3" t="s">
        <v>36</v>
      </c>
      <c r="E230" s="3" t="s">
        <v>504</v>
      </c>
      <c r="F230" s="3" t="s">
        <v>51</v>
      </c>
      <c r="G230" s="240">
        <v>9.6</v>
      </c>
      <c r="H230" s="241"/>
      <c r="I230" s="240">
        <f>G230+H230</f>
        <v>9.6</v>
      </c>
      <c r="J230" s="73">
        <v>9.6</v>
      </c>
    </row>
    <row r="231" spans="1:10" ht="36" x14ac:dyDescent="0.2">
      <c r="A231" s="4" t="s">
        <v>140</v>
      </c>
      <c r="B231" s="3" t="s">
        <v>80</v>
      </c>
      <c r="C231" s="3" t="s">
        <v>15</v>
      </c>
      <c r="D231" s="3" t="s">
        <v>53</v>
      </c>
      <c r="E231" s="3"/>
      <c r="F231" s="3"/>
      <c r="G231" s="240">
        <f t="shared" ref="G231:I232" si="101">G232</f>
        <v>1011.66806</v>
      </c>
      <c r="H231" s="240">
        <f t="shared" si="101"/>
        <v>0</v>
      </c>
      <c r="I231" s="240">
        <f t="shared" si="101"/>
        <v>1011.66806</v>
      </c>
      <c r="J231" s="73"/>
    </row>
    <row r="232" spans="1:10" ht="36" x14ac:dyDescent="0.2">
      <c r="A232" s="4" t="s">
        <v>134</v>
      </c>
      <c r="B232" s="3" t="s">
        <v>80</v>
      </c>
      <c r="C232" s="3" t="s">
        <v>15</v>
      </c>
      <c r="D232" s="3" t="s">
        <v>53</v>
      </c>
      <c r="E232" s="3" t="s">
        <v>133</v>
      </c>
      <c r="F232" s="3"/>
      <c r="G232" s="241">
        <f>G233</f>
        <v>1011.66806</v>
      </c>
      <c r="H232" s="241">
        <f t="shared" si="101"/>
        <v>0</v>
      </c>
      <c r="I232" s="241">
        <f t="shared" si="101"/>
        <v>1011.66806</v>
      </c>
      <c r="J232" s="73"/>
    </row>
    <row r="233" spans="1:10" ht="36" x14ac:dyDescent="0.2">
      <c r="A233" s="4" t="s">
        <v>132</v>
      </c>
      <c r="B233" s="3" t="s">
        <v>80</v>
      </c>
      <c r="C233" s="3" t="s">
        <v>15</v>
      </c>
      <c r="D233" s="3" t="s">
        <v>53</v>
      </c>
      <c r="E233" s="3" t="s">
        <v>131</v>
      </c>
      <c r="F233" s="3"/>
      <c r="G233" s="241">
        <f t="shared" ref="G233:I233" si="102">G234</f>
        <v>1011.66806</v>
      </c>
      <c r="H233" s="241">
        <f t="shared" si="102"/>
        <v>0</v>
      </c>
      <c r="I233" s="241">
        <f t="shared" si="102"/>
        <v>1011.66806</v>
      </c>
      <c r="J233" s="73"/>
    </row>
    <row r="234" spans="1:10" ht="60" x14ac:dyDescent="0.2">
      <c r="A234" s="4" t="s">
        <v>38</v>
      </c>
      <c r="B234" s="3" t="s">
        <v>80</v>
      </c>
      <c r="C234" s="3" t="s">
        <v>15</v>
      </c>
      <c r="D234" s="3" t="s">
        <v>53</v>
      </c>
      <c r="E234" s="3" t="s">
        <v>131</v>
      </c>
      <c r="F234" s="3" t="s">
        <v>34</v>
      </c>
      <c r="G234" s="240">
        <v>1011.66806</v>
      </c>
      <c r="H234" s="241"/>
      <c r="I234" s="240">
        <f>G234+H234</f>
        <v>1011.66806</v>
      </c>
      <c r="J234" s="73">
        <f>777.0108+234.65726</f>
        <v>1011.66806</v>
      </c>
    </row>
    <row r="235" spans="1:10" ht="36" x14ac:dyDescent="0.2">
      <c r="A235" s="4" t="s">
        <v>140</v>
      </c>
      <c r="B235" s="3" t="s">
        <v>80</v>
      </c>
      <c r="C235" s="3" t="s">
        <v>15</v>
      </c>
      <c r="D235" s="3" t="s">
        <v>79</v>
      </c>
      <c r="E235" s="3"/>
      <c r="F235" s="3"/>
      <c r="G235" s="240">
        <f>G236</f>
        <v>0</v>
      </c>
      <c r="H235" s="240">
        <f t="shared" ref="H235:I236" si="103">H236</f>
        <v>25</v>
      </c>
      <c r="I235" s="240">
        <f t="shared" si="103"/>
        <v>25</v>
      </c>
      <c r="J235" s="73"/>
    </row>
    <row r="236" spans="1:10" ht="36" x14ac:dyDescent="0.2">
      <c r="A236" s="4" t="s">
        <v>647</v>
      </c>
      <c r="B236" s="3" t="s">
        <v>80</v>
      </c>
      <c r="C236" s="3" t="s">
        <v>15</v>
      </c>
      <c r="D236" s="3" t="s">
        <v>79</v>
      </c>
      <c r="E236" s="3" t="s">
        <v>648</v>
      </c>
      <c r="F236" s="3"/>
      <c r="G236" s="240">
        <f>G237</f>
        <v>0</v>
      </c>
      <c r="H236" s="240">
        <f t="shared" si="103"/>
        <v>25</v>
      </c>
      <c r="I236" s="240">
        <f t="shared" si="103"/>
        <v>25</v>
      </c>
      <c r="J236" s="73"/>
    </row>
    <row r="237" spans="1:10" ht="24" x14ac:dyDescent="0.2">
      <c r="A237" s="7" t="s">
        <v>73</v>
      </c>
      <c r="B237" s="3" t="s">
        <v>80</v>
      </c>
      <c r="C237" s="3" t="s">
        <v>15</v>
      </c>
      <c r="D237" s="3" t="s">
        <v>79</v>
      </c>
      <c r="E237" s="3" t="s">
        <v>648</v>
      </c>
      <c r="F237" s="3" t="s">
        <v>80</v>
      </c>
      <c r="G237" s="240"/>
      <c r="H237" s="241">
        <f>4.08932+20.91068</f>
        <v>25</v>
      </c>
      <c r="I237" s="240">
        <f>G237+H237</f>
        <v>25</v>
      </c>
      <c r="J237" s="73"/>
    </row>
    <row r="238" spans="1:10" ht="12.75" x14ac:dyDescent="0.2">
      <c r="A238" s="4" t="s">
        <v>128</v>
      </c>
      <c r="B238" s="3" t="s">
        <v>80</v>
      </c>
      <c r="C238" s="3" t="s">
        <v>15</v>
      </c>
      <c r="D238" s="3" t="s">
        <v>24</v>
      </c>
      <c r="E238" s="3"/>
      <c r="F238" s="3"/>
      <c r="G238" s="240">
        <f>G239+G243+G248+G258+G254</f>
        <v>1148.01224</v>
      </c>
      <c r="H238" s="240">
        <f t="shared" ref="H238:I238" si="104">H239+H243+H248+H258+H254</f>
        <v>0</v>
      </c>
      <c r="I238" s="240">
        <f t="shared" si="104"/>
        <v>1148.01224</v>
      </c>
      <c r="J238" s="73"/>
    </row>
    <row r="239" spans="1:10" ht="84" x14ac:dyDescent="0.2">
      <c r="A239" s="7" t="s">
        <v>269</v>
      </c>
      <c r="B239" s="3" t="s">
        <v>80</v>
      </c>
      <c r="C239" s="3" t="s">
        <v>15</v>
      </c>
      <c r="D239" s="3" t="s">
        <v>24</v>
      </c>
      <c r="E239" s="3" t="s">
        <v>31</v>
      </c>
      <c r="F239" s="3"/>
      <c r="G239" s="241">
        <f t="shared" ref="G239:I241" si="105">G240</f>
        <v>55.7</v>
      </c>
      <c r="H239" s="241">
        <f t="shared" si="105"/>
        <v>0</v>
      </c>
      <c r="I239" s="241">
        <f t="shared" si="105"/>
        <v>55.7</v>
      </c>
      <c r="J239" s="73"/>
    </row>
    <row r="240" spans="1:10" ht="60" x14ac:dyDescent="0.2">
      <c r="A240" s="4" t="s">
        <v>270</v>
      </c>
      <c r="B240" s="3" t="s">
        <v>80</v>
      </c>
      <c r="C240" s="3" t="s">
        <v>15</v>
      </c>
      <c r="D240" s="3" t="s">
        <v>24</v>
      </c>
      <c r="E240" s="3" t="s">
        <v>271</v>
      </c>
      <c r="F240" s="3"/>
      <c r="G240" s="241">
        <f t="shared" si="105"/>
        <v>55.7</v>
      </c>
      <c r="H240" s="241">
        <f t="shared" si="105"/>
        <v>0</v>
      </c>
      <c r="I240" s="241">
        <f t="shared" si="105"/>
        <v>55.7</v>
      </c>
      <c r="J240" s="73"/>
    </row>
    <row r="241" spans="1:10" ht="36" x14ac:dyDescent="0.2">
      <c r="A241" s="4" t="s">
        <v>127</v>
      </c>
      <c r="B241" s="3" t="s">
        <v>80</v>
      </c>
      <c r="C241" s="3" t="s">
        <v>15</v>
      </c>
      <c r="D241" s="3" t="s">
        <v>24</v>
      </c>
      <c r="E241" s="3" t="s">
        <v>126</v>
      </c>
      <c r="F241" s="3"/>
      <c r="G241" s="241">
        <f t="shared" si="105"/>
        <v>55.7</v>
      </c>
      <c r="H241" s="241">
        <f t="shared" si="105"/>
        <v>0</v>
      </c>
      <c r="I241" s="241">
        <f t="shared" si="105"/>
        <v>55.7</v>
      </c>
      <c r="J241" s="73"/>
    </row>
    <row r="242" spans="1:10" ht="24" x14ac:dyDescent="0.2">
      <c r="A242" s="4" t="s">
        <v>47</v>
      </c>
      <c r="B242" s="3" t="s">
        <v>80</v>
      </c>
      <c r="C242" s="3" t="s">
        <v>15</v>
      </c>
      <c r="D242" s="3" t="s">
        <v>24</v>
      </c>
      <c r="E242" s="3" t="s">
        <v>126</v>
      </c>
      <c r="F242" s="3">
        <v>200</v>
      </c>
      <c r="G242" s="240">
        <v>55.7</v>
      </c>
      <c r="H242" s="241"/>
      <c r="I242" s="240">
        <f>G242+H242</f>
        <v>55.7</v>
      </c>
      <c r="J242" s="73">
        <v>55.7</v>
      </c>
    </row>
    <row r="243" spans="1:10" ht="48" x14ac:dyDescent="0.2">
      <c r="A243" s="4" t="s">
        <v>375</v>
      </c>
      <c r="B243" s="3" t="s">
        <v>80</v>
      </c>
      <c r="C243" s="3" t="s">
        <v>15</v>
      </c>
      <c r="D243" s="3" t="s">
        <v>24</v>
      </c>
      <c r="E243" s="3" t="s">
        <v>41</v>
      </c>
      <c r="F243" s="3"/>
      <c r="G243" s="241">
        <f t="shared" ref="G243:I244" si="106">G244</f>
        <v>769.50000000000011</v>
      </c>
      <c r="H243" s="241">
        <f t="shared" si="106"/>
        <v>0</v>
      </c>
      <c r="I243" s="241">
        <f t="shared" si="106"/>
        <v>769.50000000000011</v>
      </c>
      <c r="J243" s="73"/>
    </row>
    <row r="244" spans="1:10" ht="48" x14ac:dyDescent="0.2">
      <c r="A244" s="4" t="s">
        <v>328</v>
      </c>
      <c r="B244" s="3" t="s">
        <v>80</v>
      </c>
      <c r="C244" s="3" t="s">
        <v>15</v>
      </c>
      <c r="D244" s="3" t="s">
        <v>24</v>
      </c>
      <c r="E244" s="3" t="s">
        <v>272</v>
      </c>
      <c r="F244" s="3"/>
      <c r="G244" s="241">
        <f t="shared" si="106"/>
        <v>769.50000000000011</v>
      </c>
      <c r="H244" s="241">
        <f t="shared" si="106"/>
        <v>0</v>
      </c>
      <c r="I244" s="241">
        <f t="shared" si="106"/>
        <v>769.50000000000011</v>
      </c>
      <c r="J244" s="73"/>
    </row>
    <row r="245" spans="1:10" ht="96" x14ac:dyDescent="0.2">
      <c r="A245" s="4" t="s">
        <v>376</v>
      </c>
      <c r="B245" s="3" t="s">
        <v>80</v>
      </c>
      <c r="C245" s="3" t="s">
        <v>15</v>
      </c>
      <c r="D245" s="3" t="s">
        <v>24</v>
      </c>
      <c r="E245" s="3" t="s">
        <v>125</v>
      </c>
      <c r="F245" s="3"/>
      <c r="G245" s="241">
        <f t="shared" ref="G245:I245" si="107">G246+G247</f>
        <v>769.50000000000011</v>
      </c>
      <c r="H245" s="241">
        <f t="shared" si="107"/>
        <v>0</v>
      </c>
      <c r="I245" s="241">
        <f t="shared" si="107"/>
        <v>769.50000000000011</v>
      </c>
      <c r="J245" s="73"/>
    </row>
    <row r="246" spans="1:10" ht="60" x14ac:dyDescent="0.2">
      <c r="A246" s="4" t="s">
        <v>38</v>
      </c>
      <c r="B246" s="3" t="s">
        <v>80</v>
      </c>
      <c r="C246" s="3" t="s">
        <v>15</v>
      </c>
      <c r="D246" s="3" t="s">
        <v>24</v>
      </c>
      <c r="E246" s="3" t="s">
        <v>125</v>
      </c>
      <c r="F246" s="3" t="s">
        <v>34</v>
      </c>
      <c r="G246" s="240">
        <f>423.23502+4.848+127.81698</f>
        <v>555.90000000000009</v>
      </c>
      <c r="H246" s="241"/>
      <c r="I246" s="240">
        <f>G246+H246</f>
        <v>555.90000000000009</v>
      </c>
      <c r="J246" s="73">
        <f>423.23502+4.848+127.81698</f>
        <v>555.90000000000009</v>
      </c>
    </row>
    <row r="247" spans="1:10" ht="24" x14ac:dyDescent="0.2">
      <c r="A247" s="4" t="s">
        <v>47</v>
      </c>
      <c r="B247" s="3" t="s">
        <v>80</v>
      </c>
      <c r="C247" s="3" t="s">
        <v>15</v>
      </c>
      <c r="D247" s="3" t="s">
        <v>24</v>
      </c>
      <c r="E247" s="3" t="s">
        <v>125</v>
      </c>
      <c r="F247" s="3" t="s">
        <v>51</v>
      </c>
      <c r="G247" s="240">
        <v>213.6</v>
      </c>
      <c r="H247" s="241"/>
      <c r="I247" s="240">
        <f>G247+H247</f>
        <v>213.6</v>
      </c>
      <c r="J247" s="73">
        <f>213.6</f>
        <v>213.6</v>
      </c>
    </row>
    <row r="248" spans="1:10" ht="36" x14ac:dyDescent="0.2">
      <c r="A248" s="4" t="s">
        <v>369</v>
      </c>
      <c r="B248" s="3" t="s">
        <v>80</v>
      </c>
      <c r="C248" s="3" t="s">
        <v>15</v>
      </c>
      <c r="D248" s="3" t="s">
        <v>24</v>
      </c>
      <c r="E248" s="3" t="s">
        <v>12</v>
      </c>
      <c r="F248" s="3"/>
      <c r="G248" s="241">
        <f t="shared" ref="G248:I248" si="108">G249</f>
        <v>277.2</v>
      </c>
      <c r="H248" s="241">
        <f t="shared" si="108"/>
        <v>0</v>
      </c>
      <c r="I248" s="241">
        <f t="shared" si="108"/>
        <v>277.2</v>
      </c>
      <c r="J248" s="73"/>
    </row>
    <row r="249" spans="1:10" ht="48" x14ac:dyDescent="0.2">
      <c r="A249" s="4" t="s">
        <v>377</v>
      </c>
      <c r="B249" s="3" t="s">
        <v>80</v>
      </c>
      <c r="C249" s="3" t="s">
        <v>15</v>
      </c>
      <c r="D249" s="3" t="s">
        <v>24</v>
      </c>
      <c r="E249" s="3" t="s">
        <v>10</v>
      </c>
      <c r="F249" s="3"/>
      <c r="G249" s="241">
        <f t="shared" ref="G249:I249" si="109">G250+G252</f>
        <v>277.2</v>
      </c>
      <c r="H249" s="241">
        <f t="shared" si="109"/>
        <v>0</v>
      </c>
      <c r="I249" s="241">
        <f t="shared" si="109"/>
        <v>277.2</v>
      </c>
      <c r="J249" s="73"/>
    </row>
    <row r="250" spans="1:10" ht="48" x14ac:dyDescent="0.2">
      <c r="A250" s="4" t="s">
        <v>337</v>
      </c>
      <c r="B250" s="3" t="s">
        <v>80</v>
      </c>
      <c r="C250" s="3" t="s">
        <v>15</v>
      </c>
      <c r="D250" s="3" t="s">
        <v>24</v>
      </c>
      <c r="E250" s="3" t="s">
        <v>378</v>
      </c>
      <c r="F250" s="3"/>
      <c r="G250" s="241">
        <f t="shared" ref="G250:I250" si="110">G251</f>
        <v>52.1</v>
      </c>
      <c r="H250" s="241">
        <f t="shared" si="110"/>
        <v>0</v>
      </c>
      <c r="I250" s="241">
        <f t="shared" si="110"/>
        <v>52.1</v>
      </c>
      <c r="J250" s="73"/>
    </row>
    <row r="251" spans="1:10" ht="24" x14ac:dyDescent="0.2">
      <c r="A251" s="4" t="s">
        <v>47</v>
      </c>
      <c r="B251" s="3" t="s">
        <v>80</v>
      </c>
      <c r="C251" s="3" t="s">
        <v>15</v>
      </c>
      <c r="D251" s="3" t="s">
        <v>24</v>
      </c>
      <c r="E251" s="3" t="s">
        <v>378</v>
      </c>
      <c r="F251" s="3" t="s">
        <v>51</v>
      </c>
      <c r="G251" s="240">
        <v>52.1</v>
      </c>
      <c r="H251" s="241"/>
      <c r="I251" s="240">
        <f>G251+H251</f>
        <v>52.1</v>
      </c>
      <c r="J251" s="73">
        <v>52.1</v>
      </c>
    </row>
    <row r="252" spans="1:10" ht="72" x14ac:dyDescent="0.2">
      <c r="A252" s="4" t="s">
        <v>338</v>
      </c>
      <c r="B252" s="3" t="s">
        <v>80</v>
      </c>
      <c r="C252" s="3" t="s">
        <v>15</v>
      </c>
      <c r="D252" s="3" t="s">
        <v>24</v>
      </c>
      <c r="E252" s="3" t="s">
        <v>379</v>
      </c>
      <c r="F252" s="3"/>
      <c r="G252" s="241">
        <f t="shared" ref="G252:I252" si="111">G253</f>
        <v>225.1</v>
      </c>
      <c r="H252" s="241">
        <f t="shared" si="111"/>
        <v>0</v>
      </c>
      <c r="I252" s="241">
        <f t="shared" si="111"/>
        <v>225.1</v>
      </c>
      <c r="J252" s="73"/>
    </row>
    <row r="253" spans="1:10" ht="60" x14ac:dyDescent="0.2">
      <c r="A253" s="4" t="s">
        <v>38</v>
      </c>
      <c r="B253" s="3" t="s">
        <v>80</v>
      </c>
      <c r="C253" s="3" t="s">
        <v>15</v>
      </c>
      <c r="D253" s="3" t="s">
        <v>24</v>
      </c>
      <c r="E253" s="3" t="s">
        <v>379</v>
      </c>
      <c r="F253" s="3" t="s">
        <v>34</v>
      </c>
      <c r="G253" s="240">
        <f>172.88786+52.21214</f>
        <v>225.1</v>
      </c>
      <c r="H253" s="241"/>
      <c r="I253" s="240">
        <f>G253+H253</f>
        <v>225.1</v>
      </c>
      <c r="J253" s="73">
        <f>172.88786+52.21214</f>
        <v>225.1</v>
      </c>
    </row>
    <row r="254" spans="1:10" ht="60.75" x14ac:dyDescent="0.25">
      <c r="A254" s="4" t="s">
        <v>372</v>
      </c>
      <c r="B254" s="3" t="s">
        <v>80</v>
      </c>
      <c r="C254" s="3" t="s">
        <v>15</v>
      </c>
      <c r="D254" s="3" t="s">
        <v>24</v>
      </c>
      <c r="E254" s="3" t="s">
        <v>95</v>
      </c>
      <c r="F254" s="3"/>
      <c r="G254" s="250">
        <f>G255</f>
        <v>30.61224</v>
      </c>
      <c r="H254" s="250">
        <f t="shared" ref="H254:I254" si="112">H255</f>
        <v>0</v>
      </c>
      <c r="I254" s="250">
        <f t="shared" si="112"/>
        <v>30.61224</v>
      </c>
      <c r="J254" s="73"/>
    </row>
    <row r="255" spans="1:10" ht="72.75" x14ac:dyDescent="0.25">
      <c r="A255" s="4" t="s">
        <v>274</v>
      </c>
      <c r="B255" s="3" t="s">
        <v>80</v>
      </c>
      <c r="C255" s="3" t="s">
        <v>15</v>
      </c>
      <c r="D255" s="3" t="s">
        <v>24</v>
      </c>
      <c r="E255" s="3" t="s">
        <v>275</v>
      </c>
      <c r="F255" s="3"/>
      <c r="G255" s="249">
        <f t="shared" ref="G255:I256" si="113">G256</f>
        <v>30.61224</v>
      </c>
      <c r="H255" s="249">
        <f t="shared" si="113"/>
        <v>0</v>
      </c>
      <c r="I255" s="249">
        <f t="shared" si="113"/>
        <v>30.61224</v>
      </c>
      <c r="J255" s="73"/>
    </row>
    <row r="256" spans="1:10" ht="48.75" x14ac:dyDescent="0.25">
      <c r="A256" s="4" t="s">
        <v>237</v>
      </c>
      <c r="B256" s="3" t="s">
        <v>80</v>
      </c>
      <c r="C256" s="3" t="s">
        <v>15</v>
      </c>
      <c r="D256" s="3" t="s">
        <v>24</v>
      </c>
      <c r="E256" s="3" t="s">
        <v>382</v>
      </c>
      <c r="F256" s="3"/>
      <c r="G256" s="249">
        <f>G257</f>
        <v>30.61224</v>
      </c>
      <c r="H256" s="249">
        <f t="shared" si="113"/>
        <v>0</v>
      </c>
      <c r="I256" s="249">
        <f t="shared" si="113"/>
        <v>30.61224</v>
      </c>
      <c r="J256" s="73"/>
    </row>
    <row r="257" spans="1:10" ht="24.75" x14ac:dyDescent="0.25">
      <c r="A257" s="4" t="s">
        <v>45</v>
      </c>
      <c r="B257" s="3" t="s">
        <v>80</v>
      </c>
      <c r="C257" s="3" t="s">
        <v>15</v>
      </c>
      <c r="D257" s="3" t="s">
        <v>24</v>
      </c>
      <c r="E257" s="3" t="s">
        <v>382</v>
      </c>
      <c r="F257" s="3" t="s">
        <v>43</v>
      </c>
      <c r="G257" s="248">
        <v>30.61224</v>
      </c>
      <c r="H257" s="249"/>
      <c r="I257" s="248">
        <f>G257+H257</f>
        <v>30.61224</v>
      </c>
      <c r="J257" s="73">
        <v>30.61224</v>
      </c>
    </row>
    <row r="258" spans="1:10" ht="60.75" x14ac:dyDescent="0.25">
      <c r="A258" s="4" t="s">
        <v>380</v>
      </c>
      <c r="B258" s="3" t="s">
        <v>80</v>
      </c>
      <c r="C258" s="3" t="s">
        <v>15</v>
      </c>
      <c r="D258" s="3" t="s">
        <v>24</v>
      </c>
      <c r="E258" s="3" t="s">
        <v>415</v>
      </c>
      <c r="F258" s="3"/>
      <c r="G258" s="249">
        <f t="shared" ref="G258:I260" si="114">G259</f>
        <v>15</v>
      </c>
      <c r="H258" s="249">
        <f t="shared" si="114"/>
        <v>0</v>
      </c>
      <c r="I258" s="249">
        <f t="shared" si="114"/>
        <v>15</v>
      </c>
      <c r="J258" s="73"/>
    </row>
    <row r="259" spans="1:10" ht="36.75" x14ac:dyDescent="0.25">
      <c r="A259" s="4" t="s">
        <v>381</v>
      </c>
      <c r="B259" s="3" t="s">
        <v>80</v>
      </c>
      <c r="C259" s="3" t="s">
        <v>15</v>
      </c>
      <c r="D259" s="3" t="s">
        <v>24</v>
      </c>
      <c r="E259" s="3" t="s">
        <v>506</v>
      </c>
      <c r="F259" s="3"/>
      <c r="G259" s="249">
        <f t="shared" si="114"/>
        <v>15</v>
      </c>
      <c r="H259" s="249">
        <f t="shared" si="114"/>
        <v>0</v>
      </c>
      <c r="I259" s="249">
        <f t="shared" si="114"/>
        <v>15</v>
      </c>
      <c r="J259" s="73"/>
    </row>
    <row r="260" spans="1:10" ht="24.75" x14ac:dyDescent="0.25">
      <c r="A260" s="4" t="s">
        <v>348</v>
      </c>
      <c r="B260" s="3" t="s">
        <v>80</v>
      </c>
      <c r="C260" s="3" t="s">
        <v>15</v>
      </c>
      <c r="D260" s="3" t="s">
        <v>24</v>
      </c>
      <c r="E260" s="3" t="s">
        <v>507</v>
      </c>
      <c r="F260" s="3"/>
      <c r="G260" s="249">
        <f t="shared" si="114"/>
        <v>15</v>
      </c>
      <c r="H260" s="249">
        <f t="shared" si="114"/>
        <v>0</v>
      </c>
      <c r="I260" s="249">
        <f t="shared" si="114"/>
        <v>15</v>
      </c>
      <c r="J260" s="73"/>
    </row>
    <row r="261" spans="1:10" ht="24.75" x14ac:dyDescent="0.25">
      <c r="A261" s="4" t="s">
        <v>47</v>
      </c>
      <c r="B261" s="3" t="s">
        <v>80</v>
      </c>
      <c r="C261" s="3" t="s">
        <v>15</v>
      </c>
      <c r="D261" s="3" t="s">
        <v>24</v>
      </c>
      <c r="E261" s="3" t="s">
        <v>507</v>
      </c>
      <c r="F261" s="3" t="s">
        <v>51</v>
      </c>
      <c r="G261" s="248">
        <v>15</v>
      </c>
      <c r="H261" s="249"/>
      <c r="I261" s="248">
        <f>G261+H261</f>
        <v>15</v>
      </c>
      <c r="J261" s="73">
        <v>15</v>
      </c>
    </row>
    <row r="262" spans="1:10" ht="24" x14ac:dyDescent="0.2">
      <c r="A262" s="4" t="s">
        <v>122</v>
      </c>
      <c r="B262" s="3" t="s">
        <v>80</v>
      </c>
      <c r="C262" s="3" t="s">
        <v>6</v>
      </c>
      <c r="D262" s="3"/>
      <c r="E262" s="3"/>
      <c r="F262" s="3"/>
      <c r="G262" s="239">
        <f>G263+G278</f>
        <v>6171.4076700000005</v>
      </c>
      <c r="H262" s="239">
        <f t="shared" ref="H262:I262" si="115">H263+H278</f>
        <v>-374.44326000000001</v>
      </c>
      <c r="I262" s="239">
        <f t="shared" si="115"/>
        <v>5796.9644100000005</v>
      </c>
      <c r="J262" s="73"/>
    </row>
    <row r="263" spans="1:10" ht="36" x14ac:dyDescent="0.2">
      <c r="A263" s="4" t="s">
        <v>121</v>
      </c>
      <c r="B263" s="3" t="s">
        <v>80</v>
      </c>
      <c r="C263" s="3" t="s">
        <v>6</v>
      </c>
      <c r="D263" s="3" t="s">
        <v>67</v>
      </c>
      <c r="E263" s="3"/>
      <c r="F263" s="3"/>
      <c r="G263" s="240">
        <f>G264+G273+G276</f>
        <v>6141.0933800000003</v>
      </c>
      <c r="H263" s="240">
        <f t="shared" ref="H263:I263" si="116">H264+H273+H276</f>
        <v>-374.44326000000001</v>
      </c>
      <c r="I263" s="240">
        <f t="shared" si="116"/>
        <v>5766.6501200000002</v>
      </c>
      <c r="J263" s="73"/>
    </row>
    <row r="264" spans="1:10" ht="72.75" x14ac:dyDescent="0.25">
      <c r="A264" s="4" t="s">
        <v>330</v>
      </c>
      <c r="B264" s="3" t="s">
        <v>80</v>
      </c>
      <c r="C264" s="3" t="s">
        <v>6</v>
      </c>
      <c r="D264" s="3" t="s">
        <v>67</v>
      </c>
      <c r="E264" s="3" t="s">
        <v>234</v>
      </c>
      <c r="F264" s="3"/>
      <c r="G264" s="249">
        <f>G265+G271</f>
        <v>3407.81</v>
      </c>
      <c r="H264" s="249">
        <f t="shared" ref="H264" si="117">H265+H271</f>
        <v>0</v>
      </c>
      <c r="I264" s="249">
        <f>I265+I271</f>
        <v>3407.81</v>
      </c>
      <c r="J264" s="73"/>
    </row>
    <row r="265" spans="1:10" ht="24.75" x14ac:dyDescent="0.25">
      <c r="A265" s="4" t="s">
        <v>331</v>
      </c>
      <c r="B265" s="3" t="s">
        <v>80</v>
      </c>
      <c r="C265" s="3" t="s">
        <v>6</v>
      </c>
      <c r="D265" s="3" t="s">
        <v>67</v>
      </c>
      <c r="E265" s="3" t="s">
        <v>120</v>
      </c>
      <c r="F265" s="3"/>
      <c r="G265" s="249">
        <f t="shared" ref="G265:I265" si="118">G266+G268</f>
        <v>3163.98</v>
      </c>
      <c r="H265" s="249">
        <f t="shared" si="118"/>
        <v>0</v>
      </c>
      <c r="I265" s="249">
        <f t="shared" si="118"/>
        <v>3163.98</v>
      </c>
      <c r="J265" s="73"/>
    </row>
    <row r="266" spans="1:10" ht="24.75" x14ac:dyDescent="0.25">
      <c r="A266" s="4" t="s">
        <v>227</v>
      </c>
      <c r="B266" s="3" t="s">
        <v>80</v>
      </c>
      <c r="C266" s="3" t="s">
        <v>6</v>
      </c>
      <c r="D266" s="3" t="s">
        <v>67</v>
      </c>
      <c r="E266" s="3" t="s">
        <v>119</v>
      </c>
      <c r="F266" s="3"/>
      <c r="G266" s="249">
        <f t="shared" ref="G266:I266" si="119">G267</f>
        <v>3024.38</v>
      </c>
      <c r="H266" s="249">
        <f t="shared" si="119"/>
        <v>0</v>
      </c>
      <c r="I266" s="249">
        <f t="shared" si="119"/>
        <v>3024.38</v>
      </c>
      <c r="J266" s="73"/>
    </row>
    <row r="267" spans="1:10" ht="60.75" x14ac:dyDescent="0.25">
      <c r="A267" s="4" t="s">
        <v>38</v>
      </c>
      <c r="B267" s="3" t="s">
        <v>80</v>
      </c>
      <c r="C267" s="3" t="s">
        <v>6</v>
      </c>
      <c r="D267" s="3" t="s">
        <v>67</v>
      </c>
      <c r="E267" s="3" t="s">
        <v>119</v>
      </c>
      <c r="F267" s="3">
        <v>100</v>
      </c>
      <c r="G267" s="248">
        <f>2307.51152+20+696.86848</f>
        <v>3024.38</v>
      </c>
      <c r="H267" s="249"/>
      <c r="I267" s="248">
        <f>G267+H267</f>
        <v>3024.38</v>
      </c>
      <c r="J267" s="73">
        <f>2307.51152+20+696.86848</f>
        <v>3024.38</v>
      </c>
    </row>
    <row r="268" spans="1:10" x14ac:dyDescent="0.25">
      <c r="A268" s="4" t="s">
        <v>228</v>
      </c>
      <c r="B268" s="3" t="s">
        <v>80</v>
      </c>
      <c r="C268" s="3" t="s">
        <v>6</v>
      </c>
      <c r="D268" s="3" t="s">
        <v>67</v>
      </c>
      <c r="E268" s="3" t="s">
        <v>118</v>
      </c>
      <c r="F268" s="3"/>
      <c r="G268" s="249">
        <f t="shared" ref="G268" si="120">G269+G270</f>
        <v>139.6</v>
      </c>
      <c r="H268" s="249">
        <f>H269+H270</f>
        <v>0</v>
      </c>
      <c r="I268" s="249">
        <f>I269+I270</f>
        <v>139.6</v>
      </c>
      <c r="J268" s="73"/>
    </row>
    <row r="269" spans="1:10" ht="24.75" x14ac:dyDescent="0.25">
      <c r="A269" s="4" t="s">
        <v>47</v>
      </c>
      <c r="B269" s="3" t="s">
        <v>80</v>
      </c>
      <c r="C269" s="3" t="s">
        <v>6</v>
      </c>
      <c r="D269" s="3" t="s">
        <v>67</v>
      </c>
      <c r="E269" s="3" t="s">
        <v>118</v>
      </c>
      <c r="F269" s="3" t="s">
        <v>51</v>
      </c>
      <c r="G269" s="248">
        <v>125.85</v>
      </c>
      <c r="H269" s="249"/>
      <c r="I269" s="248">
        <f>G269+H269</f>
        <v>125.85</v>
      </c>
      <c r="J269" s="73">
        <v>125.85</v>
      </c>
    </row>
    <row r="270" spans="1:10" ht="24" x14ac:dyDescent="0.25">
      <c r="A270" s="7" t="s">
        <v>73</v>
      </c>
      <c r="B270" s="3" t="s">
        <v>80</v>
      </c>
      <c r="C270" s="3" t="s">
        <v>6</v>
      </c>
      <c r="D270" s="3" t="s">
        <v>67</v>
      </c>
      <c r="E270" s="3" t="s">
        <v>118</v>
      </c>
      <c r="F270" s="3" t="s">
        <v>80</v>
      </c>
      <c r="G270" s="248">
        <v>13.75</v>
      </c>
      <c r="H270" s="249"/>
      <c r="I270" s="248">
        <f>G270+H270</f>
        <v>13.75</v>
      </c>
      <c r="J270" s="73">
        <v>13.75</v>
      </c>
    </row>
    <row r="271" spans="1:10" ht="24.75" x14ac:dyDescent="0.25">
      <c r="A271" s="4" t="s">
        <v>527</v>
      </c>
      <c r="B271" s="3" t="s">
        <v>80</v>
      </c>
      <c r="C271" s="3" t="s">
        <v>6</v>
      </c>
      <c r="D271" s="3" t="s">
        <v>67</v>
      </c>
      <c r="E271" s="3" t="s">
        <v>538</v>
      </c>
      <c r="F271" s="3"/>
      <c r="G271" s="248">
        <f>G272</f>
        <v>243.83</v>
      </c>
      <c r="H271" s="248">
        <f t="shared" ref="H271:I271" si="121">H272</f>
        <v>0</v>
      </c>
      <c r="I271" s="248">
        <f t="shared" si="121"/>
        <v>243.83</v>
      </c>
      <c r="J271" s="73"/>
    </row>
    <row r="272" spans="1:10" ht="60.75" x14ac:dyDescent="0.25">
      <c r="A272" s="4" t="s">
        <v>38</v>
      </c>
      <c r="B272" s="3" t="s">
        <v>80</v>
      </c>
      <c r="C272" s="3" t="s">
        <v>6</v>
      </c>
      <c r="D272" s="3" t="s">
        <v>67</v>
      </c>
      <c r="E272" s="3" t="s">
        <v>538</v>
      </c>
      <c r="F272" s="3">
        <v>100</v>
      </c>
      <c r="G272" s="248">
        <v>243.83</v>
      </c>
      <c r="H272" s="249"/>
      <c r="I272" s="248">
        <f t="shared" ref="I272" si="122">G272+H272</f>
        <v>243.83</v>
      </c>
      <c r="J272" s="73">
        <f>187.27349+56.55651</f>
        <v>243.83</v>
      </c>
    </row>
    <row r="273" spans="1:10" ht="60.75" x14ac:dyDescent="0.25">
      <c r="A273" s="4" t="s">
        <v>273</v>
      </c>
      <c r="B273" s="3" t="s">
        <v>80</v>
      </c>
      <c r="C273" s="3" t="s">
        <v>6</v>
      </c>
      <c r="D273" s="3" t="s">
        <v>67</v>
      </c>
      <c r="E273" s="3" t="s">
        <v>95</v>
      </c>
      <c r="F273" s="3"/>
      <c r="G273" s="249">
        <f t="shared" ref="G273:I273" si="123">G274</f>
        <v>2201.0533799999998</v>
      </c>
      <c r="H273" s="249">
        <f t="shared" si="123"/>
        <v>-374.44326000000001</v>
      </c>
      <c r="I273" s="249">
        <f t="shared" si="123"/>
        <v>1826.6101199999998</v>
      </c>
      <c r="J273" s="73"/>
    </row>
    <row r="274" spans="1:10" ht="72.75" x14ac:dyDescent="0.25">
      <c r="A274" s="4" t="s">
        <v>117</v>
      </c>
      <c r="B274" s="3" t="s">
        <v>80</v>
      </c>
      <c r="C274" s="3" t="s">
        <v>6</v>
      </c>
      <c r="D274" s="3" t="s">
        <v>67</v>
      </c>
      <c r="E274" s="3" t="s">
        <v>277</v>
      </c>
      <c r="F274" s="3"/>
      <c r="G274" s="249">
        <f>G275</f>
        <v>2201.0533799999998</v>
      </c>
      <c r="H274" s="249">
        <f>H275</f>
        <v>-374.44326000000001</v>
      </c>
      <c r="I274" s="249">
        <f>I275</f>
        <v>1826.6101199999998</v>
      </c>
      <c r="J274" s="73"/>
    </row>
    <row r="275" spans="1:10" ht="24.75" x14ac:dyDescent="0.25">
      <c r="A275" s="4" t="s">
        <v>47</v>
      </c>
      <c r="B275" s="3" t="s">
        <v>80</v>
      </c>
      <c r="C275" s="3" t="s">
        <v>6</v>
      </c>
      <c r="D275" s="3" t="s">
        <v>67</v>
      </c>
      <c r="E275" s="3" t="s">
        <v>384</v>
      </c>
      <c r="F275" s="3" t="s">
        <v>51</v>
      </c>
      <c r="G275" s="248">
        <v>2201.0533799999998</v>
      </c>
      <c r="H275" s="249">
        <f>-374.44326</f>
        <v>-374.44326000000001</v>
      </c>
      <c r="I275" s="248">
        <f>G275+H275</f>
        <v>1826.6101199999998</v>
      </c>
      <c r="J275" s="73">
        <v>2201.0533799999998</v>
      </c>
    </row>
    <row r="276" spans="1:10" ht="12.75" x14ac:dyDescent="0.2">
      <c r="A276" s="4" t="s">
        <v>46</v>
      </c>
      <c r="B276" s="3" t="s">
        <v>80</v>
      </c>
      <c r="C276" s="3" t="s">
        <v>6</v>
      </c>
      <c r="D276" s="3" t="s">
        <v>67</v>
      </c>
      <c r="E276" s="3" t="s">
        <v>44</v>
      </c>
      <c r="F276" s="3"/>
      <c r="G276" s="240">
        <f>G277</f>
        <v>532.23</v>
      </c>
      <c r="H276" s="240">
        <f>H277</f>
        <v>0</v>
      </c>
      <c r="I276" s="240">
        <f>I277</f>
        <v>532.23</v>
      </c>
      <c r="J276" s="73"/>
    </row>
    <row r="277" spans="1:10" ht="24" x14ac:dyDescent="0.2">
      <c r="A277" s="4" t="s">
        <v>47</v>
      </c>
      <c r="B277" s="3" t="s">
        <v>80</v>
      </c>
      <c r="C277" s="3" t="s">
        <v>6</v>
      </c>
      <c r="D277" s="3" t="s">
        <v>67</v>
      </c>
      <c r="E277" s="3" t="s">
        <v>44</v>
      </c>
      <c r="F277" s="3" t="s">
        <v>51</v>
      </c>
      <c r="G277" s="240">
        <v>532.23</v>
      </c>
      <c r="H277" s="240"/>
      <c r="I277" s="240">
        <f>H277+G277</f>
        <v>532.23</v>
      </c>
      <c r="J277" s="73">
        <f>532.23</f>
        <v>532.23</v>
      </c>
    </row>
    <row r="278" spans="1:10" ht="36" x14ac:dyDescent="0.2">
      <c r="A278" s="4" t="s">
        <v>116</v>
      </c>
      <c r="B278" s="3" t="s">
        <v>80</v>
      </c>
      <c r="C278" s="3" t="s">
        <v>6</v>
      </c>
      <c r="D278" s="3" t="s">
        <v>7</v>
      </c>
      <c r="E278" s="3"/>
      <c r="F278" s="3"/>
      <c r="G278" s="239">
        <f t="shared" ref="G278:I278" si="124">G279</f>
        <v>30.31429</v>
      </c>
      <c r="H278" s="239">
        <f t="shared" si="124"/>
        <v>0</v>
      </c>
      <c r="I278" s="239">
        <f t="shared" si="124"/>
        <v>30.31429</v>
      </c>
      <c r="J278" s="73"/>
    </row>
    <row r="279" spans="1:10" ht="60.75" x14ac:dyDescent="0.25">
      <c r="A279" s="4" t="s">
        <v>273</v>
      </c>
      <c r="B279" s="3" t="s">
        <v>80</v>
      </c>
      <c r="C279" s="3" t="s">
        <v>6</v>
      </c>
      <c r="D279" s="3">
        <v>14</v>
      </c>
      <c r="E279" s="3" t="s">
        <v>95</v>
      </c>
      <c r="F279" s="3"/>
      <c r="G279" s="249">
        <f>G280+G283</f>
        <v>30.31429</v>
      </c>
      <c r="H279" s="249">
        <f t="shared" ref="H279:I279" si="125">H280+H283</f>
        <v>0</v>
      </c>
      <c r="I279" s="249">
        <f t="shared" si="125"/>
        <v>30.31429</v>
      </c>
      <c r="J279" s="73"/>
    </row>
    <row r="280" spans="1:10" ht="72.75" x14ac:dyDescent="0.25">
      <c r="A280" s="4" t="s">
        <v>115</v>
      </c>
      <c r="B280" s="3" t="s">
        <v>80</v>
      </c>
      <c r="C280" s="3" t="s">
        <v>6</v>
      </c>
      <c r="D280" s="3" t="s">
        <v>7</v>
      </c>
      <c r="E280" s="3" t="s">
        <v>275</v>
      </c>
      <c r="F280" s="3"/>
      <c r="G280" s="249">
        <f t="shared" ref="G280:I281" si="126">G281</f>
        <v>15</v>
      </c>
      <c r="H280" s="249">
        <f t="shared" si="126"/>
        <v>0</v>
      </c>
      <c r="I280" s="249">
        <f t="shared" si="126"/>
        <v>15</v>
      </c>
      <c r="J280" s="73"/>
    </row>
    <row r="281" spans="1:10" ht="24.75" x14ac:dyDescent="0.25">
      <c r="A281" s="4" t="s">
        <v>278</v>
      </c>
      <c r="B281" s="3" t="s">
        <v>80</v>
      </c>
      <c r="C281" s="3" t="s">
        <v>6</v>
      </c>
      <c r="D281" s="3" t="s">
        <v>7</v>
      </c>
      <c r="E281" s="3" t="s">
        <v>114</v>
      </c>
      <c r="F281" s="3"/>
      <c r="G281" s="249">
        <f t="shared" si="126"/>
        <v>15</v>
      </c>
      <c r="H281" s="249">
        <f t="shared" si="126"/>
        <v>0</v>
      </c>
      <c r="I281" s="249">
        <f t="shared" si="126"/>
        <v>15</v>
      </c>
      <c r="J281" s="73"/>
    </row>
    <row r="282" spans="1:10" ht="24.75" x14ac:dyDescent="0.25">
      <c r="A282" s="4" t="s">
        <v>47</v>
      </c>
      <c r="B282" s="3" t="s">
        <v>80</v>
      </c>
      <c r="C282" s="3" t="s">
        <v>6</v>
      </c>
      <c r="D282" s="3">
        <v>14</v>
      </c>
      <c r="E282" s="3" t="s">
        <v>114</v>
      </c>
      <c r="F282" s="3">
        <v>200</v>
      </c>
      <c r="G282" s="248">
        <v>15</v>
      </c>
      <c r="H282" s="249"/>
      <c r="I282" s="248">
        <f>G282+H282</f>
        <v>15</v>
      </c>
      <c r="J282" s="73">
        <v>15</v>
      </c>
    </row>
    <row r="283" spans="1:10" ht="48" x14ac:dyDescent="0.25">
      <c r="A283" s="7" t="s">
        <v>113</v>
      </c>
      <c r="B283" s="3" t="s">
        <v>80</v>
      </c>
      <c r="C283" s="3" t="s">
        <v>6</v>
      </c>
      <c r="D283" s="3" t="s">
        <v>7</v>
      </c>
      <c r="E283" s="3" t="s">
        <v>279</v>
      </c>
      <c r="F283" s="3"/>
      <c r="G283" s="249">
        <f>G284</f>
        <v>15.31429</v>
      </c>
      <c r="H283" s="249">
        <f t="shared" ref="H283:I283" si="127">H284</f>
        <v>0</v>
      </c>
      <c r="I283" s="249">
        <f t="shared" si="127"/>
        <v>15.31429</v>
      </c>
      <c r="J283" s="73"/>
    </row>
    <row r="284" spans="1:10" ht="48.75" x14ac:dyDescent="0.25">
      <c r="A284" s="4" t="s">
        <v>281</v>
      </c>
      <c r="B284" s="3" t="s">
        <v>80</v>
      </c>
      <c r="C284" s="3" t="s">
        <v>6</v>
      </c>
      <c r="D284" s="3" t="s">
        <v>7</v>
      </c>
      <c r="E284" s="3" t="s">
        <v>280</v>
      </c>
      <c r="F284" s="3"/>
      <c r="G284" s="249">
        <f t="shared" ref="G284:I284" si="128">G285</f>
        <v>15.31429</v>
      </c>
      <c r="H284" s="249">
        <f t="shared" si="128"/>
        <v>0</v>
      </c>
      <c r="I284" s="249">
        <f t="shared" si="128"/>
        <v>15.31429</v>
      </c>
      <c r="J284" s="73"/>
    </row>
    <row r="285" spans="1:10" ht="24.75" x14ac:dyDescent="0.25">
      <c r="A285" s="4" t="s">
        <v>47</v>
      </c>
      <c r="B285" s="3" t="s">
        <v>80</v>
      </c>
      <c r="C285" s="3" t="s">
        <v>6</v>
      </c>
      <c r="D285" s="3">
        <v>14</v>
      </c>
      <c r="E285" s="3" t="s">
        <v>280</v>
      </c>
      <c r="F285" s="3">
        <v>200</v>
      </c>
      <c r="G285" s="248">
        <v>15.31429</v>
      </c>
      <c r="H285" s="249"/>
      <c r="I285" s="248">
        <f>G285+H285</f>
        <v>15.31429</v>
      </c>
      <c r="J285" s="73">
        <v>15.31429</v>
      </c>
    </row>
    <row r="286" spans="1:10" ht="12.75" x14ac:dyDescent="0.2">
      <c r="A286" s="4" t="s">
        <v>111</v>
      </c>
      <c r="B286" s="3" t="s">
        <v>80</v>
      </c>
      <c r="C286" s="3" t="s">
        <v>59</v>
      </c>
      <c r="D286" s="3"/>
      <c r="E286" s="3"/>
      <c r="F286" s="3"/>
      <c r="G286" s="239">
        <f>G287+G304+G297</f>
        <v>27302.828600000001</v>
      </c>
      <c r="H286" s="239">
        <f>H287+H304+H297</f>
        <v>811.15899999999999</v>
      </c>
      <c r="I286" s="239">
        <f>I287+I304+I297</f>
        <v>28113.9876</v>
      </c>
      <c r="J286" s="73"/>
    </row>
    <row r="287" spans="1:10" ht="12.75" x14ac:dyDescent="0.2">
      <c r="A287" s="4" t="s">
        <v>110</v>
      </c>
      <c r="B287" s="3" t="s">
        <v>80</v>
      </c>
      <c r="C287" s="3" t="s">
        <v>59</v>
      </c>
      <c r="D287" s="3" t="s">
        <v>36</v>
      </c>
      <c r="E287" s="3"/>
      <c r="F287" s="3"/>
      <c r="G287" s="239">
        <f t="shared" ref="G287:I288" si="129">G288</f>
        <v>1040.3</v>
      </c>
      <c r="H287" s="239">
        <f t="shared" si="129"/>
        <v>0</v>
      </c>
      <c r="I287" s="239">
        <f t="shared" si="129"/>
        <v>1040.3</v>
      </c>
      <c r="J287" s="73"/>
    </row>
    <row r="288" spans="1:10" ht="72" x14ac:dyDescent="0.2">
      <c r="A288" s="4" t="s">
        <v>268</v>
      </c>
      <c r="B288" s="3" t="s">
        <v>80</v>
      </c>
      <c r="C288" s="3" t="s">
        <v>59</v>
      </c>
      <c r="D288" s="3" t="s">
        <v>36</v>
      </c>
      <c r="E288" s="3" t="s">
        <v>63</v>
      </c>
      <c r="F288" s="3"/>
      <c r="G288" s="241">
        <f t="shared" si="129"/>
        <v>1040.3</v>
      </c>
      <c r="H288" s="241">
        <f t="shared" si="129"/>
        <v>0</v>
      </c>
      <c r="I288" s="241">
        <f t="shared" si="129"/>
        <v>1040.3</v>
      </c>
      <c r="J288" s="73"/>
    </row>
    <row r="289" spans="1:10" ht="48" x14ac:dyDescent="0.2">
      <c r="A289" s="4" t="s">
        <v>109</v>
      </c>
      <c r="B289" s="3" t="s">
        <v>80</v>
      </c>
      <c r="C289" s="3" t="s">
        <v>59</v>
      </c>
      <c r="D289" s="3" t="s">
        <v>36</v>
      </c>
      <c r="E289" s="3" t="s">
        <v>282</v>
      </c>
      <c r="F289" s="3"/>
      <c r="G289" s="241">
        <f t="shared" ref="G289" si="130">G290+G293+G295</f>
        <v>1040.3</v>
      </c>
      <c r="H289" s="241">
        <f>H290+H293+H295</f>
        <v>0</v>
      </c>
      <c r="I289" s="241">
        <f>I290+I293+I295</f>
        <v>1040.3</v>
      </c>
      <c r="J289" s="73"/>
    </row>
    <row r="290" spans="1:10" ht="24" x14ac:dyDescent="0.2">
      <c r="A290" s="4" t="s">
        <v>283</v>
      </c>
      <c r="B290" s="3" t="s">
        <v>80</v>
      </c>
      <c r="C290" s="3" t="s">
        <v>59</v>
      </c>
      <c r="D290" s="3" t="s">
        <v>36</v>
      </c>
      <c r="E290" s="3" t="s">
        <v>108</v>
      </c>
      <c r="F290" s="3"/>
      <c r="G290" s="241">
        <f t="shared" ref="G290" si="131">G291+G292</f>
        <v>490</v>
      </c>
      <c r="H290" s="241">
        <f>H291+H292</f>
        <v>0</v>
      </c>
      <c r="I290" s="241">
        <f>I291+I292</f>
        <v>490</v>
      </c>
      <c r="J290" s="73"/>
    </row>
    <row r="291" spans="1:10" ht="24" x14ac:dyDescent="0.2">
      <c r="A291" s="4" t="s">
        <v>47</v>
      </c>
      <c r="B291" s="3" t="s">
        <v>80</v>
      </c>
      <c r="C291" s="3" t="s">
        <v>59</v>
      </c>
      <c r="D291" s="3" t="s">
        <v>36</v>
      </c>
      <c r="E291" s="3" t="s">
        <v>108</v>
      </c>
      <c r="F291" s="3">
        <v>200</v>
      </c>
      <c r="G291" s="240">
        <v>290</v>
      </c>
      <c r="H291" s="241"/>
      <c r="I291" s="240">
        <f>G291+H291</f>
        <v>290</v>
      </c>
      <c r="J291" s="73">
        <v>290</v>
      </c>
    </row>
    <row r="292" spans="1:10" ht="24" x14ac:dyDescent="0.2">
      <c r="A292" s="7" t="s">
        <v>73</v>
      </c>
      <c r="B292" s="3" t="s">
        <v>80</v>
      </c>
      <c r="C292" s="3" t="s">
        <v>59</v>
      </c>
      <c r="D292" s="3" t="s">
        <v>36</v>
      </c>
      <c r="E292" s="3" t="s">
        <v>108</v>
      </c>
      <c r="F292" s="3" t="s">
        <v>80</v>
      </c>
      <c r="G292" s="240">
        <v>200</v>
      </c>
      <c r="H292" s="241"/>
      <c r="I292" s="240">
        <f>G292+H292</f>
        <v>200</v>
      </c>
      <c r="J292" s="73">
        <v>200</v>
      </c>
    </row>
    <row r="293" spans="1:10" ht="108" x14ac:dyDescent="0.2">
      <c r="A293" s="4" t="s">
        <v>339</v>
      </c>
      <c r="B293" s="3" t="s">
        <v>80</v>
      </c>
      <c r="C293" s="3" t="s">
        <v>59</v>
      </c>
      <c r="D293" s="3" t="s">
        <v>36</v>
      </c>
      <c r="E293" s="3" t="s">
        <v>107</v>
      </c>
      <c r="F293" s="3"/>
      <c r="G293" s="241">
        <f t="shared" ref="G293:I293" si="132">G294</f>
        <v>191.8</v>
      </c>
      <c r="H293" s="241">
        <f t="shared" si="132"/>
        <v>0</v>
      </c>
      <c r="I293" s="241">
        <f t="shared" si="132"/>
        <v>191.8</v>
      </c>
      <c r="J293" s="73"/>
    </row>
    <row r="294" spans="1:10" ht="24" x14ac:dyDescent="0.2">
      <c r="A294" s="4" t="s">
        <v>47</v>
      </c>
      <c r="B294" s="3" t="s">
        <v>80</v>
      </c>
      <c r="C294" s="3" t="s">
        <v>59</v>
      </c>
      <c r="D294" s="3" t="s">
        <v>36</v>
      </c>
      <c r="E294" s="3" t="s">
        <v>107</v>
      </c>
      <c r="F294" s="3" t="s">
        <v>51</v>
      </c>
      <c r="G294" s="240">
        <v>191.8</v>
      </c>
      <c r="H294" s="241"/>
      <c r="I294" s="240">
        <f>G294+H294</f>
        <v>191.8</v>
      </c>
      <c r="J294" s="73">
        <v>191.8</v>
      </c>
    </row>
    <row r="295" spans="1:10" ht="48" x14ac:dyDescent="0.2">
      <c r="A295" s="4" t="s">
        <v>340</v>
      </c>
      <c r="B295" s="3" t="s">
        <v>80</v>
      </c>
      <c r="C295" s="3" t="s">
        <v>59</v>
      </c>
      <c r="D295" s="3" t="s">
        <v>36</v>
      </c>
      <c r="E295" s="3" t="s">
        <v>106</v>
      </c>
      <c r="F295" s="3"/>
      <c r="G295" s="241">
        <f t="shared" ref="G295:I295" si="133">G296</f>
        <v>358.5</v>
      </c>
      <c r="H295" s="241">
        <f t="shared" si="133"/>
        <v>0</v>
      </c>
      <c r="I295" s="241">
        <f t="shared" si="133"/>
        <v>358.5</v>
      </c>
      <c r="J295" s="73"/>
    </row>
    <row r="296" spans="1:10" ht="24" x14ac:dyDescent="0.2">
      <c r="A296" s="4" t="s">
        <v>47</v>
      </c>
      <c r="B296" s="3" t="s">
        <v>80</v>
      </c>
      <c r="C296" s="3" t="s">
        <v>59</v>
      </c>
      <c r="D296" s="3" t="s">
        <v>36</v>
      </c>
      <c r="E296" s="3" t="s">
        <v>106</v>
      </c>
      <c r="F296" s="3" t="s">
        <v>51</v>
      </c>
      <c r="G296" s="240">
        <v>358.5</v>
      </c>
      <c r="H296" s="241"/>
      <c r="I296" s="240">
        <f>G296+H296</f>
        <v>358.5</v>
      </c>
      <c r="J296" s="73">
        <v>358.5</v>
      </c>
    </row>
    <row r="297" spans="1:10" ht="12.75" x14ac:dyDescent="0.2">
      <c r="A297" s="4" t="s">
        <v>105</v>
      </c>
      <c r="B297" s="3" t="s">
        <v>80</v>
      </c>
      <c r="C297" s="3" t="s">
        <v>59</v>
      </c>
      <c r="D297" s="3" t="s">
        <v>67</v>
      </c>
      <c r="E297" s="3"/>
      <c r="F297" s="3"/>
      <c r="G297" s="240">
        <f>G298</f>
        <v>5279.3310000000001</v>
      </c>
      <c r="H297" s="240">
        <f t="shared" ref="H297:I297" si="134">H298</f>
        <v>811.15899999999999</v>
      </c>
      <c r="I297" s="240">
        <f t="shared" si="134"/>
        <v>6090.49</v>
      </c>
      <c r="J297" s="73"/>
    </row>
    <row r="298" spans="1:10" ht="60.75" x14ac:dyDescent="0.25">
      <c r="A298" s="4" t="s">
        <v>385</v>
      </c>
      <c r="B298" s="3" t="s">
        <v>80</v>
      </c>
      <c r="C298" s="3" t="s">
        <v>59</v>
      </c>
      <c r="D298" s="3" t="s">
        <v>67</v>
      </c>
      <c r="E298" s="3" t="s">
        <v>386</v>
      </c>
      <c r="F298" s="3"/>
      <c r="G298" s="249">
        <f t="shared" ref="G298:I302" si="135">G299</f>
        <v>5279.3310000000001</v>
      </c>
      <c r="H298" s="249">
        <f t="shared" si="135"/>
        <v>811.15899999999999</v>
      </c>
      <c r="I298" s="249">
        <f t="shared" si="135"/>
        <v>6090.49</v>
      </c>
      <c r="J298" s="73"/>
    </row>
    <row r="299" spans="1:10" ht="24.75" x14ac:dyDescent="0.25">
      <c r="A299" s="4" t="s">
        <v>552</v>
      </c>
      <c r="B299" s="3" t="s">
        <v>80</v>
      </c>
      <c r="C299" s="3" t="s">
        <v>59</v>
      </c>
      <c r="D299" s="3" t="s">
        <v>67</v>
      </c>
      <c r="E299" s="3" t="s">
        <v>387</v>
      </c>
      <c r="F299" s="3"/>
      <c r="G299" s="249">
        <f>G300+G302</f>
        <v>5279.3310000000001</v>
      </c>
      <c r="H299" s="249">
        <f t="shared" ref="H299:I299" si="136">H300+H302</f>
        <v>811.15899999999999</v>
      </c>
      <c r="I299" s="249">
        <f t="shared" si="136"/>
        <v>6090.49</v>
      </c>
      <c r="J299" s="73"/>
    </row>
    <row r="300" spans="1:10" ht="24.75" x14ac:dyDescent="0.25">
      <c r="A300" s="4" t="s">
        <v>551</v>
      </c>
      <c r="B300" s="3" t="s">
        <v>80</v>
      </c>
      <c r="C300" s="3" t="s">
        <v>59</v>
      </c>
      <c r="D300" s="3" t="s">
        <v>67</v>
      </c>
      <c r="E300" s="3" t="s">
        <v>388</v>
      </c>
      <c r="F300" s="3"/>
      <c r="G300" s="249">
        <f t="shared" si="135"/>
        <v>5172.3310000000001</v>
      </c>
      <c r="H300" s="249">
        <f t="shared" si="135"/>
        <v>811.15899999999999</v>
      </c>
      <c r="I300" s="249">
        <f t="shared" si="135"/>
        <v>5983.49</v>
      </c>
      <c r="J300" s="73"/>
    </row>
    <row r="301" spans="1:10" ht="24.75" x14ac:dyDescent="0.25">
      <c r="A301" s="4" t="s">
        <v>47</v>
      </c>
      <c r="B301" s="3" t="s">
        <v>80</v>
      </c>
      <c r="C301" s="3" t="s">
        <v>59</v>
      </c>
      <c r="D301" s="3" t="s">
        <v>67</v>
      </c>
      <c r="E301" s="3" t="s">
        <v>388</v>
      </c>
      <c r="F301" s="3" t="s">
        <v>51</v>
      </c>
      <c r="G301" s="248">
        <v>5172.3310000000001</v>
      </c>
      <c r="H301" s="249">
        <f>811.159</f>
        <v>811.15899999999999</v>
      </c>
      <c r="I301" s="248">
        <f>G301+H301</f>
        <v>5983.49</v>
      </c>
      <c r="J301" s="73">
        <v>5172.3310000000001</v>
      </c>
    </row>
    <row r="302" spans="1:10" ht="36.75" x14ac:dyDescent="0.25">
      <c r="A302" s="4" t="s">
        <v>578</v>
      </c>
      <c r="B302" s="3" t="s">
        <v>80</v>
      </c>
      <c r="C302" s="3" t="s">
        <v>59</v>
      </c>
      <c r="D302" s="3" t="s">
        <v>67</v>
      </c>
      <c r="E302" s="3" t="s">
        <v>550</v>
      </c>
      <c r="F302" s="3"/>
      <c r="G302" s="249">
        <f t="shared" si="135"/>
        <v>107</v>
      </c>
      <c r="H302" s="249">
        <f t="shared" si="135"/>
        <v>0</v>
      </c>
      <c r="I302" s="249">
        <f t="shared" si="135"/>
        <v>107</v>
      </c>
      <c r="J302" s="73"/>
    </row>
    <row r="303" spans="1:10" ht="24.75" x14ac:dyDescent="0.25">
      <c r="A303" s="4" t="s">
        <v>47</v>
      </c>
      <c r="B303" s="3" t="s">
        <v>80</v>
      </c>
      <c r="C303" s="3" t="s">
        <v>59</v>
      </c>
      <c r="D303" s="3" t="s">
        <v>67</v>
      </c>
      <c r="E303" s="3" t="s">
        <v>550</v>
      </c>
      <c r="F303" s="3" t="s">
        <v>51</v>
      </c>
      <c r="G303" s="248">
        <v>107</v>
      </c>
      <c r="H303" s="249"/>
      <c r="I303" s="248">
        <f>G303+H303</f>
        <v>107</v>
      </c>
      <c r="J303" s="73">
        <v>107</v>
      </c>
    </row>
    <row r="304" spans="1:10" ht="24" x14ac:dyDescent="0.2">
      <c r="A304" s="7" t="s">
        <v>104</v>
      </c>
      <c r="B304" s="3" t="s">
        <v>80</v>
      </c>
      <c r="C304" s="3" t="s">
        <v>59</v>
      </c>
      <c r="D304" s="3" t="s">
        <v>28</v>
      </c>
      <c r="E304" s="3"/>
      <c r="F304" s="3"/>
      <c r="G304" s="239">
        <f>G305+G321+G326+G312</f>
        <v>20983.1976</v>
      </c>
      <c r="H304" s="239">
        <f>H305+H321+H326+H312</f>
        <v>0</v>
      </c>
      <c r="I304" s="239">
        <f t="shared" ref="I304" si="137">I305+I321+I326+I312</f>
        <v>20983.1976</v>
      </c>
      <c r="J304" s="73"/>
    </row>
    <row r="305" spans="1:10" ht="60" x14ac:dyDescent="0.2">
      <c r="A305" s="4" t="s">
        <v>284</v>
      </c>
      <c r="B305" s="3" t="s">
        <v>80</v>
      </c>
      <c r="C305" s="3" t="s">
        <v>59</v>
      </c>
      <c r="D305" s="3" t="s">
        <v>28</v>
      </c>
      <c r="E305" s="3" t="s">
        <v>103</v>
      </c>
      <c r="F305" s="3"/>
      <c r="G305" s="243">
        <f t="shared" ref="G305" si="138">G306+G309</f>
        <v>480</v>
      </c>
      <c r="H305" s="243">
        <f>H306+H309</f>
        <v>0</v>
      </c>
      <c r="I305" s="243">
        <f>I306+I309</f>
        <v>480</v>
      </c>
      <c r="J305" s="73"/>
    </row>
    <row r="306" spans="1:10" ht="36" x14ac:dyDescent="0.2">
      <c r="A306" s="4" t="s">
        <v>212</v>
      </c>
      <c r="B306" s="3" t="s">
        <v>80</v>
      </c>
      <c r="C306" s="3" t="s">
        <v>59</v>
      </c>
      <c r="D306" s="3" t="s">
        <v>28</v>
      </c>
      <c r="E306" s="3" t="s">
        <v>285</v>
      </c>
      <c r="F306" s="3"/>
      <c r="G306" s="243">
        <f t="shared" ref="G306:I307" si="139">G307</f>
        <v>430</v>
      </c>
      <c r="H306" s="243">
        <f t="shared" si="139"/>
        <v>0</v>
      </c>
      <c r="I306" s="243">
        <f t="shared" si="139"/>
        <v>430</v>
      </c>
      <c r="J306" s="73"/>
    </row>
    <row r="307" spans="1:10" ht="48" x14ac:dyDescent="0.2">
      <c r="A307" s="4" t="s">
        <v>286</v>
      </c>
      <c r="B307" s="3" t="s">
        <v>80</v>
      </c>
      <c r="C307" s="3" t="s">
        <v>59</v>
      </c>
      <c r="D307" s="3" t="s">
        <v>28</v>
      </c>
      <c r="E307" s="3" t="s">
        <v>102</v>
      </c>
      <c r="F307" s="3"/>
      <c r="G307" s="243">
        <f t="shared" si="139"/>
        <v>430</v>
      </c>
      <c r="H307" s="243">
        <f t="shared" si="139"/>
        <v>0</v>
      </c>
      <c r="I307" s="243">
        <f t="shared" si="139"/>
        <v>430</v>
      </c>
      <c r="J307" s="73"/>
    </row>
    <row r="308" spans="1:10" ht="24" x14ac:dyDescent="0.2">
      <c r="A308" s="4" t="s">
        <v>73</v>
      </c>
      <c r="B308" s="3" t="s">
        <v>80</v>
      </c>
      <c r="C308" s="3" t="s">
        <v>59</v>
      </c>
      <c r="D308" s="3" t="s">
        <v>28</v>
      </c>
      <c r="E308" s="3" t="s">
        <v>102</v>
      </c>
      <c r="F308" s="3" t="s">
        <v>80</v>
      </c>
      <c r="G308" s="240">
        <v>430</v>
      </c>
      <c r="H308" s="243"/>
      <c r="I308" s="240">
        <f>G308+H308</f>
        <v>430</v>
      </c>
      <c r="J308" s="218">
        <v>730</v>
      </c>
    </row>
    <row r="309" spans="1:10" ht="36" x14ac:dyDescent="0.2">
      <c r="A309" s="7" t="s">
        <v>289</v>
      </c>
      <c r="B309" s="3" t="s">
        <v>80</v>
      </c>
      <c r="C309" s="3" t="s">
        <v>59</v>
      </c>
      <c r="D309" s="3" t="s">
        <v>28</v>
      </c>
      <c r="E309" s="3" t="s">
        <v>287</v>
      </c>
      <c r="F309" s="3"/>
      <c r="G309" s="243">
        <f t="shared" ref="G309:I310" si="140">G310</f>
        <v>50</v>
      </c>
      <c r="H309" s="243">
        <f t="shared" si="140"/>
        <v>0</v>
      </c>
      <c r="I309" s="243">
        <f t="shared" si="140"/>
        <v>50</v>
      </c>
      <c r="J309" s="73"/>
    </row>
    <row r="310" spans="1:10" ht="24" x14ac:dyDescent="0.2">
      <c r="A310" s="4" t="s">
        <v>290</v>
      </c>
      <c r="B310" s="3" t="s">
        <v>80</v>
      </c>
      <c r="C310" s="3" t="s">
        <v>59</v>
      </c>
      <c r="D310" s="3" t="s">
        <v>28</v>
      </c>
      <c r="E310" s="3" t="s">
        <v>288</v>
      </c>
      <c r="F310" s="3"/>
      <c r="G310" s="243">
        <f t="shared" si="140"/>
        <v>50</v>
      </c>
      <c r="H310" s="243">
        <f t="shared" si="140"/>
        <v>0</v>
      </c>
      <c r="I310" s="243">
        <f t="shared" si="140"/>
        <v>50</v>
      </c>
      <c r="J310" s="73"/>
    </row>
    <row r="311" spans="1:10" ht="24" x14ac:dyDescent="0.2">
      <c r="A311" s="4" t="s">
        <v>47</v>
      </c>
      <c r="B311" s="3" t="s">
        <v>80</v>
      </c>
      <c r="C311" s="3" t="s">
        <v>59</v>
      </c>
      <c r="D311" s="3" t="s">
        <v>28</v>
      </c>
      <c r="E311" s="3" t="s">
        <v>288</v>
      </c>
      <c r="F311" s="3" t="s">
        <v>51</v>
      </c>
      <c r="G311" s="240">
        <v>50</v>
      </c>
      <c r="H311" s="243"/>
      <c r="I311" s="240">
        <f>G311+H311</f>
        <v>50</v>
      </c>
      <c r="J311" s="73">
        <v>50</v>
      </c>
    </row>
    <row r="312" spans="1:10" ht="96.75" x14ac:dyDescent="0.25">
      <c r="A312" s="4" t="s">
        <v>291</v>
      </c>
      <c r="B312" s="4" t="s">
        <v>80</v>
      </c>
      <c r="C312" s="4" t="s">
        <v>59</v>
      </c>
      <c r="D312" s="4" t="s">
        <v>28</v>
      </c>
      <c r="E312" s="4" t="s">
        <v>582</v>
      </c>
      <c r="F312" s="4"/>
      <c r="G312" s="252">
        <f>G313+G319</f>
        <v>9534.5894999999982</v>
      </c>
      <c r="H312" s="252">
        <f>H313+H319</f>
        <v>0</v>
      </c>
      <c r="I312" s="252">
        <f t="shared" ref="I312" si="141">I313+I319</f>
        <v>9534.5894999999982</v>
      </c>
      <c r="J312" s="73"/>
    </row>
    <row r="313" spans="1:10" ht="48.75" x14ac:dyDescent="0.25">
      <c r="A313" s="4" t="s">
        <v>276</v>
      </c>
      <c r="B313" s="4" t="s">
        <v>80</v>
      </c>
      <c r="C313" s="4" t="s">
        <v>59</v>
      </c>
      <c r="D313" s="4" t="s">
        <v>28</v>
      </c>
      <c r="E313" s="4" t="s">
        <v>583</v>
      </c>
      <c r="F313" s="4"/>
      <c r="G313" s="252">
        <f t="shared" ref="G313" si="142">G314+G316</f>
        <v>8161.9669099999992</v>
      </c>
      <c r="H313" s="252">
        <f>H314+H316</f>
        <v>0</v>
      </c>
      <c r="I313" s="252">
        <f>I314+I316</f>
        <v>8161.9669099999992</v>
      </c>
      <c r="J313" s="73"/>
    </row>
    <row r="314" spans="1:10" ht="48.75" x14ac:dyDescent="0.25">
      <c r="A314" s="4" t="s">
        <v>235</v>
      </c>
      <c r="B314" s="4" t="s">
        <v>80</v>
      </c>
      <c r="C314" s="4" t="s">
        <v>59</v>
      </c>
      <c r="D314" s="4" t="s">
        <v>28</v>
      </c>
      <c r="E314" s="4" t="s">
        <v>584</v>
      </c>
      <c r="F314" s="4"/>
      <c r="G314" s="252">
        <f t="shared" ref="G314:I314" si="143">G315</f>
        <v>4215.4405299999999</v>
      </c>
      <c r="H314" s="252">
        <f t="shared" si="143"/>
        <v>0</v>
      </c>
      <c r="I314" s="252">
        <f t="shared" si="143"/>
        <v>4215.4405299999999</v>
      </c>
      <c r="J314" s="73"/>
    </row>
    <row r="315" spans="1:10" ht="60.75" x14ac:dyDescent="0.25">
      <c r="A315" s="4" t="s">
        <v>38</v>
      </c>
      <c r="B315" s="4" t="s">
        <v>80</v>
      </c>
      <c r="C315" s="4" t="s">
        <v>59</v>
      </c>
      <c r="D315" s="4" t="s">
        <v>28</v>
      </c>
      <c r="E315" s="4" t="s">
        <v>584</v>
      </c>
      <c r="F315" s="4" t="s">
        <v>34</v>
      </c>
      <c r="G315" s="248">
        <v>4215.4405299999999</v>
      </c>
      <c r="H315" s="252"/>
      <c r="I315" s="248">
        <f>G315+H315</f>
        <v>4215.4405299999999</v>
      </c>
      <c r="J315" s="73">
        <f>3175.531+80.9+959.00953</f>
        <v>4215.4405299999999</v>
      </c>
    </row>
    <row r="316" spans="1:10" ht="36.75" x14ac:dyDescent="0.25">
      <c r="A316" s="4" t="s">
        <v>236</v>
      </c>
      <c r="B316" s="4" t="s">
        <v>80</v>
      </c>
      <c r="C316" s="4" t="s">
        <v>59</v>
      </c>
      <c r="D316" s="4" t="s">
        <v>28</v>
      </c>
      <c r="E316" s="4" t="s">
        <v>585</v>
      </c>
      <c r="F316" s="4"/>
      <c r="G316" s="252">
        <f t="shared" ref="G316" si="144">G317+G318</f>
        <v>3946.5263799999998</v>
      </c>
      <c r="H316" s="252">
        <f>H317+H318</f>
        <v>0</v>
      </c>
      <c r="I316" s="252">
        <f>I317+I318</f>
        <v>3946.5263799999998</v>
      </c>
      <c r="J316" s="73"/>
    </row>
    <row r="317" spans="1:10" ht="24.75" x14ac:dyDescent="0.25">
      <c r="A317" s="4" t="s">
        <v>47</v>
      </c>
      <c r="B317" s="4" t="s">
        <v>80</v>
      </c>
      <c r="C317" s="4" t="s">
        <v>59</v>
      </c>
      <c r="D317" s="4" t="s">
        <v>28</v>
      </c>
      <c r="E317" s="4" t="s">
        <v>585</v>
      </c>
      <c r="F317" s="4" t="s">
        <v>51</v>
      </c>
      <c r="G317" s="248">
        <v>3376.9263799999999</v>
      </c>
      <c r="H317" s="252"/>
      <c r="I317" s="248">
        <f>G317+H317</f>
        <v>3376.9263799999999</v>
      </c>
      <c r="J317" s="73">
        <f>3376.92638</f>
        <v>3376.9263799999999</v>
      </c>
    </row>
    <row r="318" spans="1:10" ht="24.75" x14ac:dyDescent="0.25">
      <c r="A318" s="4" t="s">
        <v>73</v>
      </c>
      <c r="B318" s="4" t="s">
        <v>80</v>
      </c>
      <c r="C318" s="4" t="s">
        <v>59</v>
      </c>
      <c r="D318" s="4" t="s">
        <v>28</v>
      </c>
      <c r="E318" s="4" t="s">
        <v>585</v>
      </c>
      <c r="F318" s="4" t="s">
        <v>80</v>
      </c>
      <c r="G318" s="248">
        <v>569.6</v>
      </c>
      <c r="H318" s="252"/>
      <c r="I318" s="248">
        <f>G318+H318</f>
        <v>569.6</v>
      </c>
      <c r="J318" s="73">
        <f>353.67+47.93+168</f>
        <v>569.6</v>
      </c>
    </row>
    <row r="319" spans="1:10" ht="24.75" x14ac:dyDescent="0.25">
      <c r="A319" s="4" t="s">
        <v>527</v>
      </c>
      <c r="B319" s="3" t="s">
        <v>80</v>
      </c>
      <c r="C319" s="3" t="s">
        <v>59</v>
      </c>
      <c r="D319" s="3" t="s">
        <v>28</v>
      </c>
      <c r="E319" s="3" t="s">
        <v>586</v>
      </c>
      <c r="F319" s="3"/>
      <c r="G319" s="248">
        <f>G320</f>
        <v>1372.6225899999999</v>
      </c>
      <c r="H319" s="248">
        <f t="shared" ref="H319:I319" si="145">H320</f>
        <v>0</v>
      </c>
      <c r="I319" s="248">
        <f t="shared" si="145"/>
        <v>1372.6225899999999</v>
      </c>
      <c r="J319" s="73"/>
    </row>
    <row r="320" spans="1:10" ht="60.75" x14ac:dyDescent="0.25">
      <c r="A320" s="4" t="s">
        <v>38</v>
      </c>
      <c r="B320" s="3" t="s">
        <v>80</v>
      </c>
      <c r="C320" s="3" t="s">
        <v>59</v>
      </c>
      <c r="D320" s="3" t="s">
        <v>28</v>
      </c>
      <c r="E320" s="3" t="s">
        <v>586</v>
      </c>
      <c r="F320" s="3">
        <v>100</v>
      </c>
      <c r="G320" s="248">
        <v>1372.6225899999999</v>
      </c>
      <c r="H320" s="249"/>
      <c r="I320" s="248">
        <f t="shared" ref="I320" si="146">G320+H320</f>
        <v>1372.6225899999999</v>
      </c>
      <c r="J320" s="73">
        <f>1054.24139+318.3812</f>
        <v>1372.6225899999999</v>
      </c>
    </row>
    <row r="321" spans="1:10" ht="72" x14ac:dyDescent="0.2">
      <c r="A321" s="4" t="s">
        <v>389</v>
      </c>
      <c r="B321" s="3" t="s">
        <v>80</v>
      </c>
      <c r="C321" s="3" t="s">
        <v>59</v>
      </c>
      <c r="D321" s="3" t="s">
        <v>28</v>
      </c>
      <c r="E321" s="3" t="s">
        <v>390</v>
      </c>
      <c r="F321" s="3"/>
      <c r="G321" s="243">
        <f t="shared" ref="G321:I322" si="147">G322</f>
        <v>10609.9781</v>
      </c>
      <c r="H321" s="243">
        <f t="shared" si="147"/>
        <v>0</v>
      </c>
      <c r="I321" s="243">
        <f t="shared" si="147"/>
        <v>10609.9781</v>
      </c>
      <c r="J321" s="73"/>
    </row>
    <row r="322" spans="1:10" ht="60" x14ac:dyDescent="0.2">
      <c r="A322" s="4" t="s">
        <v>96</v>
      </c>
      <c r="B322" s="3" t="s">
        <v>80</v>
      </c>
      <c r="C322" s="3" t="s">
        <v>59</v>
      </c>
      <c r="D322" s="3" t="s">
        <v>28</v>
      </c>
      <c r="E322" s="3" t="s">
        <v>391</v>
      </c>
      <c r="F322" s="3"/>
      <c r="G322" s="243">
        <f t="shared" si="147"/>
        <v>10609.9781</v>
      </c>
      <c r="H322" s="243">
        <f t="shared" si="147"/>
        <v>0</v>
      </c>
      <c r="I322" s="243">
        <f t="shared" si="147"/>
        <v>10609.9781</v>
      </c>
      <c r="J322" s="73"/>
    </row>
    <row r="323" spans="1:10" ht="48" x14ac:dyDescent="0.2">
      <c r="A323" s="4" t="s">
        <v>292</v>
      </c>
      <c r="B323" s="3" t="s">
        <v>80</v>
      </c>
      <c r="C323" s="3" t="s">
        <v>59</v>
      </c>
      <c r="D323" s="3" t="s">
        <v>28</v>
      </c>
      <c r="E323" s="3" t="s">
        <v>392</v>
      </c>
      <c r="F323" s="3"/>
      <c r="G323" s="243">
        <f t="shared" ref="G323:I323" si="148">G324+G325</f>
        <v>10609.9781</v>
      </c>
      <c r="H323" s="243">
        <f>H324+H325</f>
        <v>0</v>
      </c>
      <c r="I323" s="243">
        <f t="shared" si="148"/>
        <v>10609.9781</v>
      </c>
      <c r="J323" s="73"/>
    </row>
    <row r="324" spans="1:10" ht="24" x14ac:dyDescent="0.2">
      <c r="A324" s="4" t="s">
        <v>47</v>
      </c>
      <c r="B324" s="3" t="s">
        <v>80</v>
      </c>
      <c r="C324" s="3" t="s">
        <v>59</v>
      </c>
      <c r="D324" s="3" t="s">
        <v>28</v>
      </c>
      <c r="E324" s="3" t="s">
        <v>392</v>
      </c>
      <c r="F324" s="3" t="s">
        <v>51</v>
      </c>
      <c r="G324" s="240">
        <v>9236.8780999999999</v>
      </c>
      <c r="H324" s="243"/>
      <c r="I324" s="240">
        <f>G324+H324</f>
        <v>9236.8780999999999</v>
      </c>
      <c r="J324" s="73">
        <v>9236.8780999999999</v>
      </c>
    </row>
    <row r="325" spans="1:10" ht="24" x14ac:dyDescent="0.2">
      <c r="A325" s="7" t="s">
        <v>73</v>
      </c>
      <c r="B325" s="3" t="s">
        <v>80</v>
      </c>
      <c r="C325" s="3" t="s">
        <v>59</v>
      </c>
      <c r="D325" s="3" t="s">
        <v>28</v>
      </c>
      <c r="E325" s="3" t="s">
        <v>392</v>
      </c>
      <c r="F325" s="3" t="s">
        <v>80</v>
      </c>
      <c r="G325" s="240">
        <v>1373.1</v>
      </c>
      <c r="H325" s="243"/>
      <c r="I325" s="240">
        <f>G325+H325</f>
        <v>1373.1</v>
      </c>
      <c r="J325" s="73">
        <f>1307.256+46.004+19.84</f>
        <v>1373.1</v>
      </c>
    </row>
    <row r="326" spans="1:10" ht="72" x14ac:dyDescent="0.2">
      <c r="A326" s="4" t="s">
        <v>393</v>
      </c>
      <c r="B326" s="3" t="s">
        <v>80</v>
      </c>
      <c r="C326" s="3" t="s">
        <v>59</v>
      </c>
      <c r="D326" s="3" t="s">
        <v>28</v>
      </c>
      <c r="E326" s="3" t="s">
        <v>394</v>
      </c>
      <c r="F326" s="3"/>
      <c r="G326" s="243">
        <f>G327</f>
        <v>358.63</v>
      </c>
      <c r="H326" s="243">
        <f t="shared" ref="H326:I327" si="149">H327</f>
        <v>0</v>
      </c>
      <c r="I326" s="243">
        <f t="shared" si="149"/>
        <v>358.63</v>
      </c>
      <c r="J326" s="73"/>
    </row>
    <row r="327" spans="1:10" ht="36" x14ac:dyDescent="0.2">
      <c r="A327" s="4" t="s">
        <v>101</v>
      </c>
      <c r="B327" s="3" t="s">
        <v>80</v>
      </c>
      <c r="C327" s="3" t="s">
        <v>59</v>
      </c>
      <c r="D327" s="3" t="s">
        <v>28</v>
      </c>
      <c r="E327" s="3" t="s">
        <v>395</v>
      </c>
      <c r="F327" s="3"/>
      <c r="G327" s="243">
        <f>G328</f>
        <v>358.63</v>
      </c>
      <c r="H327" s="243">
        <f t="shared" si="149"/>
        <v>0</v>
      </c>
      <c r="I327" s="243">
        <f t="shared" si="149"/>
        <v>358.63</v>
      </c>
      <c r="J327" s="73"/>
    </row>
    <row r="328" spans="1:10" ht="36" x14ac:dyDescent="0.2">
      <c r="A328" s="4" t="s">
        <v>293</v>
      </c>
      <c r="B328" s="3" t="s">
        <v>80</v>
      </c>
      <c r="C328" s="3" t="s">
        <v>59</v>
      </c>
      <c r="D328" s="3" t="s">
        <v>28</v>
      </c>
      <c r="E328" s="3" t="s">
        <v>396</v>
      </c>
      <c r="F328" s="3"/>
      <c r="G328" s="243">
        <f t="shared" ref="G328:I328" si="150">G329</f>
        <v>358.63</v>
      </c>
      <c r="H328" s="243">
        <f t="shared" si="150"/>
        <v>0</v>
      </c>
      <c r="I328" s="243">
        <f t="shared" si="150"/>
        <v>358.63</v>
      </c>
      <c r="J328" s="73"/>
    </row>
    <row r="329" spans="1:10" ht="24" x14ac:dyDescent="0.2">
      <c r="A329" s="4" t="s">
        <v>47</v>
      </c>
      <c r="B329" s="3" t="s">
        <v>80</v>
      </c>
      <c r="C329" s="3" t="s">
        <v>59</v>
      </c>
      <c r="D329" s="3" t="s">
        <v>28</v>
      </c>
      <c r="E329" s="3" t="s">
        <v>396</v>
      </c>
      <c r="F329" s="3" t="s">
        <v>51</v>
      </c>
      <c r="G329" s="240">
        <v>358.63</v>
      </c>
      <c r="H329" s="243"/>
      <c r="I329" s="240">
        <f>G329+H329</f>
        <v>358.63</v>
      </c>
      <c r="J329" s="73">
        <v>358.63</v>
      </c>
    </row>
    <row r="330" spans="1:10" ht="12.75" x14ac:dyDescent="0.2">
      <c r="A330" s="4" t="s">
        <v>100</v>
      </c>
      <c r="B330" s="3" t="s">
        <v>80</v>
      </c>
      <c r="C330" s="3" t="s">
        <v>36</v>
      </c>
      <c r="D330" s="3"/>
      <c r="E330" s="3"/>
      <c r="F330" s="3"/>
      <c r="G330" s="251">
        <f>G336+G372+G331</f>
        <v>21122.288359999999</v>
      </c>
      <c r="H330" s="251">
        <f>H336+H372+H331</f>
        <v>-205</v>
      </c>
      <c r="I330" s="251">
        <f>I336+I372+I331</f>
        <v>20917.288359999999</v>
      </c>
      <c r="J330" s="73"/>
    </row>
    <row r="331" spans="1:10" ht="12.75" x14ac:dyDescent="0.2">
      <c r="A331" s="4" t="s">
        <v>99</v>
      </c>
      <c r="B331" s="3" t="s">
        <v>80</v>
      </c>
      <c r="C331" s="3" t="s">
        <v>36</v>
      </c>
      <c r="D331" s="3" t="s">
        <v>15</v>
      </c>
      <c r="E331" s="3"/>
      <c r="F331" s="3"/>
      <c r="G331" s="251">
        <f>G332</f>
        <v>11</v>
      </c>
      <c r="H331" s="251">
        <f t="shared" ref="H331:I331" si="151">H332</f>
        <v>0</v>
      </c>
      <c r="I331" s="251">
        <f t="shared" si="151"/>
        <v>11</v>
      </c>
      <c r="J331" s="73"/>
    </row>
    <row r="332" spans="1:10" ht="72.75" x14ac:dyDescent="0.25">
      <c r="A332" s="4" t="s">
        <v>400</v>
      </c>
      <c r="B332" s="3" t="s">
        <v>80</v>
      </c>
      <c r="C332" s="3" t="s">
        <v>36</v>
      </c>
      <c r="D332" s="3" t="s">
        <v>15</v>
      </c>
      <c r="E332" s="3" t="s">
        <v>91</v>
      </c>
      <c r="F332" s="3"/>
      <c r="G332" s="258">
        <f t="shared" ref="G332:I334" si="152">G333</f>
        <v>11</v>
      </c>
      <c r="H332" s="258">
        <f t="shared" si="152"/>
        <v>0</v>
      </c>
      <c r="I332" s="258">
        <f t="shared" si="152"/>
        <v>11</v>
      </c>
      <c r="J332" s="73"/>
    </row>
    <row r="333" spans="1:10" ht="36.75" x14ac:dyDescent="0.25">
      <c r="A333" s="4" t="s">
        <v>241</v>
      </c>
      <c r="B333" s="3" t="s">
        <v>80</v>
      </c>
      <c r="C333" s="3" t="s">
        <v>36</v>
      </c>
      <c r="D333" s="3" t="s">
        <v>15</v>
      </c>
      <c r="E333" s="3" t="s">
        <v>267</v>
      </c>
      <c r="F333" s="3"/>
      <c r="G333" s="258">
        <f t="shared" si="152"/>
        <v>11</v>
      </c>
      <c r="H333" s="258">
        <f t="shared" si="152"/>
        <v>0</v>
      </c>
      <c r="I333" s="258">
        <f t="shared" si="152"/>
        <v>11</v>
      </c>
      <c r="J333" s="73"/>
    </row>
    <row r="334" spans="1:10" ht="24.75" x14ac:dyDescent="0.25">
      <c r="A334" s="4" t="s">
        <v>294</v>
      </c>
      <c r="B334" s="3" t="s">
        <v>80</v>
      </c>
      <c r="C334" s="3" t="s">
        <v>36</v>
      </c>
      <c r="D334" s="3" t="s">
        <v>15</v>
      </c>
      <c r="E334" s="3" t="s">
        <v>297</v>
      </c>
      <c r="F334" s="3"/>
      <c r="G334" s="258">
        <f t="shared" si="152"/>
        <v>11</v>
      </c>
      <c r="H334" s="258">
        <f t="shared" si="152"/>
        <v>0</v>
      </c>
      <c r="I334" s="258">
        <f t="shared" si="152"/>
        <v>11</v>
      </c>
      <c r="J334" s="73"/>
    </row>
    <row r="335" spans="1:10" s="34" customFormat="1" ht="24.75" x14ac:dyDescent="0.25">
      <c r="A335" s="4" t="s">
        <v>47</v>
      </c>
      <c r="B335" s="3" t="s">
        <v>80</v>
      </c>
      <c r="C335" s="3" t="s">
        <v>36</v>
      </c>
      <c r="D335" s="3" t="s">
        <v>15</v>
      </c>
      <c r="E335" s="3" t="s">
        <v>297</v>
      </c>
      <c r="F335" s="3" t="s">
        <v>51</v>
      </c>
      <c r="G335" s="248">
        <v>11</v>
      </c>
      <c r="H335" s="248"/>
      <c r="I335" s="248">
        <f>G335+H335</f>
        <v>11</v>
      </c>
      <c r="J335" s="72">
        <v>11</v>
      </c>
    </row>
    <row r="336" spans="1:10" ht="12.75" x14ac:dyDescent="0.2">
      <c r="A336" s="4" t="s">
        <v>98</v>
      </c>
      <c r="B336" s="3" t="s">
        <v>80</v>
      </c>
      <c r="C336" s="3" t="s">
        <v>36</v>
      </c>
      <c r="D336" s="3" t="s">
        <v>27</v>
      </c>
      <c r="E336" s="3"/>
      <c r="F336" s="3"/>
      <c r="G336" s="239">
        <f>G337+G341+G363</f>
        <v>20624.856359999998</v>
      </c>
      <c r="H336" s="239">
        <f t="shared" ref="H336:I336" si="153">H337+H341+H363</f>
        <v>-205</v>
      </c>
      <c r="I336" s="239">
        <f t="shared" si="153"/>
        <v>20419.856359999998</v>
      </c>
      <c r="J336" s="73"/>
    </row>
    <row r="337" spans="1:10" ht="72" x14ac:dyDescent="0.2">
      <c r="A337" s="4" t="s">
        <v>268</v>
      </c>
      <c r="B337" s="3">
        <v>800</v>
      </c>
      <c r="C337" s="3" t="s">
        <v>36</v>
      </c>
      <c r="D337" s="3" t="s">
        <v>27</v>
      </c>
      <c r="E337" s="3" t="s">
        <v>63</v>
      </c>
      <c r="F337" s="3"/>
      <c r="G337" s="242">
        <f t="shared" ref="G337:I338" si="154">G338</f>
        <v>7518.7965599999998</v>
      </c>
      <c r="H337" s="242">
        <f t="shared" si="154"/>
        <v>0</v>
      </c>
      <c r="I337" s="242">
        <f t="shared" si="154"/>
        <v>7518.7965599999998</v>
      </c>
      <c r="J337" s="73"/>
    </row>
    <row r="338" spans="1:10" ht="24" x14ac:dyDescent="0.2">
      <c r="A338" s="4" t="s">
        <v>87</v>
      </c>
      <c r="B338" s="3">
        <v>800</v>
      </c>
      <c r="C338" s="3" t="s">
        <v>36</v>
      </c>
      <c r="D338" s="3" t="s">
        <v>27</v>
      </c>
      <c r="E338" s="3" t="s">
        <v>295</v>
      </c>
      <c r="F338" s="3"/>
      <c r="G338" s="241">
        <f>G339</f>
        <v>7518.7965599999998</v>
      </c>
      <c r="H338" s="241">
        <f t="shared" si="154"/>
        <v>0</v>
      </c>
      <c r="I338" s="241">
        <f t="shared" si="154"/>
        <v>7518.7965599999998</v>
      </c>
      <c r="J338" s="73"/>
    </row>
    <row r="339" spans="1:10" ht="48" x14ac:dyDescent="0.2">
      <c r="A339" s="4" t="s">
        <v>401</v>
      </c>
      <c r="B339" s="3">
        <v>800</v>
      </c>
      <c r="C339" s="3" t="s">
        <v>36</v>
      </c>
      <c r="D339" s="3" t="s">
        <v>27</v>
      </c>
      <c r="E339" s="3" t="s">
        <v>549</v>
      </c>
      <c r="F339" s="3"/>
      <c r="G339" s="242">
        <f t="shared" ref="G339:I339" si="155">G340</f>
        <v>7518.7965599999998</v>
      </c>
      <c r="H339" s="242">
        <f t="shared" si="155"/>
        <v>0</v>
      </c>
      <c r="I339" s="242">
        <f t="shared" si="155"/>
        <v>7518.7965599999998</v>
      </c>
      <c r="J339" s="73"/>
    </row>
    <row r="340" spans="1:10" ht="36" x14ac:dyDescent="0.2">
      <c r="A340" s="4" t="s">
        <v>70</v>
      </c>
      <c r="B340" s="3">
        <v>800</v>
      </c>
      <c r="C340" s="3" t="s">
        <v>36</v>
      </c>
      <c r="D340" s="3" t="s">
        <v>27</v>
      </c>
      <c r="E340" s="3" t="s">
        <v>549</v>
      </c>
      <c r="F340" s="3">
        <v>400</v>
      </c>
      <c r="G340" s="240">
        <v>7518.7965599999998</v>
      </c>
      <c r="H340" s="242">
        <f>0.02105-0.02105</f>
        <v>0</v>
      </c>
      <c r="I340" s="240">
        <f>G340+H340</f>
        <v>7518.7965599999998</v>
      </c>
      <c r="J340" s="73">
        <v>7518.7965599999998</v>
      </c>
    </row>
    <row r="341" spans="1:10" ht="72.75" x14ac:dyDescent="0.25">
      <c r="A341" s="4" t="s">
        <v>402</v>
      </c>
      <c r="B341" s="3" t="s">
        <v>80</v>
      </c>
      <c r="C341" s="3" t="s">
        <v>36</v>
      </c>
      <c r="D341" s="3" t="s">
        <v>27</v>
      </c>
      <c r="E341" s="3" t="s">
        <v>91</v>
      </c>
      <c r="F341" s="3"/>
      <c r="G341" s="252">
        <f>G342+G349+G358</f>
        <v>7616.2197999999989</v>
      </c>
      <c r="H341" s="252">
        <f>H342+H349+H358</f>
        <v>-464</v>
      </c>
      <c r="I341" s="252">
        <f>I342+I349+I358</f>
        <v>7152.2197999999989</v>
      </c>
      <c r="J341" s="73"/>
    </row>
    <row r="342" spans="1:10" ht="36.75" x14ac:dyDescent="0.25">
      <c r="A342" s="4" t="s">
        <v>94</v>
      </c>
      <c r="B342" s="3" t="s">
        <v>80</v>
      </c>
      <c r="C342" s="3" t="s">
        <v>36</v>
      </c>
      <c r="D342" s="3" t="s">
        <v>27</v>
      </c>
      <c r="E342" s="3" t="s">
        <v>403</v>
      </c>
      <c r="F342" s="3"/>
      <c r="G342" s="252">
        <f>G346+G343</f>
        <v>3169.4399999999996</v>
      </c>
      <c r="H342" s="252">
        <f>H346+H343</f>
        <v>-464</v>
      </c>
      <c r="I342" s="252">
        <f>I346+I343</f>
        <v>2705.4399999999996</v>
      </c>
      <c r="J342" s="73"/>
    </row>
    <row r="343" spans="1:10" ht="24.75" x14ac:dyDescent="0.25">
      <c r="A343" s="4" t="s">
        <v>404</v>
      </c>
      <c r="B343" s="3" t="s">
        <v>80</v>
      </c>
      <c r="C343" s="3" t="s">
        <v>36</v>
      </c>
      <c r="D343" s="3" t="s">
        <v>27</v>
      </c>
      <c r="E343" s="3" t="s">
        <v>407</v>
      </c>
      <c r="F343" s="3"/>
      <c r="G343" s="252">
        <f>G345+G344</f>
        <v>1670.34</v>
      </c>
      <c r="H343" s="252">
        <f>H345+H344</f>
        <v>0</v>
      </c>
      <c r="I343" s="252">
        <f t="shared" ref="I343" si="156">I345+I344</f>
        <v>1670.34</v>
      </c>
      <c r="J343" s="73"/>
    </row>
    <row r="344" spans="1:10" ht="24.75" x14ac:dyDescent="0.25">
      <c r="A344" s="4" t="s">
        <v>47</v>
      </c>
      <c r="B344" s="3" t="s">
        <v>80</v>
      </c>
      <c r="C344" s="3" t="s">
        <v>36</v>
      </c>
      <c r="D344" s="3" t="s">
        <v>27</v>
      </c>
      <c r="E344" s="3" t="s">
        <v>407</v>
      </c>
      <c r="F344" s="3" t="s">
        <v>51</v>
      </c>
      <c r="G344" s="248">
        <v>315</v>
      </c>
      <c r="H344" s="252"/>
      <c r="I344" s="248">
        <f>G344+H344</f>
        <v>315</v>
      </c>
      <c r="J344" s="219">
        <v>15</v>
      </c>
    </row>
    <row r="345" spans="1:10" ht="36.75" x14ac:dyDescent="0.25">
      <c r="A345" s="4" t="s">
        <v>70</v>
      </c>
      <c r="B345" s="3" t="s">
        <v>80</v>
      </c>
      <c r="C345" s="3" t="s">
        <v>36</v>
      </c>
      <c r="D345" s="3" t="s">
        <v>27</v>
      </c>
      <c r="E345" s="3" t="s">
        <v>407</v>
      </c>
      <c r="F345" s="3" t="s">
        <v>69</v>
      </c>
      <c r="G345" s="252">
        <v>1355.34</v>
      </c>
      <c r="H345" s="252"/>
      <c r="I345" s="252">
        <f>G345+H345</f>
        <v>1355.34</v>
      </c>
      <c r="J345" s="73">
        <v>1355.34</v>
      </c>
    </row>
    <row r="346" spans="1:10" ht="48.75" x14ac:dyDescent="0.25">
      <c r="A346" s="4" t="s">
        <v>296</v>
      </c>
      <c r="B346" s="3" t="s">
        <v>80</v>
      </c>
      <c r="C346" s="3" t="s">
        <v>36</v>
      </c>
      <c r="D346" s="3" t="s">
        <v>27</v>
      </c>
      <c r="E346" s="3" t="s">
        <v>408</v>
      </c>
      <c r="F346" s="3"/>
      <c r="G346" s="252">
        <f>G347+G348</f>
        <v>1499.1</v>
      </c>
      <c r="H346" s="252">
        <f t="shared" ref="H346:I346" si="157">H347+H348</f>
        <v>-464</v>
      </c>
      <c r="I346" s="252">
        <f t="shared" si="157"/>
        <v>1035.0999999999999</v>
      </c>
      <c r="J346" s="73"/>
    </row>
    <row r="347" spans="1:10" ht="24.75" x14ac:dyDescent="0.25">
      <c r="A347" s="4" t="s">
        <v>47</v>
      </c>
      <c r="B347" s="3" t="s">
        <v>80</v>
      </c>
      <c r="C347" s="3" t="s">
        <v>36</v>
      </c>
      <c r="D347" s="3" t="s">
        <v>27</v>
      </c>
      <c r="E347" s="3" t="s">
        <v>408</v>
      </c>
      <c r="F347" s="3" t="s">
        <v>51</v>
      </c>
      <c r="G347" s="248">
        <v>1476.6</v>
      </c>
      <c r="H347" s="252">
        <f>-385-79</f>
        <v>-464</v>
      </c>
      <c r="I347" s="248">
        <f>G347+H347</f>
        <v>1012.5999999999999</v>
      </c>
      <c r="J347" s="73">
        <v>1476.6</v>
      </c>
    </row>
    <row r="348" spans="1:10" ht="24.75" x14ac:dyDescent="0.25">
      <c r="A348" s="4" t="s">
        <v>73</v>
      </c>
      <c r="B348" s="3" t="s">
        <v>80</v>
      </c>
      <c r="C348" s="3" t="s">
        <v>36</v>
      </c>
      <c r="D348" s="3" t="s">
        <v>27</v>
      </c>
      <c r="E348" s="3" t="s">
        <v>408</v>
      </c>
      <c r="F348" s="3" t="s">
        <v>80</v>
      </c>
      <c r="G348" s="248">
        <v>22.5</v>
      </c>
      <c r="H348" s="252"/>
      <c r="I348" s="248">
        <f>G348+H348</f>
        <v>22.5</v>
      </c>
      <c r="J348" s="73">
        <v>22.5</v>
      </c>
    </row>
    <row r="349" spans="1:10" ht="36.75" x14ac:dyDescent="0.25">
      <c r="A349" s="4" t="s">
        <v>298</v>
      </c>
      <c r="B349" s="3" t="s">
        <v>80</v>
      </c>
      <c r="C349" s="3" t="s">
        <v>36</v>
      </c>
      <c r="D349" s="3" t="s">
        <v>27</v>
      </c>
      <c r="E349" s="3" t="s">
        <v>299</v>
      </c>
      <c r="F349" s="3"/>
      <c r="G349" s="252">
        <f>G350+G353+G356</f>
        <v>2912.6044899999997</v>
      </c>
      <c r="H349" s="252">
        <f>H350+H353+H356</f>
        <v>0</v>
      </c>
      <c r="I349" s="252">
        <f t="shared" ref="I349" si="158">I350+I353+I356</f>
        <v>2912.6044899999997</v>
      </c>
      <c r="J349" s="73"/>
    </row>
    <row r="350" spans="1:10" ht="24.75" x14ac:dyDescent="0.25">
      <c r="A350" s="4" t="s">
        <v>405</v>
      </c>
      <c r="B350" s="3" t="s">
        <v>80</v>
      </c>
      <c r="C350" s="3" t="s">
        <v>36</v>
      </c>
      <c r="D350" s="3" t="s">
        <v>27</v>
      </c>
      <c r="E350" s="3" t="s">
        <v>406</v>
      </c>
      <c r="F350" s="3"/>
      <c r="G350" s="252">
        <f>G352+G351</f>
        <v>897.41449</v>
      </c>
      <c r="H350" s="252">
        <f t="shared" ref="H350:I350" si="159">H352+H351</f>
        <v>0</v>
      </c>
      <c r="I350" s="252">
        <f t="shared" si="159"/>
        <v>897.41449</v>
      </c>
      <c r="J350" s="73"/>
    </row>
    <row r="351" spans="1:10" ht="24.75" x14ac:dyDescent="0.25">
      <c r="A351" s="4" t="s">
        <v>47</v>
      </c>
      <c r="B351" s="3" t="s">
        <v>80</v>
      </c>
      <c r="C351" s="3" t="s">
        <v>36</v>
      </c>
      <c r="D351" s="3" t="s">
        <v>27</v>
      </c>
      <c r="E351" s="3" t="s">
        <v>406</v>
      </c>
      <c r="F351" s="3" t="s">
        <v>51</v>
      </c>
      <c r="G351" s="252">
        <v>25.334489999999999</v>
      </c>
      <c r="H351" s="252"/>
      <c r="I351" s="252">
        <f>G351+H351</f>
        <v>25.334489999999999</v>
      </c>
      <c r="J351" s="73">
        <v>25.334489999999999</v>
      </c>
    </row>
    <row r="352" spans="1:10" ht="24.75" x14ac:dyDescent="0.25">
      <c r="A352" s="4" t="s">
        <v>73</v>
      </c>
      <c r="B352" s="3" t="s">
        <v>80</v>
      </c>
      <c r="C352" s="3" t="s">
        <v>36</v>
      </c>
      <c r="D352" s="3" t="s">
        <v>27</v>
      </c>
      <c r="E352" s="3" t="s">
        <v>406</v>
      </c>
      <c r="F352" s="3" t="s">
        <v>80</v>
      </c>
      <c r="G352" s="248">
        <v>872.08</v>
      </c>
      <c r="H352" s="252"/>
      <c r="I352" s="248">
        <f>G352+H352</f>
        <v>872.08</v>
      </c>
      <c r="J352" s="73"/>
    </row>
    <row r="353" spans="1:10" ht="60" x14ac:dyDescent="0.25">
      <c r="A353" s="7" t="s">
        <v>349</v>
      </c>
      <c r="B353" s="3" t="s">
        <v>80</v>
      </c>
      <c r="C353" s="3" t="s">
        <v>36</v>
      </c>
      <c r="D353" s="3" t="s">
        <v>27</v>
      </c>
      <c r="E353" s="3" t="s">
        <v>508</v>
      </c>
      <c r="F353" s="3"/>
      <c r="G353" s="252">
        <f>G354+G355</f>
        <v>1224.49</v>
      </c>
      <c r="H353" s="252">
        <f t="shared" ref="H353:I353" si="160">H354+H355</f>
        <v>0</v>
      </c>
      <c r="I353" s="252">
        <f t="shared" si="160"/>
        <v>1224.49</v>
      </c>
      <c r="J353" s="73"/>
    </row>
    <row r="354" spans="1:10" ht="36.75" hidden="1" x14ac:dyDescent="0.25">
      <c r="A354" s="4" t="s">
        <v>70</v>
      </c>
      <c r="B354" s="3" t="s">
        <v>80</v>
      </c>
      <c r="C354" s="3" t="s">
        <v>36</v>
      </c>
      <c r="D354" s="3" t="s">
        <v>27</v>
      </c>
      <c r="E354" s="3" t="s">
        <v>508</v>
      </c>
      <c r="F354" s="3" t="s">
        <v>51</v>
      </c>
      <c r="G354" s="248"/>
      <c r="H354" s="252"/>
      <c r="I354" s="248">
        <f>G354+H354</f>
        <v>0</v>
      </c>
      <c r="J354" s="219">
        <v>1224.49</v>
      </c>
    </row>
    <row r="355" spans="1:10" ht="24.75" x14ac:dyDescent="0.25">
      <c r="A355" s="4" t="s">
        <v>73</v>
      </c>
      <c r="B355" s="3" t="s">
        <v>80</v>
      </c>
      <c r="C355" s="3" t="s">
        <v>36</v>
      </c>
      <c r="D355" s="3" t="s">
        <v>27</v>
      </c>
      <c r="E355" s="3" t="s">
        <v>508</v>
      </c>
      <c r="F355" s="3" t="s">
        <v>80</v>
      </c>
      <c r="G355" s="248">
        <v>1224.49</v>
      </c>
      <c r="H355" s="252"/>
      <c r="I355" s="248">
        <f>G355+H355</f>
        <v>1224.49</v>
      </c>
      <c r="J355" s="219">
        <v>0</v>
      </c>
    </row>
    <row r="356" spans="1:10" ht="72.75" x14ac:dyDescent="0.25">
      <c r="A356" s="4" t="s">
        <v>341</v>
      </c>
      <c r="B356" s="3" t="s">
        <v>80</v>
      </c>
      <c r="C356" s="3" t="s">
        <v>36</v>
      </c>
      <c r="D356" s="3" t="s">
        <v>27</v>
      </c>
      <c r="E356" s="3" t="s">
        <v>93</v>
      </c>
      <c r="F356" s="3"/>
      <c r="G356" s="252">
        <f>G357</f>
        <v>790.7</v>
      </c>
      <c r="H356" s="252">
        <f t="shared" ref="H356:I356" si="161">H357</f>
        <v>0</v>
      </c>
      <c r="I356" s="252">
        <f t="shared" si="161"/>
        <v>790.7</v>
      </c>
      <c r="J356" s="73"/>
    </row>
    <row r="357" spans="1:10" ht="24.75" x14ac:dyDescent="0.25">
      <c r="A357" s="4" t="s">
        <v>73</v>
      </c>
      <c r="B357" s="3" t="s">
        <v>80</v>
      </c>
      <c r="C357" s="3" t="s">
        <v>36</v>
      </c>
      <c r="D357" s="3" t="s">
        <v>27</v>
      </c>
      <c r="E357" s="3" t="s">
        <v>93</v>
      </c>
      <c r="F357" s="3" t="s">
        <v>80</v>
      </c>
      <c r="G357" s="248">
        <v>790.7</v>
      </c>
      <c r="H357" s="252"/>
      <c r="I357" s="248">
        <f>G357+H357</f>
        <v>790.7</v>
      </c>
      <c r="J357" s="73">
        <v>790.7</v>
      </c>
    </row>
    <row r="358" spans="1:10" ht="36.75" x14ac:dyDescent="0.25">
      <c r="A358" s="4" t="s">
        <v>229</v>
      </c>
      <c r="B358" s="3" t="s">
        <v>80</v>
      </c>
      <c r="C358" s="3" t="s">
        <v>36</v>
      </c>
      <c r="D358" s="3" t="s">
        <v>27</v>
      </c>
      <c r="E358" s="3" t="s">
        <v>300</v>
      </c>
      <c r="F358" s="3"/>
      <c r="G358" s="249">
        <f>G361+G359</f>
        <v>1534.1753100000001</v>
      </c>
      <c r="H358" s="249">
        <f t="shared" ref="H358:I358" si="162">H361+H359</f>
        <v>0</v>
      </c>
      <c r="I358" s="249">
        <f t="shared" si="162"/>
        <v>1534.1753100000001</v>
      </c>
      <c r="J358" s="73"/>
    </row>
    <row r="359" spans="1:10" ht="24.75" x14ac:dyDescent="0.25">
      <c r="A359" s="4" t="s">
        <v>587</v>
      </c>
      <c r="B359" s="3" t="s">
        <v>80</v>
      </c>
      <c r="C359" s="3" t="s">
        <v>36</v>
      </c>
      <c r="D359" s="3" t="s">
        <v>27</v>
      </c>
      <c r="E359" s="3" t="s">
        <v>588</v>
      </c>
      <c r="F359" s="3"/>
      <c r="G359" s="249">
        <f>G360</f>
        <v>530</v>
      </c>
      <c r="H359" s="249">
        <f t="shared" ref="H359:I359" si="163">H360</f>
        <v>0</v>
      </c>
      <c r="I359" s="249">
        <f t="shared" si="163"/>
        <v>530</v>
      </c>
      <c r="J359" s="73"/>
    </row>
    <row r="360" spans="1:10" ht="24.75" x14ac:dyDescent="0.25">
      <c r="A360" s="4" t="s">
        <v>47</v>
      </c>
      <c r="B360" s="3" t="s">
        <v>80</v>
      </c>
      <c r="C360" s="3" t="s">
        <v>36</v>
      </c>
      <c r="D360" s="3" t="s">
        <v>27</v>
      </c>
      <c r="E360" s="3" t="s">
        <v>588</v>
      </c>
      <c r="F360" s="3" t="s">
        <v>51</v>
      </c>
      <c r="G360" s="249">
        <v>530</v>
      </c>
      <c r="H360" s="249"/>
      <c r="I360" s="249">
        <f>G360+H360</f>
        <v>530</v>
      </c>
      <c r="J360" s="73">
        <v>530</v>
      </c>
    </row>
    <row r="361" spans="1:10" ht="48.75" x14ac:dyDescent="0.25">
      <c r="A361" s="4" t="s">
        <v>548</v>
      </c>
      <c r="B361" s="3" t="s">
        <v>80</v>
      </c>
      <c r="C361" s="3" t="s">
        <v>36</v>
      </c>
      <c r="D361" s="3" t="s">
        <v>27</v>
      </c>
      <c r="E361" s="3" t="s">
        <v>547</v>
      </c>
      <c r="F361" s="3"/>
      <c r="G361" s="249">
        <f t="shared" ref="G361:I361" si="164">G362</f>
        <v>1004.17531</v>
      </c>
      <c r="H361" s="249">
        <f t="shared" si="164"/>
        <v>0</v>
      </c>
      <c r="I361" s="249">
        <f t="shared" si="164"/>
        <v>1004.17531</v>
      </c>
      <c r="J361" s="73"/>
    </row>
    <row r="362" spans="1:10" ht="24.75" x14ac:dyDescent="0.25">
      <c r="A362" s="4" t="s">
        <v>47</v>
      </c>
      <c r="B362" s="3" t="s">
        <v>80</v>
      </c>
      <c r="C362" s="3" t="s">
        <v>36</v>
      </c>
      <c r="D362" s="3" t="s">
        <v>27</v>
      </c>
      <c r="E362" s="3" t="s">
        <v>547</v>
      </c>
      <c r="F362" s="3" t="s">
        <v>51</v>
      </c>
      <c r="G362" s="248">
        <v>1004.17531</v>
      </c>
      <c r="H362" s="249"/>
      <c r="I362" s="248">
        <f>G362+H362</f>
        <v>1004.17531</v>
      </c>
      <c r="J362" s="73">
        <v>1004.17531</v>
      </c>
    </row>
    <row r="363" spans="1:10" ht="72" x14ac:dyDescent="0.2">
      <c r="A363" s="7" t="s">
        <v>389</v>
      </c>
      <c r="B363" s="3" t="s">
        <v>80</v>
      </c>
      <c r="C363" s="3" t="s">
        <v>36</v>
      </c>
      <c r="D363" s="3" t="s">
        <v>27</v>
      </c>
      <c r="E363" s="3" t="s">
        <v>398</v>
      </c>
      <c r="F363" s="3"/>
      <c r="G363" s="243">
        <f t="shared" ref="G363:I363" si="165">G364</f>
        <v>5489.84</v>
      </c>
      <c r="H363" s="243">
        <f t="shared" si="165"/>
        <v>259</v>
      </c>
      <c r="I363" s="243">
        <f t="shared" si="165"/>
        <v>5748.84</v>
      </c>
      <c r="J363" s="73"/>
    </row>
    <row r="364" spans="1:10" ht="60" x14ac:dyDescent="0.2">
      <c r="A364" s="4" t="s">
        <v>96</v>
      </c>
      <c r="B364" s="3" t="s">
        <v>80</v>
      </c>
      <c r="C364" s="3" t="s">
        <v>36</v>
      </c>
      <c r="D364" s="3" t="s">
        <v>27</v>
      </c>
      <c r="E364" s="3" t="s">
        <v>391</v>
      </c>
      <c r="F364" s="3"/>
      <c r="G364" s="243">
        <f>G365+G368+G370</f>
        <v>5489.84</v>
      </c>
      <c r="H364" s="243">
        <f t="shared" ref="H364:I364" si="166">H365+H368+H370</f>
        <v>259</v>
      </c>
      <c r="I364" s="243">
        <f t="shared" si="166"/>
        <v>5748.84</v>
      </c>
      <c r="J364" s="73"/>
    </row>
    <row r="365" spans="1:10" ht="48" x14ac:dyDescent="0.2">
      <c r="A365" s="7" t="s">
        <v>292</v>
      </c>
      <c r="B365" s="3" t="s">
        <v>80</v>
      </c>
      <c r="C365" s="3" t="s">
        <v>36</v>
      </c>
      <c r="D365" s="3" t="s">
        <v>27</v>
      </c>
      <c r="E365" s="3" t="s">
        <v>392</v>
      </c>
      <c r="F365" s="3"/>
      <c r="G365" s="243">
        <f t="shared" ref="G365:I365" si="167">G366+G367</f>
        <v>5130.84</v>
      </c>
      <c r="H365" s="243">
        <f t="shared" si="167"/>
        <v>259</v>
      </c>
      <c r="I365" s="243">
        <f t="shared" si="167"/>
        <v>5389.84</v>
      </c>
      <c r="J365" s="73"/>
    </row>
    <row r="366" spans="1:10" ht="24" x14ac:dyDescent="0.2">
      <c r="A366" s="4" t="s">
        <v>47</v>
      </c>
      <c r="B366" s="3" t="s">
        <v>80</v>
      </c>
      <c r="C366" s="3" t="s">
        <v>36</v>
      </c>
      <c r="D366" s="3" t="s">
        <v>27</v>
      </c>
      <c r="E366" s="3" t="s">
        <v>392</v>
      </c>
      <c r="F366" s="3" t="s">
        <v>51</v>
      </c>
      <c r="G366" s="240">
        <v>4816.6000000000004</v>
      </c>
      <c r="H366" s="243">
        <f>259</f>
        <v>259</v>
      </c>
      <c r="I366" s="240">
        <f>G366+H366</f>
        <v>5075.6000000000004</v>
      </c>
      <c r="J366" s="73">
        <v>4816.6000000000004</v>
      </c>
    </row>
    <row r="367" spans="1:10" ht="24" x14ac:dyDescent="0.2">
      <c r="A367" s="4" t="s">
        <v>73</v>
      </c>
      <c r="B367" s="3" t="s">
        <v>80</v>
      </c>
      <c r="C367" s="3" t="s">
        <v>36</v>
      </c>
      <c r="D367" s="3" t="s">
        <v>27</v>
      </c>
      <c r="E367" s="3" t="s">
        <v>392</v>
      </c>
      <c r="F367" s="3" t="s">
        <v>80</v>
      </c>
      <c r="G367" s="240">
        <v>314.24</v>
      </c>
      <c r="H367" s="243"/>
      <c r="I367" s="240">
        <f>G367+H367</f>
        <v>314.24</v>
      </c>
      <c r="J367" s="73">
        <v>314.24</v>
      </c>
    </row>
    <row r="368" spans="1:10" ht="12.75" x14ac:dyDescent="0.2">
      <c r="A368" s="4" t="s">
        <v>601</v>
      </c>
      <c r="B368" s="3" t="s">
        <v>80</v>
      </c>
      <c r="C368" s="3" t="s">
        <v>36</v>
      </c>
      <c r="D368" s="3" t="s">
        <v>27</v>
      </c>
      <c r="E368" s="3" t="s">
        <v>602</v>
      </c>
      <c r="F368" s="3"/>
      <c r="G368" s="240">
        <f>G369</f>
        <v>100</v>
      </c>
      <c r="H368" s="240">
        <f t="shared" ref="H368:I370" si="168">H369</f>
        <v>0</v>
      </c>
      <c r="I368" s="240">
        <f t="shared" si="168"/>
        <v>100</v>
      </c>
      <c r="J368" s="73"/>
    </row>
    <row r="369" spans="1:10" ht="24" x14ac:dyDescent="0.2">
      <c r="A369" s="4" t="s">
        <v>73</v>
      </c>
      <c r="B369" s="3" t="s">
        <v>80</v>
      </c>
      <c r="C369" s="3" t="s">
        <v>36</v>
      </c>
      <c r="D369" s="3" t="s">
        <v>27</v>
      </c>
      <c r="E369" s="3" t="s">
        <v>602</v>
      </c>
      <c r="F369" s="3" t="s">
        <v>80</v>
      </c>
      <c r="G369" s="240">
        <v>100</v>
      </c>
      <c r="H369" s="243"/>
      <c r="I369" s="240">
        <f>G369+H369</f>
        <v>100</v>
      </c>
      <c r="J369" s="73">
        <v>100</v>
      </c>
    </row>
    <row r="370" spans="1:10" ht="36" x14ac:dyDescent="0.2">
      <c r="A370" s="7" t="s">
        <v>634</v>
      </c>
      <c r="B370" s="3" t="s">
        <v>80</v>
      </c>
      <c r="C370" s="3" t="s">
        <v>36</v>
      </c>
      <c r="D370" s="3" t="s">
        <v>27</v>
      </c>
      <c r="E370" s="3" t="s">
        <v>633</v>
      </c>
      <c r="F370" s="3"/>
      <c r="G370" s="240">
        <f>G371</f>
        <v>259</v>
      </c>
      <c r="H370" s="240">
        <f t="shared" si="168"/>
        <v>0</v>
      </c>
      <c r="I370" s="240">
        <f t="shared" si="168"/>
        <v>259</v>
      </c>
      <c r="J370" s="73"/>
    </row>
    <row r="371" spans="1:10" ht="24" x14ac:dyDescent="0.2">
      <c r="A371" s="4" t="s">
        <v>73</v>
      </c>
      <c r="B371" s="3" t="s">
        <v>80</v>
      </c>
      <c r="C371" s="3" t="s">
        <v>36</v>
      </c>
      <c r="D371" s="3" t="s">
        <v>27</v>
      </c>
      <c r="E371" s="3" t="s">
        <v>633</v>
      </c>
      <c r="F371" s="3" t="s">
        <v>80</v>
      </c>
      <c r="G371" s="240">
        <v>259</v>
      </c>
      <c r="H371" s="243"/>
      <c r="I371" s="240">
        <f>G371+H371</f>
        <v>259</v>
      </c>
      <c r="J371" s="73">
        <v>259</v>
      </c>
    </row>
    <row r="372" spans="1:10" ht="12.75" x14ac:dyDescent="0.2">
      <c r="A372" s="4" t="s">
        <v>92</v>
      </c>
      <c r="B372" s="3" t="s">
        <v>80</v>
      </c>
      <c r="C372" s="3" t="s">
        <v>36</v>
      </c>
      <c r="D372" s="3" t="s">
        <v>6</v>
      </c>
      <c r="E372" s="3"/>
      <c r="F372" s="3"/>
      <c r="G372" s="239">
        <f>G373</f>
        <v>486.43200000000002</v>
      </c>
      <c r="H372" s="239">
        <f t="shared" ref="H372:I372" si="169">H373</f>
        <v>0</v>
      </c>
      <c r="I372" s="239">
        <f t="shared" si="169"/>
        <v>486.43200000000002</v>
      </c>
      <c r="J372" s="73"/>
    </row>
    <row r="373" spans="1:10" ht="72.75" x14ac:dyDescent="0.25">
      <c r="A373" s="4" t="s">
        <v>402</v>
      </c>
      <c r="B373" s="3" t="s">
        <v>80</v>
      </c>
      <c r="C373" s="3" t="s">
        <v>36</v>
      </c>
      <c r="D373" s="3" t="s">
        <v>6</v>
      </c>
      <c r="E373" s="3" t="s">
        <v>91</v>
      </c>
      <c r="F373" s="3"/>
      <c r="G373" s="249">
        <f t="shared" ref="G373:I375" si="170">G374</f>
        <v>486.43200000000002</v>
      </c>
      <c r="H373" s="249">
        <f t="shared" si="170"/>
        <v>0</v>
      </c>
      <c r="I373" s="249">
        <f t="shared" si="170"/>
        <v>486.43200000000002</v>
      </c>
      <c r="J373" s="73"/>
    </row>
    <row r="374" spans="1:10" ht="36.75" x14ac:dyDescent="0.25">
      <c r="A374" s="4" t="s">
        <v>229</v>
      </c>
      <c r="B374" s="3" t="s">
        <v>80</v>
      </c>
      <c r="C374" s="3" t="s">
        <v>36</v>
      </c>
      <c r="D374" s="3" t="s">
        <v>6</v>
      </c>
      <c r="E374" s="3" t="s">
        <v>300</v>
      </c>
      <c r="F374" s="3"/>
      <c r="G374" s="249">
        <f t="shared" si="170"/>
        <v>486.43200000000002</v>
      </c>
      <c r="H374" s="249">
        <f t="shared" si="170"/>
        <v>0</v>
      </c>
      <c r="I374" s="249">
        <f t="shared" si="170"/>
        <v>486.43200000000002</v>
      </c>
      <c r="J374" s="73"/>
    </row>
    <row r="375" spans="1:10" ht="36.75" x14ac:dyDescent="0.25">
      <c r="A375" s="4" t="s">
        <v>302</v>
      </c>
      <c r="B375" s="3" t="s">
        <v>80</v>
      </c>
      <c r="C375" s="3" t="s">
        <v>36</v>
      </c>
      <c r="D375" s="3" t="s">
        <v>6</v>
      </c>
      <c r="E375" s="3" t="s">
        <v>301</v>
      </c>
      <c r="F375" s="3"/>
      <c r="G375" s="249">
        <f t="shared" si="170"/>
        <v>486.43200000000002</v>
      </c>
      <c r="H375" s="249">
        <f t="shared" si="170"/>
        <v>0</v>
      </c>
      <c r="I375" s="249">
        <f t="shared" si="170"/>
        <v>486.43200000000002</v>
      </c>
      <c r="J375" s="73"/>
    </row>
    <row r="376" spans="1:10" ht="24.75" x14ac:dyDescent="0.25">
      <c r="A376" s="4" t="s">
        <v>47</v>
      </c>
      <c r="B376" s="3" t="s">
        <v>80</v>
      </c>
      <c r="C376" s="3" t="s">
        <v>36</v>
      </c>
      <c r="D376" s="3" t="s">
        <v>6</v>
      </c>
      <c r="E376" s="3" t="s">
        <v>301</v>
      </c>
      <c r="F376" s="3" t="s">
        <v>51</v>
      </c>
      <c r="G376" s="248">
        <v>486.43200000000002</v>
      </c>
      <c r="H376" s="249"/>
      <c r="I376" s="248">
        <f>G376+H376</f>
        <v>486.43200000000002</v>
      </c>
      <c r="J376" s="73">
        <v>486.43200000000002</v>
      </c>
    </row>
    <row r="377" spans="1:10" ht="12.75" x14ac:dyDescent="0.2">
      <c r="A377" s="4" t="s">
        <v>185</v>
      </c>
      <c r="B377" s="3" t="s">
        <v>80</v>
      </c>
      <c r="C377" s="3" t="s">
        <v>79</v>
      </c>
      <c r="D377" s="3"/>
      <c r="E377" s="3"/>
      <c r="F377" s="3"/>
      <c r="G377" s="240">
        <f>G378+G385</f>
        <v>124102.39600000001</v>
      </c>
      <c r="H377" s="240">
        <f>H378+H385</f>
        <v>94.532579999999996</v>
      </c>
      <c r="I377" s="240">
        <f>I378+I385</f>
        <v>124196.92858000001</v>
      </c>
      <c r="J377" s="73"/>
    </row>
    <row r="378" spans="1:10" ht="12.75" x14ac:dyDescent="0.2">
      <c r="A378" s="4" t="s">
        <v>89</v>
      </c>
      <c r="B378" s="3" t="s">
        <v>80</v>
      </c>
      <c r="C378" s="3" t="s">
        <v>79</v>
      </c>
      <c r="D378" s="3" t="s">
        <v>15</v>
      </c>
      <c r="E378" s="3"/>
      <c r="F378" s="3"/>
      <c r="G378" s="240">
        <f>G379</f>
        <v>88552.296580000009</v>
      </c>
      <c r="H378" s="240">
        <f t="shared" ref="H378:I386" si="171">H379</f>
        <v>0</v>
      </c>
      <c r="I378" s="240">
        <f t="shared" si="171"/>
        <v>88552.296580000009</v>
      </c>
      <c r="J378" s="73"/>
    </row>
    <row r="379" spans="1:10" ht="60" x14ac:dyDescent="0.2">
      <c r="A379" s="4" t="s">
        <v>353</v>
      </c>
      <c r="B379" s="3" t="s">
        <v>80</v>
      </c>
      <c r="C379" s="3" t="s">
        <v>79</v>
      </c>
      <c r="D379" s="3" t="s">
        <v>15</v>
      </c>
      <c r="E379" s="3" t="s">
        <v>421</v>
      </c>
      <c r="F379" s="3"/>
      <c r="G379" s="240">
        <f>G380</f>
        <v>88552.296580000009</v>
      </c>
      <c r="H379" s="240">
        <f t="shared" si="171"/>
        <v>0</v>
      </c>
      <c r="I379" s="240">
        <f t="shared" si="171"/>
        <v>88552.296580000009</v>
      </c>
      <c r="J379" s="73"/>
    </row>
    <row r="380" spans="1:10" ht="48" x14ac:dyDescent="0.2">
      <c r="A380" s="7" t="s">
        <v>623</v>
      </c>
      <c r="B380" s="3" t="s">
        <v>80</v>
      </c>
      <c r="C380" s="3" t="s">
        <v>79</v>
      </c>
      <c r="D380" s="3" t="s">
        <v>15</v>
      </c>
      <c r="E380" s="3" t="s">
        <v>622</v>
      </c>
      <c r="F380" s="3"/>
      <c r="G380" s="240">
        <f>G383+G381</f>
        <v>88552.296580000009</v>
      </c>
      <c r="H380" s="240">
        <f t="shared" ref="H380:I380" si="172">H383+H381</f>
        <v>0</v>
      </c>
      <c r="I380" s="240">
        <f t="shared" si="172"/>
        <v>88552.296580000009</v>
      </c>
      <c r="J380" s="73"/>
    </row>
    <row r="381" spans="1:10" ht="24" x14ac:dyDescent="0.2">
      <c r="A381" s="7" t="s">
        <v>624</v>
      </c>
      <c r="B381" s="3" t="s">
        <v>80</v>
      </c>
      <c r="C381" s="3" t="s">
        <v>79</v>
      </c>
      <c r="D381" s="3" t="s">
        <v>15</v>
      </c>
      <c r="E381" s="3" t="s">
        <v>625</v>
      </c>
      <c r="F381" s="3"/>
      <c r="G381" s="240">
        <f>G382</f>
        <v>145.97839999999999</v>
      </c>
      <c r="H381" s="240">
        <f t="shared" ref="H381:I381" si="173">H382</f>
        <v>0</v>
      </c>
      <c r="I381" s="240">
        <f t="shared" si="173"/>
        <v>145.97839999999999</v>
      </c>
      <c r="J381" s="73"/>
    </row>
    <row r="382" spans="1:10" ht="24" x14ac:dyDescent="0.2">
      <c r="A382" s="4" t="s">
        <v>47</v>
      </c>
      <c r="B382" s="3" t="s">
        <v>80</v>
      </c>
      <c r="C382" s="3" t="s">
        <v>79</v>
      </c>
      <c r="D382" s="3" t="s">
        <v>15</v>
      </c>
      <c r="E382" s="3" t="s">
        <v>625</v>
      </c>
      <c r="F382" s="3" t="s">
        <v>51</v>
      </c>
      <c r="G382" s="240">
        <v>145.97839999999999</v>
      </c>
      <c r="H382" s="240"/>
      <c r="I382" s="240">
        <f>G382+H382</f>
        <v>145.97839999999999</v>
      </c>
      <c r="J382" s="73">
        <v>145.97839999999999</v>
      </c>
    </row>
    <row r="383" spans="1:10" ht="96" x14ac:dyDescent="0.2">
      <c r="A383" s="7" t="s">
        <v>540</v>
      </c>
      <c r="B383" s="3" t="s">
        <v>80</v>
      </c>
      <c r="C383" s="3" t="s">
        <v>79</v>
      </c>
      <c r="D383" s="3" t="s">
        <v>15</v>
      </c>
      <c r="E383" s="3" t="s">
        <v>603</v>
      </c>
      <c r="F383" s="3"/>
      <c r="G383" s="240">
        <f>G384</f>
        <v>88406.318180000002</v>
      </c>
      <c r="H383" s="240">
        <f t="shared" ref="H383:I383" si="174">H384</f>
        <v>0</v>
      </c>
      <c r="I383" s="240">
        <f t="shared" si="174"/>
        <v>88406.318180000002</v>
      </c>
      <c r="J383" s="73"/>
    </row>
    <row r="384" spans="1:10" ht="36" x14ac:dyDescent="0.2">
      <c r="A384" s="7" t="s">
        <v>70</v>
      </c>
      <c r="B384" s="3" t="s">
        <v>80</v>
      </c>
      <c r="C384" s="3" t="s">
        <v>79</v>
      </c>
      <c r="D384" s="3" t="s">
        <v>15</v>
      </c>
      <c r="E384" s="3" t="s">
        <v>603</v>
      </c>
      <c r="F384" s="3" t="s">
        <v>69</v>
      </c>
      <c r="G384" s="240">
        <v>88406.318180000002</v>
      </c>
      <c r="H384" s="240"/>
      <c r="I384" s="240">
        <f>G384+H384</f>
        <v>88406.318180000002</v>
      </c>
      <c r="J384" s="73">
        <v>88406.318180000002</v>
      </c>
    </row>
    <row r="385" spans="1:10" ht="12.75" x14ac:dyDescent="0.2">
      <c r="A385" s="4" t="s">
        <v>88</v>
      </c>
      <c r="B385" s="3" t="s">
        <v>80</v>
      </c>
      <c r="C385" s="3" t="s">
        <v>79</v>
      </c>
      <c r="D385" s="3" t="s">
        <v>27</v>
      </c>
      <c r="E385" s="3"/>
      <c r="F385" s="3"/>
      <c r="G385" s="240">
        <f>G386</f>
        <v>35550.099419999999</v>
      </c>
      <c r="H385" s="240">
        <f>H386</f>
        <v>94.532579999999996</v>
      </c>
      <c r="I385" s="240">
        <f t="shared" si="171"/>
        <v>35644.631999999998</v>
      </c>
      <c r="J385" s="73"/>
    </row>
    <row r="386" spans="1:10" ht="60" x14ac:dyDescent="0.2">
      <c r="A386" s="4" t="s">
        <v>353</v>
      </c>
      <c r="B386" s="3" t="s">
        <v>80</v>
      </c>
      <c r="C386" s="3" t="s">
        <v>79</v>
      </c>
      <c r="D386" s="3" t="s">
        <v>27</v>
      </c>
      <c r="E386" s="3" t="s">
        <v>421</v>
      </c>
      <c r="F386" s="3"/>
      <c r="G386" s="240">
        <f>G387</f>
        <v>35550.099419999999</v>
      </c>
      <c r="H386" s="240">
        <f>H387</f>
        <v>94.532579999999996</v>
      </c>
      <c r="I386" s="240">
        <f t="shared" si="171"/>
        <v>35644.631999999998</v>
      </c>
      <c r="J386" s="73"/>
    </row>
    <row r="387" spans="1:10" ht="36" x14ac:dyDescent="0.2">
      <c r="A387" s="7" t="s">
        <v>409</v>
      </c>
      <c r="B387" s="3" t="s">
        <v>80</v>
      </c>
      <c r="C387" s="3" t="s">
        <v>79</v>
      </c>
      <c r="D387" s="3" t="s">
        <v>27</v>
      </c>
      <c r="E387" s="3" t="s">
        <v>428</v>
      </c>
      <c r="F387" s="3"/>
      <c r="G387" s="240">
        <f>G388+G390</f>
        <v>35550.099419999999</v>
      </c>
      <c r="H387" s="240">
        <f>H388+H390</f>
        <v>94.532579999999996</v>
      </c>
      <c r="I387" s="240">
        <f t="shared" ref="I387" si="175">I388+I390</f>
        <v>35644.631999999998</v>
      </c>
      <c r="J387" s="73"/>
    </row>
    <row r="388" spans="1:10" ht="36" x14ac:dyDescent="0.2">
      <c r="A388" s="7" t="s">
        <v>579</v>
      </c>
      <c r="B388" s="3" t="s">
        <v>80</v>
      </c>
      <c r="C388" s="3" t="s">
        <v>79</v>
      </c>
      <c r="D388" s="3" t="s">
        <v>27</v>
      </c>
      <c r="E388" s="3" t="s">
        <v>429</v>
      </c>
      <c r="F388" s="3"/>
      <c r="G388" s="242">
        <f t="shared" ref="G388:I390" si="176">G389</f>
        <v>520.46741999999995</v>
      </c>
      <c r="H388" s="242">
        <f t="shared" si="176"/>
        <v>94.532579999999996</v>
      </c>
      <c r="I388" s="242">
        <f t="shared" si="176"/>
        <v>615</v>
      </c>
      <c r="J388" s="73"/>
    </row>
    <row r="389" spans="1:10" ht="24" x14ac:dyDescent="0.2">
      <c r="A389" s="4" t="s">
        <v>47</v>
      </c>
      <c r="B389" s="3" t="s">
        <v>80</v>
      </c>
      <c r="C389" s="3" t="s">
        <v>79</v>
      </c>
      <c r="D389" s="3" t="s">
        <v>27</v>
      </c>
      <c r="E389" s="3" t="s">
        <v>429</v>
      </c>
      <c r="F389" s="3" t="s">
        <v>51</v>
      </c>
      <c r="G389" s="240">
        <v>520.46741999999995</v>
      </c>
      <c r="H389" s="242">
        <f>94.53258</f>
        <v>94.532579999999996</v>
      </c>
      <c r="I389" s="240">
        <f>G389+H389</f>
        <v>615</v>
      </c>
      <c r="J389" s="73">
        <v>520.46741999999995</v>
      </c>
    </row>
    <row r="390" spans="1:10" ht="48" x14ac:dyDescent="0.2">
      <c r="A390" s="4" t="s">
        <v>598</v>
      </c>
      <c r="B390" s="3" t="s">
        <v>80</v>
      </c>
      <c r="C390" s="3" t="s">
        <v>79</v>
      </c>
      <c r="D390" s="3" t="s">
        <v>27</v>
      </c>
      <c r="E390" s="3" t="s">
        <v>599</v>
      </c>
      <c r="F390" s="3"/>
      <c r="G390" s="242">
        <f t="shared" si="176"/>
        <v>35029.631999999998</v>
      </c>
      <c r="H390" s="242">
        <f>H391</f>
        <v>0</v>
      </c>
      <c r="I390" s="242">
        <f t="shared" si="176"/>
        <v>35029.631999999998</v>
      </c>
      <c r="J390" s="73"/>
    </row>
    <row r="391" spans="1:10" ht="36" x14ac:dyDescent="0.2">
      <c r="A391" s="7" t="s">
        <v>70</v>
      </c>
      <c r="B391" s="3" t="s">
        <v>80</v>
      </c>
      <c r="C391" s="3" t="s">
        <v>79</v>
      </c>
      <c r="D391" s="3" t="s">
        <v>27</v>
      </c>
      <c r="E391" s="3" t="s">
        <v>599</v>
      </c>
      <c r="F391" s="3" t="s">
        <v>69</v>
      </c>
      <c r="G391" s="240">
        <v>35029.631999999998</v>
      </c>
      <c r="H391" s="242"/>
      <c r="I391" s="240">
        <f>G391+H391</f>
        <v>35029.631999999998</v>
      </c>
      <c r="J391" s="73">
        <v>35029.631999999998</v>
      </c>
    </row>
    <row r="392" spans="1:10" s="59" customFormat="1" ht="12.75" x14ac:dyDescent="0.2">
      <c r="A392" s="4" t="s">
        <v>78</v>
      </c>
      <c r="B392" s="3" t="s">
        <v>80</v>
      </c>
      <c r="C392" s="3" t="s">
        <v>72</v>
      </c>
      <c r="D392" s="3"/>
      <c r="E392" s="3"/>
      <c r="F392" s="3"/>
      <c r="G392" s="240">
        <f>G393</f>
        <v>7070.9989299999997</v>
      </c>
      <c r="H392" s="240">
        <f t="shared" ref="H392:I396" si="177">H393</f>
        <v>0</v>
      </c>
      <c r="I392" s="240">
        <f t="shared" si="177"/>
        <v>7070.9989299999997</v>
      </c>
      <c r="J392" s="74"/>
    </row>
    <row r="393" spans="1:10" s="59" customFormat="1" ht="12.75" x14ac:dyDescent="0.2">
      <c r="A393" s="4" t="s">
        <v>77</v>
      </c>
      <c r="B393" s="3" t="s">
        <v>80</v>
      </c>
      <c r="C393" s="3" t="s">
        <v>72</v>
      </c>
      <c r="D393" s="3" t="s">
        <v>15</v>
      </c>
      <c r="E393" s="3"/>
      <c r="F393" s="3"/>
      <c r="G393" s="240">
        <f>G394</f>
        <v>7070.9989299999997</v>
      </c>
      <c r="H393" s="240">
        <f t="shared" si="177"/>
        <v>0</v>
      </c>
      <c r="I393" s="240">
        <f t="shared" si="177"/>
        <v>7070.9989299999997</v>
      </c>
      <c r="J393" s="74"/>
    </row>
    <row r="394" spans="1:10" s="59" customFormat="1" ht="48" x14ac:dyDescent="0.2">
      <c r="A394" s="4" t="s">
        <v>375</v>
      </c>
      <c r="B394" s="3" t="s">
        <v>80</v>
      </c>
      <c r="C394" s="3" t="s">
        <v>72</v>
      </c>
      <c r="D394" s="3" t="s">
        <v>15</v>
      </c>
      <c r="E394" s="3" t="s">
        <v>41</v>
      </c>
      <c r="F394" s="3"/>
      <c r="G394" s="242">
        <f>G395</f>
        <v>7070.9989299999997</v>
      </c>
      <c r="H394" s="242">
        <f t="shared" si="177"/>
        <v>0</v>
      </c>
      <c r="I394" s="242">
        <f t="shared" si="177"/>
        <v>7070.9989299999997</v>
      </c>
      <c r="J394" s="74"/>
    </row>
    <row r="395" spans="1:10" s="59" customFormat="1" ht="24" x14ac:dyDescent="0.2">
      <c r="A395" s="4" t="s">
        <v>626</v>
      </c>
      <c r="B395" s="3" t="s">
        <v>80</v>
      </c>
      <c r="C395" s="3" t="s">
        <v>72</v>
      </c>
      <c r="D395" s="3" t="s">
        <v>15</v>
      </c>
      <c r="E395" s="3" t="s">
        <v>627</v>
      </c>
      <c r="F395" s="3"/>
      <c r="G395" s="240">
        <f>G396</f>
        <v>7070.9989299999997</v>
      </c>
      <c r="H395" s="240">
        <f t="shared" si="177"/>
        <v>0</v>
      </c>
      <c r="I395" s="240">
        <f t="shared" si="177"/>
        <v>7070.9989299999997</v>
      </c>
      <c r="J395" s="74"/>
    </row>
    <row r="396" spans="1:10" s="59" customFormat="1" ht="48" x14ac:dyDescent="0.2">
      <c r="A396" s="4" t="s">
        <v>545</v>
      </c>
      <c r="B396" s="3" t="s">
        <v>80</v>
      </c>
      <c r="C396" s="3" t="s">
        <v>72</v>
      </c>
      <c r="D396" s="3" t="s">
        <v>15</v>
      </c>
      <c r="E396" s="3" t="s">
        <v>621</v>
      </c>
      <c r="F396" s="3"/>
      <c r="G396" s="242">
        <f>G397</f>
        <v>7070.9989299999997</v>
      </c>
      <c r="H396" s="242">
        <f t="shared" si="177"/>
        <v>0</v>
      </c>
      <c r="I396" s="242">
        <f t="shared" si="177"/>
        <v>7070.9989299999997</v>
      </c>
      <c r="J396" s="74"/>
    </row>
    <row r="397" spans="1:10" s="59" customFormat="1" ht="24" x14ac:dyDescent="0.2">
      <c r="A397" s="4" t="s">
        <v>47</v>
      </c>
      <c r="B397" s="3" t="s">
        <v>80</v>
      </c>
      <c r="C397" s="3" t="s">
        <v>72</v>
      </c>
      <c r="D397" s="3" t="s">
        <v>15</v>
      </c>
      <c r="E397" s="3" t="s">
        <v>621</v>
      </c>
      <c r="F397" s="3" t="s">
        <v>51</v>
      </c>
      <c r="G397" s="240">
        <v>7070.9989299999997</v>
      </c>
      <c r="H397" s="242"/>
      <c r="I397" s="240">
        <f>G397+H397</f>
        <v>7070.9989299999997</v>
      </c>
      <c r="J397" s="74">
        <f>7070.99893</f>
        <v>7070.9989299999997</v>
      </c>
    </row>
    <row r="398" spans="1:10" ht="12.75" x14ac:dyDescent="0.2">
      <c r="A398" s="4" t="s">
        <v>66</v>
      </c>
      <c r="B398" s="3" t="s">
        <v>80</v>
      </c>
      <c r="C398" s="3" t="s">
        <v>54</v>
      </c>
      <c r="D398" s="3" t="s">
        <v>19</v>
      </c>
      <c r="E398" s="3"/>
      <c r="F398" s="3"/>
      <c r="G398" s="240">
        <f>G400+G404</f>
        <v>5691.1988099999999</v>
      </c>
      <c r="H398" s="240">
        <f t="shared" ref="H398:I398" si="178">H400+H404</f>
        <v>0</v>
      </c>
      <c r="I398" s="240">
        <f t="shared" si="178"/>
        <v>5691.1988099999999</v>
      </c>
      <c r="J398" s="73"/>
    </row>
    <row r="399" spans="1:10" ht="12.75" x14ac:dyDescent="0.2">
      <c r="A399" s="4" t="s">
        <v>65</v>
      </c>
      <c r="B399" s="3" t="s">
        <v>80</v>
      </c>
      <c r="C399" s="3" t="s">
        <v>54</v>
      </c>
      <c r="D399" s="3" t="s">
        <v>15</v>
      </c>
      <c r="E399" s="3"/>
      <c r="F399" s="3"/>
      <c r="G399" s="240">
        <f>G400</f>
        <v>720.73</v>
      </c>
      <c r="H399" s="240">
        <f t="shared" ref="H399:I399" si="179">H400</f>
        <v>0</v>
      </c>
      <c r="I399" s="240">
        <f t="shared" si="179"/>
        <v>720.73</v>
      </c>
      <c r="J399" s="73"/>
    </row>
    <row r="400" spans="1:10" ht="60" x14ac:dyDescent="0.2">
      <c r="A400" s="4" t="s">
        <v>303</v>
      </c>
      <c r="B400" s="3" t="s">
        <v>80</v>
      </c>
      <c r="C400" s="3" t="s">
        <v>54</v>
      </c>
      <c r="D400" s="3" t="s">
        <v>15</v>
      </c>
      <c r="E400" s="3" t="s">
        <v>57</v>
      </c>
      <c r="F400" s="3"/>
      <c r="G400" s="240">
        <f t="shared" ref="G400:I402" si="180">G401</f>
        <v>720.73</v>
      </c>
      <c r="H400" s="240">
        <f t="shared" si="180"/>
        <v>0</v>
      </c>
      <c r="I400" s="240">
        <f t="shared" si="180"/>
        <v>720.73</v>
      </c>
      <c r="J400" s="73"/>
    </row>
    <row r="401" spans="1:10" ht="60" x14ac:dyDescent="0.2">
      <c r="A401" s="4" t="s">
        <v>249</v>
      </c>
      <c r="B401" s="3" t="s">
        <v>80</v>
      </c>
      <c r="C401" s="3" t="s">
        <v>54</v>
      </c>
      <c r="D401" s="3" t="s">
        <v>15</v>
      </c>
      <c r="E401" s="3" t="s">
        <v>304</v>
      </c>
      <c r="F401" s="3"/>
      <c r="G401" s="240">
        <f t="shared" si="180"/>
        <v>720.73</v>
      </c>
      <c r="H401" s="240">
        <f t="shared" si="180"/>
        <v>0</v>
      </c>
      <c r="I401" s="240">
        <f t="shared" si="180"/>
        <v>720.73</v>
      </c>
      <c r="J401" s="73"/>
    </row>
    <row r="402" spans="1:10" ht="36" x14ac:dyDescent="0.2">
      <c r="A402" s="7" t="s">
        <v>305</v>
      </c>
      <c r="B402" s="3" t="s">
        <v>80</v>
      </c>
      <c r="C402" s="3" t="s">
        <v>54</v>
      </c>
      <c r="D402" s="3" t="s">
        <v>15</v>
      </c>
      <c r="E402" s="3" t="s">
        <v>306</v>
      </c>
      <c r="F402" s="3"/>
      <c r="G402" s="240">
        <f t="shared" si="180"/>
        <v>720.73</v>
      </c>
      <c r="H402" s="240">
        <f t="shared" si="180"/>
        <v>0</v>
      </c>
      <c r="I402" s="240">
        <f t="shared" si="180"/>
        <v>720.73</v>
      </c>
      <c r="J402" s="73"/>
    </row>
    <row r="403" spans="1:10" ht="24" x14ac:dyDescent="0.2">
      <c r="A403" s="7" t="s">
        <v>45</v>
      </c>
      <c r="B403" s="3" t="s">
        <v>80</v>
      </c>
      <c r="C403" s="3" t="s">
        <v>54</v>
      </c>
      <c r="D403" s="3" t="s">
        <v>15</v>
      </c>
      <c r="E403" s="3" t="s">
        <v>306</v>
      </c>
      <c r="F403" s="3" t="s">
        <v>43</v>
      </c>
      <c r="G403" s="240">
        <v>720.73</v>
      </c>
      <c r="H403" s="242"/>
      <c r="I403" s="240">
        <f>G403+H403</f>
        <v>720.73</v>
      </c>
      <c r="J403" s="73">
        <v>720.73</v>
      </c>
    </row>
    <row r="404" spans="1:10" s="29" customFormat="1" ht="12.75" x14ac:dyDescent="0.2">
      <c r="A404" s="4" t="s">
        <v>64</v>
      </c>
      <c r="B404" s="3" t="s">
        <v>80</v>
      </c>
      <c r="C404" s="3" t="s">
        <v>54</v>
      </c>
      <c r="D404" s="3" t="s">
        <v>6</v>
      </c>
      <c r="E404" s="3"/>
      <c r="F404" s="3"/>
      <c r="G404" s="240">
        <f>G405+G413+G409+G422</f>
        <v>4970.4688100000003</v>
      </c>
      <c r="H404" s="240">
        <f t="shared" ref="H404:I404" si="181">H405+H413+H409+H422</f>
        <v>0</v>
      </c>
      <c r="I404" s="240">
        <f t="shared" si="181"/>
        <v>4970.4688100000003</v>
      </c>
      <c r="J404" s="75"/>
    </row>
    <row r="405" spans="1:10" s="29" customFormat="1" ht="72" x14ac:dyDescent="0.2">
      <c r="A405" s="4" t="s">
        <v>268</v>
      </c>
      <c r="B405" s="3" t="s">
        <v>80</v>
      </c>
      <c r="C405" s="3" t="s">
        <v>54</v>
      </c>
      <c r="D405" s="3" t="s">
        <v>6</v>
      </c>
      <c r="E405" s="3" t="s">
        <v>63</v>
      </c>
      <c r="F405" s="3"/>
      <c r="G405" s="241">
        <f t="shared" ref="G405:I406" si="182">G406</f>
        <v>3928.54765</v>
      </c>
      <c r="H405" s="241">
        <f t="shared" si="182"/>
        <v>0</v>
      </c>
      <c r="I405" s="241">
        <f t="shared" si="182"/>
        <v>3928.54765</v>
      </c>
      <c r="J405" s="75"/>
    </row>
    <row r="406" spans="1:10" s="29" customFormat="1" ht="24" x14ac:dyDescent="0.2">
      <c r="A406" s="4" t="s">
        <v>307</v>
      </c>
      <c r="B406" s="3" t="s">
        <v>80</v>
      </c>
      <c r="C406" s="3" t="s">
        <v>54</v>
      </c>
      <c r="D406" s="3" t="s">
        <v>6</v>
      </c>
      <c r="E406" s="3" t="s">
        <v>295</v>
      </c>
      <c r="F406" s="3"/>
      <c r="G406" s="241">
        <f>G407</f>
        <v>3928.54765</v>
      </c>
      <c r="H406" s="241">
        <f t="shared" si="182"/>
        <v>0</v>
      </c>
      <c r="I406" s="241">
        <f t="shared" si="182"/>
        <v>3928.54765</v>
      </c>
      <c r="J406" s="75"/>
    </row>
    <row r="407" spans="1:10" s="29" customFormat="1" ht="60" x14ac:dyDescent="0.2">
      <c r="A407" s="4" t="s">
        <v>410</v>
      </c>
      <c r="B407" s="3" t="s">
        <v>80</v>
      </c>
      <c r="C407" s="3" t="s">
        <v>54</v>
      </c>
      <c r="D407" s="3" t="s">
        <v>6</v>
      </c>
      <c r="E407" s="3" t="s">
        <v>542</v>
      </c>
      <c r="F407" s="3"/>
      <c r="G407" s="241">
        <f t="shared" ref="G407:I407" si="183">G408</f>
        <v>3928.54765</v>
      </c>
      <c r="H407" s="241">
        <f t="shared" si="183"/>
        <v>0</v>
      </c>
      <c r="I407" s="241">
        <f t="shared" si="183"/>
        <v>3928.54765</v>
      </c>
      <c r="J407" s="75"/>
    </row>
    <row r="408" spans="1:10" s="29" customFormat="1" ht="24" x14ac:dyDescent="0.2">
      <c r="A408" s="4" t="s">
        <v>45</v>
      </c>
      <c r="B408" s="3" t="s">
        <v>80</v>
      </c>
      <c r="C408" s="3" t="s">
        <v>54</v>
      </c>
      <c r="D408" s="3" t="s">
        <v>6</v>
      </c>
      <c r="E408" s="3" t="s">
        <v>542</v>
      </c>
      <c r="F408" s="3" t="s">
        <v>43</v>
      </c>
      <c r="G408" s="240">
        <v>3928.54765</v>
      </c>
      <c r="H408" s="241">
        <f>-0.02378+0.02378</f>
        <v>0</v>
      </c>
      <c r="I408" s="240">
        <f>G408+H408</f>
        <v>3928.54765</v>
      </c>
      <c r="J408" s="75">
        <v>3928.54765</v>
      </c>
    </row>
    <row r="409" spans="1:10" s="29" customFormat="1" ht="48" x14ac:dyDescent="0.2">
      <c r="A409" s="67" t="s">
        <v>413</v>
      </c>
      <c r="B409" s="3" t="s">
        <v>80</v>
      </c>
      <c r="C409" s="3" t="s">
        <v>54</v>
      </c>
      <c r="D409" s="3" t="s">
        <v>6</v>
      </c>
      <c r="E409" s="3" t="s">
        <v>453</v>
      </c>
      <c r="F409" s="3"/>
      <c r="G409" s="240">
        <f>G410</f>
        <v>570.92115999999999</v>
      </c>
      <c r="H409" s="240">
        <f t="shared" ref="H409:I411" si="184">H410</f>
        <v>0</v>
      </c>
      <c r="I409" s="240">
        <f t="shared" si="184"/>
        <v>570.92115999999999</v>
      </c>
      <c r="J409" s="75"/>
    </row>
    <row r="410" spans="1:10" s="29" customFormat="1" ht="24" x14ac:dyDescent="0.2">
      <c r="A410" s="67" t="s">
        <v>414</v>
      </c>
      <c r="B410" s="3" t="s">
        <v>80</v>
      </c>
      <c r="C410" s="3" t="s">
        <v>54</v>
      </c>
      <c r="D410" s="3" t="s">
        <v>6</v>
      </c>
      <c r="E410" s="3" t="s">
        <v>454</v>
      </c>
      <c r="F410" s="3"/>
      <c r="G410" s="240">
        <f>G411</f>
        <v>570.92115999999999</v>
      </c>
      <c r="H410" s="240">
        <f t="shared" si="184"/>
        <v>0</v>
      </c>
      <c r="I410" s="240">
        <f t="shared" si="184"/>
        <v>570.92115999999999</v>
      </c>
      <c r="J410" s="75"/>
    </row>
    <row r="411" spans="1:10" s="29" customFormat="1" ht="24" x14ac:dyDescent="0.2">
      <c r="A411" s="67" t="s">
        <v>543</v>
      </c>
      <c r="B411" s="3" t="s">
        <v>80</v>
      </c>
      <c r="C411" s="3" t="s">
        <v>54</v>
      </c>
      <c r="D411" s="3" t="s">
        <v>6</v>
      </c>
      <c r="E411" s="3" t="s">
        <v>544</v>
      </c>
      <c r="F411" s="3"/>
      <c r="G411" s="240">
        <f>G412</f>
        <v>570.92115999999999</v>
      </c>
      <c r="H411" s="240">
        <f t="shared" si="184"/>
        <v>0</v>
      </c>
      <c r="I411" s="240">
        <f t="shared" si="184"/>
        <v>570.92115999999999</v>
      </c>
      <c r="J411" s="75"/>
    </row>
    <row r="412" spans="1:10" s="29" customFormat="1" ht="24" x14ac:dyDescent="0.2">
      <c r="A412" s="7" t="s">
        <v>45</v>
      </c>
      <c r="B412" s="3" t="s">
        <v>80</v>
      </c>
      <c r="C412" s="3" t="s">
        <v>54</v>
      </c>
      <c r="D412" s="3" t="s">
        <v>6</v>
      </c>
      <c r="E412" s="3" t="s">
        <v>544</v>
      </c>
      <c r="F412" s="3" t="s">
        <v>43</v>
      </c>
      <c r="G412" s="240">
        <v>570.92115999999999</v>
      </c>
      <c r="H412" s="241"/>
      <c r="I412" s="240">
        <f>G412+H412</f>
        <v>570.92115999999999</v>
      </c>
      <c r="J412" s="75">
        <v>570.92115999999999</v>
      </c>
    </row>
    <row r="413" spans="1:10" s="29" customFormat="1" ht="60" x14ac:dyDescent="0.2">
      <c r="A413" s="4" t="s">
        <v>303</v>
      </c>
      <c r="B413" s="3" t="s">
        <v>80</v>
      </c>
      <c r="C413" s="3" t="s">
        <v>54</v>
      </c>
      <c r="D413" s="3" t="s">
        <v>6</v>
      </c>
      <c r="E413" s="3" t="s">
        <v>57</v>
      </c>
      <c r="F413" s="3"/>
      <c r="G413" s="241">
        <f>G414+G419</f>
        <v>426</v>
      </c>
      <c r="H413" s="241">
        <f>H414+H419</f>
        <v>0</v>
      </c>
      <c r="I413" s="241">
        <f>I414+I419</f>
        <v>426</v>
      </c>
      <c r="J413" s="75"/>
    </row>
    <row r="414" spans="1:10" s="29" customFormat="1" ht="36" x14ac:dyDescent="0.2">
      <c r="A414" s="7" t="s">
        <v>55</v>
      </c>
      <c r="B414" s="3" t="s">
        <v>80</v>
      </c>
      <c r="C414" s="3" t="s">
        <v>54</v>
      </c>
      <c r="D414" s="3" t="s">
        <v>6</v>
      </c>
      <c r="E414" s="3" t="s">
        <v>264</v>
      </c>
      <c r="F414" s="3"/>
      <c r="G414" s="241">
        <f>G415+G417</f>
        <v>202.5</v>
      </c>
      <c r="H414" s="241">
        <f>H415+H417</f>
        <v>0</v>
      </c>
      <c r="I414" s="241">
        <f t="shared" ref="I414" si="185">I415+I417</f>
        <v>202.5</v>
      </c>
      <c r="J414" s="75"/>
    </row>
    <row r="415" spans="1:10" s="29" customFormat="1" ht="84" x14ac:dyDescent="0.2">
      <c r="A415" s="4" t="s">
        <v>342</v>
      </c>
      <c r="B415" s="3" t="s">
        <v>80</v>
      </c>
      <c r="C415" s="3" t="s">
        <v>54</v>
      </c>
      <c r="D415" s="3" t="s">
        <v>6</v>
      </c>
      <c r="E415" s="3" t="s">
        <v>62</v>
      </c>
      <c r="F415" s="3"/>
      <c r="G415" s="241">
        <f t="shared" ref="G415:I417" si="186">G416</f>
        <v>86</v>
      </c>
      <c r="H415" s="241">
        <f t="shared" si="186"/>
        <v>0</v>
      </c>
      <c r="I415" s="241">
        <f t="shared" si="186"/>
        <v>86</v>
      </c>
      <c r="J415" s="75"/>
    </row>
    <row r="416" spans="1:10" s="29" customFormat="1" ht="24" x14ac:dyDescent="0.2">
      <c r="A416" s="7" t="s">
        <v>45</v>
      </c>
      <c r="B416" s="3" t="s">
        <v>80</v>
      </c>
      <c r="C416" s="3" t="s">
        <v>54</v>
      </c>
      <c r="D416" s="3" t="s">
        <v>6</v>
      </c>
      <c r="E416" s="3" t="s">
        <v>62</v>
      </c>
      <c r="F416" s="3" t="s">
        <v>43</v>
      </c>
      <c r="G416" s="240">
        <v>86</v>
      </c>
      <c r="H416" s="241"/>
      <c r="I416" s="240">
        <f>G416+H416</f>
        <v>86</v>
      </c>
      <c r="J416" s="75">
        <v>86</v>
      </c>
    </row>
    <row r="417" spans="1:10" s="29" customFormat="1" ht="72" x14ac:dyDescent="0.2">
      <c r="A417" s="4" t="s">
        <v>459</v>
      </c>
      <c r="B417" s="3" t="s">
        <v>80</v>
      </c>
      <c r="C417" s="3" t="s">
        <v>54</v>
      </c>
      <c r="D417" s="3" t="s">
        <v>6</v>
      </c>
      <c r="E417" s="3" t="s">
        <v>458</v>
      </c>
      <c r="F417" s="3"/>
      <c r="G417" s="241">
        <f t="shared" si="186"/>
        <v>116.5</v>
      </c>
      <c r="H417" s="241">
        <f t="shared" si="186"/>
        <v>0</v>
      </c>
      <c r="I417" s="241">
        <f t="shared" si="186"/>
        <v>116.5</v>
      </c>
      <c r="J417" s="75"/>
    </row>
    <row r="418" spans="1:10" s="29" customFormat="1" ht="24" x14ac:dyDescent="0.2">
      <c r="A418" s="7" t="s">
        <v>45</v>
      </c>
      <c r="B418" s="3" t="s">
        <v>80</v>
      </c>
      <c r="C418" s="3" t="s">
        <v>54</v>
      </c>
      <c r="D418" s="3" t="s">
        <v>6</v>
      </c>
      <c r="E418" s="3" t="s">
        <v>458</v>
      </c>
      <c r="F418" s="3" t="s">
        <v>43</v>
      </c>
      <c r="G418" s="240">
        <v>116.5</v>
      </c>
      <c r="H418" s="241"/>
      <c r="I418" s="240">
        <f>G418+H418</f>
        <v>116.5</v>
      </c>
      <c r="J418" s="75">
        <v>116.5</v>
      </c>
    </row>
    <row r="419" spans="1:10" s="29" customFormat="1" ht="60" x14ac:dyDescent="0.2">
      <c r="A419" s="4" t="s">
        <v>249</v>
      </c>
      <c r="B419" s="3" t="s">
        <v>80</v>
      </c>
      <c r="C419" s="3" t="s">
        <v>54</v>
      </c>
      <c r="D419" s="3" t="s">
        <v>6</v>
      </c>
      <c r="E419" s="3" t="s">
        <v>304</v>
      </c>
      <c r="F419" s="3"/>
      <c r="G419" s="240">
        <f t="shared" ref="G419:I420" si="187">G420</f>
        <v>223.5</v>
      </c>
      <c r="H419" s="240">
        <f t="shared" si="187"/>
        <v>0</v>
      </c>
      <c r="I419" s="240">
        <f t="shared" si="187"/>
        <v>223.5</v>
      </c>
      <c r="J419" s="75"/>
    </row>
    <row r="420" spans="1:10" s="29" customFormat="1" ht="48" x14ac:dyDescent="0.2">
      <c r="A420" s="4" t="s">
        <v>310</v>
      </c>
      <c r="B420" s="3" t="s">
        <v>80</v>
      </c>
      <c r="C420" s="3" t="s">
        <v>54</v>
      </c>
      <c r="D420" s="3" t="s">
        <v>6</v>
      </c>
      <c r="E420" s="3" t="s">
        <v>309</v>
      </c>
      <c r="F420" s="3"/>
      <c r="G420" s="240">
        <f t="shared" si="187"/>
        <v>223.5</v>
      </c>
      <c r="H420" s="240">
        <f t="shared" si="187"/>
        <v>0</v>
      </c>
      <c r="I420" s="240">
        <f t="shared" si="187"/>
        <v>223.5</v>
      </c>
      <c r="J420" s="75"/>
    </row>
    <row r="421" spans="1:10" s="29" customFormat="1" ht="24" x14ac:dyDescent="0.2">
      <c r="A421" s="4" t="s">
        <v>45</v>
      </c>
      <c r="B421" s="3" t="s">
        <v>80</v>
      </c>
      <c r="C421" s="3" t="s">
        <v>54</v>
      </c>
      <c r="D421" s="3" t="s">
        <v>6</v>
      </c>
      <c r="E421" s="3" t="s">
        <v>309</v>
      </c>
      <c r="F421" s="3" t="s">
        <v>43</v>
      </c>
      <c r="G421" s="240">
        <v>223.5</v>
      </c>
      <c r="H421" s="242"/>
      <c r="I421" s="240">
        <f>G421+H421</f>
        <v>223.5</v>
      </c>
      <c r="J421" s="75"/>
    </row>
    <row r="422" spans="1:10" s="29" customFormat="1" ht="12.75" x14ac:dyDescent="0.2">
      <c r="A422" s="4" t="s">
        <v>46</v>
      </c>
      <c r="B422" s="3" t="s">
        <v>80</v>
      </c>
      <c r="C422" s="3" t="s">
        <v>54</v>
      </c>
      <c r="D422" s="3" t="s">
        <v>6</v>
      </c>
      <c r="E422" s="3" t="s">
        <v>44</v>
      </c>
      <c r="F422" s="3"/>
      <c r="G422" s="240">
        <f>G423</f>
        <v>45</v>
      </c>
      <c r="H422" s="240">
        <f t="shared" ref="H422:I422" si="188">H423</f>
        <v>0</v>
      </c>
      <c r="I422" s="240">
        <f t="shared" si="188"/>
        <v>45</v>
      </c>
      <c r="J422" s="75"/>
    </row>
    <row r="423" spans="1:10" s="29" customFormat="1" ht="24" x14ac:dyDescent="0.2">
      <c r="A423" s="4" t="s">
        <v>45</v>
      </c>
      <c r="B423" s="3" t="s">
        <v>80</v>
      </c>
      <c r="C423" s="3" t="s">
        <v>54</v>
      </c>
      <c r="D423" s="3" t="s">
        <v>6</v>
      </c>
      <c r="E423" s="3" t="s">
        <v>44</v>
      </c>
      <c r="F423" s="3" t="s">
        <v>43</v>
      </c>
      <c r="G423" s="240">
        <v>45</v>
      </c>
      <c r="H423" s="242"/>
      <c r="I423" s="240">
        <f>G423+H423</f>
        <v>45</v>
      </c>
      <c r="J423" s="75"/>
    </row>
    <row r="424" spans="1:10" s="29" customFormat="1" ht="12.75" x14ac:dyDescent="0.2">
      <c r="A424" s="4" t="s">
        <v>33</v>
      </c>
      <c r="B424" s="3" t="s">
        <v>80</v>
      </c>
      <c r="C424" s="3" t="s">
        <v>28</v>
      </c>
      <c r="D424" s="3"/>
      <c r="E424" s="3"/>
      <c r="F424" s="3"/>
      <c r="G424" s="239">
        <f t="shared" ref="G424:I428" si="189">G425</f>
        <v>1300.4059999999999</v>
      </c>
      <c r="H424" s="239">
        <f t="shared" si="189"/>
        <v>0</v>
      </c>
      <c r="I424" s="239">
        <f t="shared" si="189"/>
        <v>1300.4059999999999</v>
      </c>
      <c r="J424" s="75"/>
    </row>
    <row r="425" spans="1:10" s="29" customFormat="1" ht="12.75" x14ac:dyDescent="0.2">
      <c r="A425" s="4" t="s">
        <v>32</v>
      </c>
      <c r="B425" s="3" t="s">
        <v>80</v>
      </c>
      <c r="C425" s="3" t="s">
        <v>28</v>
      </c>
      <c r="D425" s="3" t="s">
        <v>27</v>
      </c>
      <c r="E425" s="3"/>
      <c r="F425" s="3"/>
      <c r="G425" s="239">
        <f t="shared" si="189"/>
        <v>1300.4059999999999</v>
      </c>
      <c r="H425" s="239">
        <f t="shared" si="189"/>
        <v>0</v>
      </c>
      <c r="I425" s="239">
        <f t="shared" si="189"/>
        <v>1300.4059999999999</v>
      </c>
      <c r="J425" s="75"/>
    </row>
    <row r="426" spans="1:10" s="29" customFormat="1" ht="72" x14ac:dyDescent="0.2">
      <c r="A426" s="7" t="s">
        <v>411</v>
      </c>
      <c r="B426" s="3" t="s">
        <v>80</v>
      </c>
      <c r="C426" s="3" t="s">
        <v>28</v>
      </c>
      <c r="D426" s="3" t="s">
        <v>27</v>
      </c>
      <c r="E426" s="3" t="s">
        <v>31</v>
      </c>
      <c r="F426" s="3"/>
      <c r="G426" s="241">
        <f t="shared" si="189"/>
        <v>1300.4059999999999</v>
      </c>
      <c r="H426" s="241">
        <f t="shared" si="189"/>
        <v>0</v>
      </c>
      <c r="I426" s="241">
        <f t="shared" si="189"/>
        <v>1300.4059999999999</v>
      </c>
      <c r="J426" s="75"/>
    </row>
    <row r="427" spans="1:10" s="29" customFormat="1" ht="36" x14ac:dyDescent="0.2">
      <c r="A427" s="4" t="s">
        <v>30</v>
      </c>
      <c r="B427" s="3" t="s">
        <v>80</v>
      </c>
      <c r="C427" s="3" t="s">
        <v>28</v>
      </c>
      <c r="D427" s="3" t="s">
        <v>27</v>
      </c>
      <c r="E427" s="3" t="s">
        <v>311</v>
      </c>
      <c r="F427" s="3"/>
      <c r="G427" s="241">
        <f t="shared" si="189"/>
        <v>1300.4059999999999</v>
      </c>
      <c r="H427" s="241">
        <f t="shared" si="189"/>
        <v>0</v>
      </c>
      <c r="I427" s="241">
        <f t="shared" si="189"/>
        <v>1300.4059999999999</v>
      </c>
      <c r="J427" s="75"/>
    </row>
    <row r="428" spans="1:10" s="29" customFormat="1" ht="36" x14ac:dyDescent="0.2">
      <c r="A428" s="7" t="s">
        <v>312</v>
      </c>
      <c r="B428" s="3" t="s">
        <v>80</v>
      </c>
      <c r="C428" s="3" t="s">
        <v>28</v>
      </c>
      <c r="D428" s="3" t="s">
        <v>27</v>
      </c>
      <c r="E428" s="3" t="s">
        <v>313</v>
      </c>
      <c r="F428" s="3"/>
      <c r="G428" s="241">
        <f t="shared" si="189"/>
        <v>1300.4059999999999</v>
      </c>
      <c r="H428" s="241">
        <f t="shared" si="189"/>
        <v>0</v>
      </c>
      <c r="I428" s="241">
        <f t="shared" si="189"/>
        <v>1300.4059999999999</v>
      </c>
      <c r="J428" s="75"/>
    </row>
    <row r="429" spans="1:10" s="29" customFormat="1" ht="38.25" x14ac:dyDescent="0.2">
      <c r="A429" s="1" t="s">
        <v>29</v>
      </c>
      <c r="B429" s="3" t="s">
        <v>80</v>
      </c>
      <c r="C429" s="3" t="s">
        <v>28</v>
      </c>
      <c r="D429" s="3" t="s">
        <v>27</v>
      </c>
      <c r="E429" s="3" t="s">
        <v>313</v>
      </c>
      <c r="F429" s="3" t="s">
        <v>26</v>
      </c>
      <c r="G429" s="240">
        <v>1300.4059999999999</v>
      </c>
      <c r="H429" s="241"/>
      <c r="I429" s="240">
        <f>G429+H429</f>
        <v>1300.4059999999999</v>
      </c>
      <c r="J429" s="75"/>
    </row>
    <row r="430" spans="1:10" s="29" customFormat="1" ht="24" x14ac:dyDescent="0.2">
      <c r="A430" s="4" t="s">
        <v>168</v>
      </c>
      <c r="B430" s="3" t="s">
        <v>80</v>
      </c>
      <c r="C430" s="3" t="s">
        <v>24</v>
      </c>
      <c r="D430" s="3"/>
      <c r="E430" s="3"/>
      <c r="F430" s="3"/>
      <c r="G430" s="240">
        <f>G431</f>
        <v>1</v>
      </c>
      <c r="H430" s="240">
        <f t="shared" ref="G430:I434" si="190">H431</f>
        <v>0</v>
      </c>
      <c r="I430" s="240">
        <f t="shared" si="190"/>
        <v>1</v>
      </c>
      <c r="J430" s="75"/>
    </row>
    <row r="431" spans="1:10" s="29" customFormat="1" ht="24" x14ac:dyDescent="0.2">
      <c r="A431" s="4" t="s">
        <v>25</v>
      </c>
      <c r="B431" s="3" t="s">
        <v>80</v>
      </c>
      <c r="C431" s="3" t="s">
        <v>24</v>
      </c>
      <c r="D431" s="3" t="s">
        <v>15</v>
      </c>
      <c r="E431" s="3"/>
      <c r="F431" s="3"/>
      <c r="G431" s="240">
        <f>G432</f>
        <v>1</v>
      </c>
      <c r="H431" s="240">
        <f t="shared" si="190"/>
        <v>0</v>
      </c>
      <c r="I431" s="240">
        <f t="shared" si="190"/>
        <v>1</v>
      </c>
      <c r="J431" s="75"/>
    </row>
    <row r="432" spans="1:10" ht="72" x14ac:dyDescent="0.2">
      <c r="A432" s="7" t="s">
        <v>370</v>
      </c>
      <c r="B432" s="3" t="s">
        <v>80</v>
      </c>
      <c r="C432" s="3">
        <v>13</v>
      </c>
      <c r="D432" s="3" t="s">
        <v>15</v>
      </c>
      <c r="E432" s="3" t="s">
        <v>12</v>
      </c>
      <c r="F432" s="3"/>
      <c r="G432" s="242">
        <f>G433</f>
        <v>1</v>
      </c>
      <c r="H432" s="242">
        <f t="shared" si="190"/>
        <v>0</v>
      </c>
      <c r="I432" s="242">
        <f t="shared" si="190"/>
        <v>1</v>
      </c>
      <c r="J432" s="73"/>
    </row>
    <row r="433" spans="1:10" ht="48" x14ac:dyDescent="0.2">
      <c r="A433" s="4" t="s">
        <v>11</v>
      </c>
      <c r="B433" s="3" t="s">
        <v>80</v>
      </c>
      <c r="C433" s="3">
        <v>13</v>
      </c>
      <c r="D433" s="3" t="s">
        <v>15</v>
      </c>
      <c r="E433" s="3" t="s">
        <v>10</v>
      </c>
      <c r="F433" s="3"/>
      <c r="G433" s="242">
        <f t="shared" si="190"/>
        <v>1</v>
      </c>
      <c r="H433" s="242">
        <f t="shared" si="190"/>
        <v>0</v>
      </c>
      <c r="I433" s="242">
        <f t="shared" si="190"/>
        <v>1</v>
      </c>
      <c r="J433" s="73"/>
    </row>
    <row r="434" spans="1:10" ht="24" x14ac:dyDescent="0.2">
      <c r="A434" s="4" t="s">
        <v>371</v>
      </c>
      <c r="B434" s="3" t="s">
        <v>80</v>
      </c>
      <c r="C434" s="3">
        <v>13</v>
      </c>
      <c r="D434" s="3" t="s">
        <v>15</v>
      </c>
      <c r="E434" s="3" t="s">
        <v>23</v>
      </c>
      <c r="F434" s="3"/>
      <c r="G434" s="242">
        <f t="shared" si="190"/>
        <v>1</v>
      </c>
      <c r="H434" s="242">
        <f t="shared" si="190"/>
        <v>0</v>
      </c>
      <c r="I434" s="242">
        <f t="shared" si="190"/>
        <v>1</v>
      </c>
      <c r="J434" s="73"/>
    </row>
    <row r="435" spans="1:10" ht="24" x14ac:dyDescent="0.2">
      <c r="A435" s="4" t="s">
        <v>22</v>
      </c>
      <c r="B435" s="3" t="s">
        <v>80</v>
      </c>
      <c r="C435" s="3">
        <v>13</v>
      </c>
      <c r="D435" s="3" t="s">
        <v>15</v>
      </c>
      <c r="E435" s="3" t="s">
        <v>23</v>
      </c>
      <c r="F435" s="3" t="s">
        <v>21</v>
      </c>
      <c r="G435" s="240">
        <v>1</v>
      </c>
      <c r="H435" s="242"/>
      <c r="I435" s="240">
        <f>G435+H435</f>
        <v>1</v>
      </c>
      <c r="J435" s="73"/>
    </row>
    <row r="436" spans="1:10" s="29" customFormat="1" ht="48" x14ac:dyDescent="0.2">
      <c r="A436" s="71" t="s">
        <v>246</v>
      </c>
      <c r="B436" s="5" t="s">
        <v>211</v>
      </c>
      <c r="C436" s="5"/>
      <c r="D436" s="5"/>
      <c r="E436" s="5"/>
      <c r="F436" s="3"/>
      <c r="G436" s="255">
        <f>G437+G451+G499+G493</f>
        <v>54583.460340000005</v>
      </c>
      <c r="H436" s="255">
        <f>H437+H451+H499+H493</f>
        <v>-202.26249000000001</v>
      </c>
      <c r="I436" s="255">
        <f>I437+I451+I499+I493</f>
        <v>54381.197850000011</v>
      </c>
      <c r="J436" s="75"/>
    </row>
    <row r="437" spans="1:10" s="29" customFormat="1" ht="12.75" x14ac:dyDescent="0.2">
      <c r="A437" s="4" t="s">
        <v>185</v>
      </c>
      <c r="B437" s="3" t="s">
        <v>211</v>
      </c>
      <c r="C437" s="3" t="s">
        <v>79</v>
      </c>
      <c r="D437" s="3"/>
      <c r="E437" s="3"/>
      <c r="F437" s="3"/>
      <c r="G437" s="240">
        <f>G445+G438</f>
        <v>6824.3626299999996</v>
      </c>
      <c r="H437" s="240">
        <f>H445+H438</f>
        <v>-47</v>
      </c>
      <c r="I437" s="240">
        <f>I445+I438</f>
        <v>6777.3626299999996</v>
      </c>
      <c r="J437" s="75"/>
    </row>
    <row r="438" spans="1:10" s="29" customFormat="1" ht="12.75" x14ac:dyDescent="0.2">
      <c r="A438" s="4" t="s">
        <v>242</v>
      </c>
      <c r="B438" s="3" t="s">
        <v>211</v>
      </c>
      <c r="C438" s="3" t="s">
        <v>79</v>
      </c>
      <c r="D438" s="3" t="s">
        <v>6</v>
      </c>
      <c r="E438" s="3"/>
      <c r="F438" s="3"/>
      <c r="G438" s="240">
        <f>G439</f>
        <v>6774.3626299999996</v>
      </c>
      <c r="H438" s="240">
        <f t="shared" ref="H438:I438" si="191">H439</f>
        <v>-47</v>
      </c>
      <c r="I438" s="240">
        <f t="shared" si="191"/>
        <v>6727.3626299999996</v>
      </c>
      <c r="J438" s="75"/>
    </row>
    <row r="439" spans="1:10" ht="60" x14ac:dyDescent="0.2">
      <c r="A439" s="4" t="s">
        <v>359</v>
      </c>
      <c r="B439" s="3" t="s">
        <v>211</v>
      </c>
      <c r="C439" s="3" t="s">
        <v>79</v>
      </c>
      <c r="D439" s="3" t="s">
        <v>6</v>
      </c>
      <c r="E439" s="3" t="s">
        <v>430</v>
      </c>
      <c r="F439" s="3"/>
      <c r="G439" s="240">
        <f t="shared" ref="G439:I439" si="192">G440</f>
        <v>6774.3626299999996</v>
      </c>
      <c r="H439" s="240">
        <f t="shared" si="192"/>
        <v>-47</v>
      </c>
      <c r="I439" s="240">
        <f t="shared" si="192"/>
        <v>6727.3626299999996</v>
      </c>
      <c r="J439" s="73"/>
    </row>
    <row r="440" spans="1:10" ht="24" x14ac:dyDescent="0.2">
      <c r="A440" s="4" t="s">
        <v>85</v>
      </c>
      <c r="B440" s="3" t="s">
        <v>211</v>
      </c>
      <c r="C440" s="3" t="s">
        <v>79</v>
      </c>
      <c r="D440" s="3" t="s">
        <v>6</v>
      </c>
      <c r="E440" s="3" t="s">
        <v>431</v>
      </c>
      <c r="F440" s="3"/>
      <c r="G440" s="240">
        <f>G441+G443</f>
        <v>6774.3626299999996</v>
      </c>
      <c r="H440" s="240">
        <f>H441+H443</f>
        <v>-47</v>
      </c>
      <c r="I440" s="240">
        <f t="shared" ref="I440" si="193">I441+I443</f>
        <v>6727.3626299999996</v>
      </c>
      <c r="J440" s="73"/>
    </row>
    <row r="441" spans="1:10" ht="24" x14ac:dyDescent="0.2">
      <c r="A441" s="4" t="s">
        <v>412</v>
      </c>
      <c r="B441" s="3" t="s">
        <v>211</v>
      </c>
      <c r="C441" s="3" t="s">
        <v>79</v>
      </c>
      <c r="D441" s="3" t="s">
        <v>6</v>
      </c>
      <c r="E441" s="3" t="s">
        <v>448</v>
      </c>
      <c r="F441" s="3"/>
      <c r="G441" s="240">
        <f t="shared" ref="G441:I443" si="194">G442</f>
        <v>6362.9811499999996</v>
      </c>
      <c r="H441" s="240">
        <f t="shared" si="194"/>
        <v>-47</v>
      </c>
      <c r="I441" s="240">
        <f t="shared" si="194"/>
        <v>6315.9811499999996</v>
      </c>
      <c r="J441" s="73"/>
    </row>
    <row r="442" spans="1:10" ht="36" x14ac:dyDescent="0.2">
      <c r="A442" s="4" t="s">
        <v>29</v>
      </c>
      <c r="B442" s="3" t="s">
        <v>211</v>
      </c>
      <c r="C442" s="3" t="s">
        <v>79</v>
      </c>
      <c r="D442" s="3" t="s">
        <v>6</v>
      </c>
      <c r="E442" s="3" t="s">
        <v>448</v>
      </c>
      <c r="F442" s="3" t="s">
        <v>26</v>
      </c>
      <c r="G442" s="240">
        <v>6362.9811499999996</v>
      </c>
      <c r="H442" s="240">
        <v>-47</v>
      </c>
      <c r="I442" s="240">
        <f>G442+H442</f>
        <v>6315.9811499999996</v>
      </c>
      <c r="J442" s="73">
        <v>6362.9814999999999</v>
      </c>
    </row>
    <row r="443" spans="1:10" ht="24" x14ac:dyDescent="0.2">
      <c r="A443" s="4" t="s">
        <v>527</v>
      </c>
      <c r="B443" s="3" t="s">
        <v>211</v>
      </c>
      <c r="C443" s="3" t="s">
        <v>79</v>
      </c>
      <c r="D443" s="3" t="s">
        <v>6</v>
      </c>
      <c r="E443" s="3" t="s">
        <v>525</v>
      </c>
      <c r="F443" s="3"/>
      <c r="G443" s="240">
        <f t="shared" si="194"/>
        <v>411.38148000000001</v>
      </c>
      <c r="H443" s="240">
        <f t="shared" si="194"/>
        <v>0</v>
      </c>
      <c r="I443" s="240">
        <f t="shared" si="194"/>
        <v>411.38148000000001</v>
      </c>
      <c r="J443" s="73"/>
    </row>
    <row r="444" spans="1:10" ht="36" x14ac:dyDescent="0.2">
      <c r="A444" s="4" t="s">
        <v>29</v>
      </c>
      <c r="B444" s="3" t="s">
        <v>211</v>
      </c>
      <c r="C444" s="3" t="s">
        <v>79</v>
      </c>
      <c r="D444" s="3" t="s">
        <v>6</v>
      </c>
      <c r="E444" s="3" t="s">
        <v>525</v>
      </c>
      <c r="F444" s="3" t="s">
        <v>26</v>
      </c>
      <c r="G444" s="240">
        <v>411.38148000000001</v>
      </c>
      <c r="H444" s="240"/>
      <c r="I444" s="240">
        <f>G444+H444</f>
        <v>411.38148000000001</v>
      </c>
      <c r="J444" s="73">
        <v>411.38148000000001</v>
      </c>
    </row>
    <row r="445" spans="1:10" s="29" customFormat="1" ht="12.75" x14ac:dyDescent="0.2">
      <c r="A445" s="4" t="s">
        <v>84</v>
      </c>
      <c r="B445" s="3" t="s">
        <v>211</v>
      </c>
      <c r="C445" s="3" t="s">
        <v>79</v>
      </c>
      <c r="D445" s="3" t="s">
        <v>79</v>
      </c>
      <c r="E445" s="3"/>
      <c r="F445" s="3"/>
      <c r="G445" s="240">
        <f t="shared" ref="G445:I447" si="195">G446</f>
        <v>50</v>
      </c>
      <c r="H445" s="240">
        <f t="shared" si="195"/>
        <v>0</v>
      </c>
      <c r="I445" s="240">
        <f t="shared" si="195"/>
        <v>50</v>
      </c>
      <c r="J445" s="75"/>
    </row>
    <row r="446" spans="1:10" s="29" customFormat="1" ht="48" x14ac:dyDescent="0.2">
      <c r="A446" s="4" t="s">
        <v>413</v>
      </c>
      <c r="B446" s="3" t="s">
        <v>211</v>
      </c>
      <c r="C446" s="3" t="s">
        <v>79</v>
      </c>
      <c r="D446" s="3" t="s">
        <v>79</v>
      </c>
      <c r="E446" s="3" t="s">
        <v>453</v>
      </c>
      <c r="F446" s="3"/>
      <c r="G446" s="242">
        <f t="shared" si="195"/>
        <v>50</v>
      </c>
      <c r="H446" s="242">
        <f t="shared" si="195"/>
        <v>0</v>
      </c>
      <c r="I446" s="242">
        <f t="shared" si="195"/>
        <v>50</v>
      </c>
      <c r="J446" s="75"/>
    </row>
    <row r="447" spans="1:10" s="29" customFormat="1" ht="24" x14ac:dyDescent="0.2">
      <c r="A447" s="4" t="s">
        <v>414</v>
      </c>
      <c r="B447" s="3" t="s">
        <v>211</v>
      </c>
      <c r="C447" s="3" t="s">
        <v>79</v>
      </c>
      <c r="D447" s="3" t="s">
        <v>79</v>
      </c>
      <c r="E447" s="3" t="s">
        <v>454</v>
      </c>
      <c r="F447" s="3"/>
      <c r="G447" s="242">
        <f t="shared" si="195"/>
        <v>50</v>
      </c>
      <c r="H447" s="242">
        <f t="shared" si="195"/>
        <v>0</v>
      </c>
      <c r="I447" s="242">
        <f t="shared" si="195"/>
        <v>50</v>
      </c>
      <c r="J447" s="75"/>
    </row>
    <row r="448" spans="1:10" s="29" customFormat="1" ht="36" x14ac:dyDescent="0.2">
      <c r="A448" s="4" t="s">
        <v>314</v>
      </c>
      <c r="B448" s="3" t="s">
        <v>211</v>
      </c>
      <c r="C448" s="3" t="s">
        <v>79</v>
      </c>
      <c r="D448" s="3" t="s">
        <v>79</v>
      </c>
      <c r="E448" s="3" t="s">
        <v>455</v>
      </c>
      <c r="F448" s="3"/>
      <c r="G448" s="242">
        <f>G450+G449</f>
        <v>50</v>
      </c>
      <c r="H448" s="242">
        <f t="shared" ref="H448:I448" si="196">H450+H449</f>
        <v>0</v>
      </c>
      <c r="I448" s="242">
        <f t="shared" si="196"/>
        <v>50</v>
      </c>
      <c r="J448" s="75"/>
    </row>
    <row r="449" spans="1:10" s="29" customFormat="1" ht="60" x14ac:dyDescent="0.2">
      <c r="A449" s="4" t="s">
        <v>38</v>
      </c>
      <c r="B449" s="3" t="s">
        <v>211</v>
      </c>
      <c r="C449" s="3" t="s">
        <v>79</v>
      </c>
      <c r="D449" s="3" t="s">
        <v>79</v>
      </c>
      <c r="E449" s="3" t="s">
        <v>455</v>
      </c>
      <c r="F449" s="3" t="s">
        <v>34</v>
      </c>
      <c r="G449" s="242">
        <v>3</v>
      </c>
      <c r="H449" s="242"/>
      <c r="I449" s="240">
        <f>G449+H449</f>
        <v>3</v>
      </c>
      <c r="J449" s="75">
        <v>3</v>
      </c>
    </row>
    <row r="450" spans="1:10" s="29" customFormat="1" ht="24" x14ac:dyDescent="0.2">
      <c r="A450" s="4" t="s">
        <v>47</v>
      </c>
      <c r="B450" s="3" t="s">
        <v>211</v>
      </c>
      <c r="C450" s="3" t="s">
        <v>79</v>
      </c>
      <c r="D450" s="3" t="s">
        <v>79</v>
      </c>
      <c r="E450" s="3" t="s">
        <v>455</v>
      </c>
      <c r="F450" s="3" t="s">
        <v>51</v>
      </c>
      <c r="G450" s="240">
        <v>47</v>
      </c>
      <c r="H450" s="242"/>
      <c r="I450" s="240">
        <f>G450+H450</f>
        <v>47</v>
      </c>
      <c r="J450" s="75">
        <v>47</v>
      </c>
    </row>
    <row r="451" spans="1:10" s="29" customFormat="1" ht="12.75" x14ac:dyDescent="0.2">
      <c r="A451" s="4" t="s">
        <v>78</v>
      </c>
      <c r="B451" s="3" t="s">
        <v>211</v>
      </c>
      <c r="C451" s="3" t="s">
        <v>72</v>
      </c>
      <c r="D451" s="3"/>
      <c r="E451" s="3"/>
      <c r="F451" s="3"/>
      <c r="G451" s="240">
        <f>G452+G475</f>
        <v>46945.297709999999</v>
      </c>
      <c r="H451" s="240">
        <f>H452+H475</f>
        <v>-155.26249000000001</v>
      </c>
      <c r="I451" s="240">
        <f>I452+I475</f>
        <v>46790.035220000005</v>
      </c>
      <c r="J451" s="75"/>
    </row>
    <row r="452" spans="1:10" s="29" customFormat="1" ht="12.75" x14ac:dyDescent="0.2">
      <c r="A452" s="4" t="s">
        <v>77</v>
      </c>
      <c r="B452" s="3" t="s">
        <v>211</v>
      </c>
      <c r="C452" s="3" t="s">
        <v>72</v>
      </c>
      <c r="D452" s="3" t="s">
        <v>15</v>
      </c>
      <c r="E452" s="3"/>
      <c r="F452" s="3"/>
      <c r="G452" s="240">
        <f>G453</f>
        <v>38418.882119999995</v>
      </c>
      <c r="H452" s="240">
        <f t="shared" ref="H452:I452" si="197">H453</f>
        <v>-255.26249000000001</v>
      </c>
      <c r="I452" s="240">
        <f t="shared" si="197"/>
        <v>38163.619630000001</v>
      </c>
      <c r="J452" s="75"/>
    </row>
    <row r="453" spans="1:10" s="29" customFormat="1" ht="48" x14ac:dyDescent="0.2">
      <c r="A453" s="4" t="s">
        <v>375</v>
      </c>
      <c r="B453" s="3" t="s">
        <v>211</v>
      </c>
      <c r="C453" s="3" t="s">
        <v>72</v>
      </c>
      <c r="D453" s="3" t="s">
        <v>15</v>
      </c>
      <c r="E453" s="3" t="s">
        <v>41</v>
      </c>
      <c r="F453" s="3"/>
      <c r="G453" s="242">
        <f>G454+G463+G472</f>
        <v>38418.882119999995</v>
      </c>
      <c r="H453" s="242">
        <f t="shared" ref="H453:I453" si="198">H454+H463+H472</f>
        <v>-255.26249000000001</v>
      </c>
      <c r="I453" s="242">
        <f t="shared" si="198"/>
        <v>38163.619630000001</v>
      </c>
      <c r="J453" s="75"/>
    </row>
    <row r="454" spans="1:10" s="29" customFormat="1" ht="36" x14ac:dyDescent="0.2">
      <c r="A454" s="4" t="s">
        <v>40</v>
      </c>
      <c r="B454" s="3" t="s">
        <v>211</v>
      </c>
      <c r="C454" s="3" t="s">
        <v>72</v>
      </c>
      <c r="D454" s="3" t="s">
        <v>15</v>
      </c>
      <c r="E454" s="3" t="s">
        <v>308</v>
      </c>
      <c r="F454" s="3"/>
      <c r="G454" s="242">
        <f>G455+G459+G457+G461</f>
        <v>25710.744719999999</v>
      </c>
      <c r="H454" s="242">
        <f t="shared" ref="H454:I454" si="199">H455+H459+H457+H461</f>
        <v>-50.796350000000004</v>
      </c>
      <c r="I454" s="242">
        <f t="shared" si="199"/>
        <v>25659.948369999998</v>
      </c>
      <c r="J454" s="75"/>
    </row>
    <row r="455" spans="1:10" s="29" customFormat="1" ht="24" x14ac:dyDescent="0.2">
      <c r="A455" s="4" t="s">
        <v>315</v>
      </c>
      <c r="B455" s="3" t="s">
        <v>211</v>
      </c>
      <c r="C455" s="3" t="s">
        <v>72</v>
      </c>
      <c r="D455" s="3" t="s">
        <v>15</v>
      </c>
      <c r="E455" s="3" t="s">
        <v>39</v>
      </c>
      <c r="F455" s="3"/>
      <c r="G455" s="242">
        <f>G456</f>
        <v>20998.159459999999</v>
      </c>
      <c r="H455" s="242">
        <f t="shared" ref="H455:I455" si="200">H456</f>
        <v>1.03559</v>
      </c>
      <c r="I455" s="242">
        <f t="shared" si="200"/>
        <v>20999.195049999998</v>
      </c>
      <c r="J455" s="75"/>
    </row>
    <row r="456" spans="1:10" s="29" customFormat="1" ht="36" x14ac:dyDescent="0.2">
      <c r="A456" s="4" t="s">
        <v>29</v>
      </c>
      <c r="B456" s="3" t="s">
        <v>211</v>
      </c>
      <c r="C456" s="3" t="s">
        <v>72</v>
      </c>
      <c r="D456" s="3" t="s">
        <v>15</v>
      </c>
      <c r="E456" s="3" t="s">
        <v>39</v>
      </c>
      <c r="F456" s="3" t="s">
        <v>26</v>
      </c>
      <c r="G456" s="240">
        <v>20998.159459999999</v>
      </c>
      <c r="H456" s="242">
        <f>0.45809+0.5775</f>
        <v>1.03559</v>
      </c>
      <c r="I456" s="240">
        <f>G456+H456</f>
        <v>20999.195049999998</v>
      </c>
      <c r="J456" s="75">
        <v>20998.159459999999</v>
      </c>
    </row>
    <row r="457" spans="1:10" s="29" customFormat="1" ht="24" x14ac:dyDescent="0.2">
      <c r="A457" s="4" t="s">
        <v>527</v>
      </c>
      <c r="B457" s="3" t="s">
        <v>211</v>
      </c>
      <c r="C457" s="3" t="s">
        <v>72</v>
      </c>
      <c r="D457" s="3" t="s">
        <v>15</v>
      </c>
      <c r="E457" s="3" t="s">
        <v>526</v>
      </c>
      <c r="F457" s="3"/>
      <c r="G457" s="240">
        <f>G458</f>
        <v>676.77</v>
      </c>
      <c r="H457" s="240">
        <f t="shared" ref="H457:I457" si="201">H458</f>
        <v>0</v>
      </c>
      <c r="I457" s="240">
        <f t="shared" si="201"/>
        <v>676.77</v>
      </c>
      <c r="J457" s="75"/>
    </row>
    <row r="458" spans="1:10" s="29" customFormat="1" ht="36" x14ac:dyDescent="0.2">
      <c r="A458" s="4" t="s">
        <v>29</v>
      </c>
      <c r="B458" s="3" t="s">
        <v>211</v>
      </c>
      <c r="C458" s="3" t="s">
        <v>72</v>
      </c>
      <c r="D458" s="3" t="s">
        <v>15</v>
      </c>
      <c r="E458" s="3" t="s">
        <v>526</v>
      </c>
      <c r="F458" s="3" t="s">
        <v>26</v>
      </c>
      <c r="G458" s="240">
        <v>676.77</v>
      </c>
      <c r="H458" s="242"/>
      <c r="I458" s="240">
        <f t="shared" ref="I458" si="202">G458+H458</f>
        <v>676.77</v>
      </c>
      <c r="J458" s="75">
        <v>676.77</v>
      </c>
    </row>
    <row r="459" spans="1:10" s="29" customFormat="1" ht="48" x14ac:dyDescent="0.2">
      <c r="A459" s="4" t="s">
        <v>528</v>
      </c>
      <c r="B459" s="3" t="s">
        <v>211</v>
      </c>
      <c r="C459" s="3" t="s">
        <v>72</v>
      </c>
      <c r="D459" s="3" t="s">
        <v>15</v>
      </c>
      <c r="E459" s="3" t="s">
        <v>529</v>
      </c>
      <c r="F459" s="3"/>
      <c r="G459" s="240">
        <f>G460</f>
        <v>1742.75422</v>
      </c>
      <c r="H459" s="240">
        <f t="shared" ref="H459:I459" si="203">H460</f>
        <v>-28.91846</v>
      </c>
      <c r="I459" s="240">
        <f t="shared" si="203"/>
        <v>1713.8357599999999</v>
      </c>
      <c r="J459" s="75"/>
    </row>
    <row r="460" spans="1:10" s="29" customFormat="1" ht="36" x14ac:dyDescent="0.2">
      <c r="A460" s="4" t="s">
        <v>29</v>
      </c>
      <c r="B460" s="3" t="s">
        <v>211</v>
      </c>
      <c r="C460" s="3" t="s">
        <v>72</v>
      </c>
      <c r="D460" s="3" t="s">
        <v>15</v>
      </c>
      <c r="E460" s="3" t="s">
        <v>529</v>
      </c>
      <c r="F460" s="3" t="s">
        <v>26</v>
      </c>
      <c r="G460" s="240">
        <v>1742.75422</v>
      </c>
      <c r="H460" s="242">
        <f>-28.34096-0.5775</f>
        <v>-28.91846</v>
      </c>
      <c r="I460" s="240">
        <f t="shared" ref="I460" si="204">G460+H460</f>
        <v>1713.8357599999999</v>
      </c>
      <c r="J460" s="75">
        <v>1742.75422</v>
      </c>
    </row>
    <row r="461" spans="1:10" s="29" customFormat="1" ht="36" x14ac:dyDescent="0.2">
      <c r="A461" s="4" t="s">
        <v>531</v>
      </c>
      <c r="B461" s="3" t="s">
        <v>211</v>
      </c>
      <c r="C461" s="3" t="s">
        <v>72</v>
      </c>
      <c r="D461" s="3" t="s">
        <v>15</v>
      </c>
      <c r="E461" s="3" t="s">
        <v>532</v>
      </c>
      <c r="F461" s="3"/>
      <c r="G461" s="240">
        <f>G462</f>
        <v>2293.06104</v>
      </c>
      <c r="H461" s="240">
        <f t="shared" ref="H461:I461" si="205">H462</f>
        <v>-22.91348</v>
      </c>
      <c r="I461" s="240">
        <f t="shared" si="205"/>
        <v>2270.1475599999999</v>
      </c>
      <c r="J461" s="75"/>
    </row>
    <row r="462" spans="1:10" s="29" customFormat="1" ht="36" x14ac:dyDescent="0.2">
      <c r="A462" s="4" t="s">
        <v>29</v>
      </c>
      <c r="B462" s="3" t="s">
        <v>211</v>
      </c>
      <c r="C462" s="3" t="s">
        <v>72</v>
      </c>
      <c r="D462" s="3" t="s">
        <v>15</v>
      </c>
      <c r="E462" s="3" t="s">
        <v>532</v>
      </c>
      <c r="F462" s="3" t="s">
        <v>26</v>
      </c>
      <c r="G462" s="240">
        <v>2293.06104</v>
      </c>
      <c r="H462" s="242">
        <f>-22.45539-0.45809</f>
        <v>-22.91348</v>
      </c>
      <c r="I462" s="240">
        <f t="shared" ref="I462" si="206">G462+H462</f>
        <v>2270.1475599999999</v>
      </c>
      <c r="J462" s="75">
        <v>2293.06104</v>
      </c>
    </row>
    <row r="463" spans="1:10" s="29" customFormat="1" ht="36" x14ac:dyDescent="0.2">
      <c r="A463" s="4" t="s">
        <v>239</v>
      </c>
      <c r="B463" s="3" t="s">
        <v>211</v>
      </c>
      <c r="C463" s="3" t="s">
        <v>72</v>
      </c>
      <c r="D463" s="3" t="s">
        <v>15</v>
      </c>
      <c r="E463" s="3" t="s">
        <v>316</v>
      </c>
      <c r="F463" s="3"/>
      <c r="G463" s="242">
        <f>G464+G466+G468+G470</f>
        <v>12503.671259999999</v>
      </c>
      <c r="H463" s="242">
        <f t="shared" ref="H463:I463" si="207">H464+H466+H468+H470</f>
        <v>0</v>
      </c>
      <c r="I463" s="242">
        <f t="shared" si="207"/>
        <v>12503.671259999999</v>
      </c>
      <c r="J463" s="75"/>
    </row>
    <row r="464" spans="1:10" s="29" customFormat="1" ht="36" x14ac:dyDescent="0.2">
      <c r="A464" s="4" t="s">
        <v>318</v>
      </c>
      <c r="B464" s="3" t="s">
        <v>211</v>
      </c>
      <c r="C464" s="3" t="s">
        <v>72</v>
      </c>
      <c r="D464" s="3" t="s">
        <v>15</v>
      </c>
      <c r="E464" s="3" t="s">
        <v>317</v>
      </c>
      <c r="F464" s="3"/>
      <c r="G464" s="242">
        <f>G465</f>
        <v>12392.769</v>
      </c>
      <c r="H464" s="242">
        <f t="shared" ref="H464:I464" si="208">H465</f>
        <v>0</v>
      </c>
      <c r="I464" s="242">
        <f t="shared" si="208"/>
        <v>12392.769</v>
      </c>
      <c r="J464" s="75"/>
    </row>
    <row r="465" spans="1:10" s="29" customFormat="1" ht="36" x14ac:dyDescent="0.2">
      <c r="A465" s="4" t="s">
        <v>29</v>
      </c>
      <c r="B465" s="3" t="s">
        <v>211</v>
      </c>
      <c r="C465" s="3" t="s">
        <v>72</v>
      </c>
      <c r="D465" s="3" t="s">
        <v>15</v>
      </c>
      <c r="E465" s="3" t="s">
        <v>317</v>
      </c>
      <c r="F465" s="3" t="s">
        <v>26</v>
      </c>
      <c r="G465" s="240">
        <v>12392.769</v>
      </c>
      <c r="H465" s="242"/>
      <c r="I465" s="240">
        <f>G465+H465</f>
        <v>12392.769</v>
      </c>
      <c r="J465" s="75">
        <v>12392.769</v>
      </c>
    </row>
    <row r="466" spans="1:10" s="29" customFormat="1" ht="12.75" hidden="1" x14ac:dyDescent="0.2">
      <c r="A466" s="7" t="s">
        <v>530</v>
      </c>
      <c r="B466" s="3" t="s">
        <v>211</v>
      </c>
      <c r="C466" s="3" t="s">
        <v>72</v>
      </c>
      <c r="D466" s="3" t="s">
        <v>15</v>
      </c>
      <c r="E466" s="3" t="s">
        <v>581</v>
      </c>
      <c r="F466" s="3"/>
      <c r="G466" s="240">
        <f>G467</f>
        <v>0</v>
      </c>
      <c r="H466" s="240">
        <f t="shared" ref="H466:I470" si="209">H467</f>
        <v>0</v>
      </c>
      <c r="I466" s="240">
        <f t="shared" si="209"/>
        <v>0</v>
      </c>
      <c r="J466" s="75"/>
    </row>
    <row r="467" spans="1:10" s="29" customFormat="1" ht="36" hidden="1" x14ac:dyDescent="0.2">
      <c r="A467" s="7" t="s">
        <v>29</v>
      </c>
      <c r="B467" s="3" t="s">
        <v>211</v>
      </c>
      <c r="C467" s="3" t="s">
        <v>72</v>
      </c>
      <c r="D467" s="3" t="s">
        <v>15</v>
      </c>
      <c r="E467" s="3" t="s">
        <v>581</v>
      </c>
      <c r="F467" s="3" t="s">
        <v>26</v>
      </c>
      <c r="G467" s="240"/>
      <c r="H467" s="242"/>
      <c r="I467" s="240">
        <f t="shared" ref="I467" si="210">G467+H467</f>
        <v>0</v>
      </c>
      <c r="J467" s="75"/>
    </row>
    <row r="468" spans="1:10" s="29" customFormat="1" ht="24" x14ac:dyDescent="0.2">
      <c r="A468" s="7" t="s">
        <v>628</v>
      </c>
      <c r="B468" s="3" t="s">
        <v>211</v>
      </c>
      <c r="C468" s="3" t="s">
        <v>72</v>
      </c>
      <c r="D468" s="3" t="s">
        <v>15</v>
      </c>
      <c r="E468" s="3" t="s">
        <v>604</v>
      </c>
      <c r="F468" s="3"/>
      <c r="G468" s="240">
        <f>G469</f>
        <v>6.9710000000000001</v>
      </c>
      <c r="H468" s="240">
        <f t="shared" si="209"/>
        <v>0</v>
      </c>
      <c r="I468" s="240">
        <f t="shared" si="209"/>
        <v>6.9710000000000001</v>
      </c>
      <c r="J468" s="75"/>
    </row>
    <row r="469" spans="1:10" s="29" customFormat="1" ht="36" x14ac:dyDescent="0.2">
      <c r="A469" s="7" t="s">
        <v>29</v>
      </c>
      <c r="B469" s="3" t="s">
        <v>211</v>
      </c>
      <c r="C469" s="3" t="s">
        <v>72</v>
      </c>
      <c r="D469" s="3" t="s">
        <v>15</v>
      </c>
      <c r="E469" s="3" t="s">
        <v>604</v>
      </c>
      <c r="F469" s="3" t="s">
        <v>26</v>
      </c>
      <c r="G469" s="240">
        <v>6.9710000000000001</v>
      </c>
      <c r="H469" s="242"/>
      <c r="I469" s="240">
        <f t="shared" ref="I469" si="211">G469+H469</f>
        <v>6.9710000000000001</v>
      </c>
      <c r="J469" s="75">
        <v>6.9710000000000001</v>
      </c>
    </row>
    <row r="470" spans="1:10" s="29" customFormat="1" ht="36" x14ac:dyDescent="0.2">
      <c r="A470" s="7" t="s">
        <v>629</v>
      </c>
      <c r="B470" s="3" t="s">
        <v>211</v>
      </c>
      <c r="C470" s="3" t="s">
        <v>72</v>
      </c>
      <c r="D470" s="3" t="s">
        <v>15</v>
      </c>
      <c r="E470" s="3" t="s">
        <v>605</v>
      </c>
      <c r="F470" s="3"/>
      <c r="G470" s="240">
        <f>G471</f>
        <v>103.93125999999999</v>
      </c>
      <c r="H470" s="240">
        <f t="shared" si="209"/>
        <v>0</v>
      </c>
      <c r="I470" s="240">
        <f t="shared" si="209"/>
        <v>103.93125999999999</v>
      </c>
      <c r="J470" s="75"/>
    </row>
    <row r="471" spans="1:10" s="29" customFormat="1" ht="36" x14ac:dyDescent="0.2">
      <c r="A471" s="7" t="s">
        <v>29</v>
      </c>
      <c r="B471" s="3" t="s">
        <v>211</v>
      </c>
      <c r="C471" s="3" t="s">
        <v>72</v>
      </c>
      <c r="D471" s="3" t="s">
        <v>15</v>
      </c>
      <c r="E471" s="3" t="s">
        <v>605</v>
      </c>
      <c r="F471" s="3" t="s">
        <v>26</v>
      </c>
      <c r="G471" s="240">
        <v>103.93125999999999</v>
      </c>
      <c r="H471" s="242"/>
      <c r="I471" s="240">
        <f t="shared" ref="I471" si="212">G471+H471</f>
        <v>103.93125999999999</v>
      </c>
      <c r="J471" s="75">
        <v>103.93125999999999</v>
      </c>
    </row>
    <row r="472" spans="1:10" s="29" customFormat="1" ht="24" x14ac:dyDescent="0.2">
      <c r="A472" s="4" t="s">
        <v>626</v>
      </c>
      <c r="B472" s="3" t="s">
        <v>211</v>
      </c>
      <c r="C472" s="3" t="s">
        <v>72</v>
      </c>
      <c r="D472" s="3" t="s">
        <v>15</v>
      </c>
      <c r="E472" s="3" t="s">
        <v>627</v>
      </c>
      <c r="F472" s="3"/>
      <c r="G472" s="240">
        <f>G473</f>
        <v>204.46614</v>
      </c>
      <c r="H472" s="240">
        <f t="shared" ref="H472:I473" si="213">H473</f>
        <v>-204.46614</v>
      </c>
      <c r="I472" s="240">
        <f t="shared" si="213"/>
        <v>0</v>
      </c>
      <c r="J472" s="75"/>
    </row>
    <row r="473" spans="1:10" s="29" customFormat="1" ht="24" x14ac:dyDescent="0.2">
      <c r="A473" s="4" t="s">
        <v>607</v>
      </c>
      <c r="B473" s="3" t="s">
        <v>211</v>
      </c>
      <c r="C473" s="3" t="s">
        <v>72</v>
      </c>
      <c r="D473" s="3" t="s">
        <v>15</v>
      </c>
      <c r="E473" s="3" t="s">
        <v>606</v>
      </c>
      <c r="F473" s="3"/>
      <c r="G473" s="240">
        <f>G474</f>
        <v>204.46614</v>
      </c>
      <c r="H473" s="240">
        <f t="shared" si="213"/>
        <v>-204.46614</v>
      </c>
      <c r="I473" s="240">
        <f t="shared" si="213"/>
        <v>0</v>
      </c>
      <c r="J473" s="75"/>
    </row>
    <row r="474" spans="1:10" s="29" customFormat="1" ht="36" x14ac:dyDescent="0.2">
      <c r="A474" s="4" t="s">
        <v>29</v>
      </c>
      <c r="B474" s="3" t="s">
        <v>211</v>
      </c>
      <c r="C474" s="3" t="s">
        <v>72</v>
      </c>
      <c r="D474" s="3" t="s">
        <v>15</v>
      </c>
      <c r="E474" s="3" t="s">
        <v>606</v>
      </c>
      <c r="F474" s="3" t="s">
        <v>26</v>
      </c>
      <c r="G474" s="240">
        <v>204.46614</v>
      </c>
      <c r="H474" s="242">
        <v>-204.46614</v>
      </c>
      <c r="I474" s="240">
        <f t="shared" ref="I474" si="214">G474+H474</f>
        <v>0</v>
      </c>
      <c r="J474" s="75">
        <v>204.46614</v>
      </c>
    </row>
    <row r="475" spans="1:10" s="29" customFormat="1" ht="24" x14ac:dyDescent="0.2">
      <c r="A475" s="4" t="s">
        <v>76</v>
      </c>
      <c r="B475" s="3" t="s">
        <v>211</v>
      </c>
      <c r="C475" s="3" t="s">
        <v>72</v>
      </c>
      <c r="D475" s="3" t="s">
        <v>59</v>
      </c>
      <c r="E475" s="3"/>
      <c r="F475" s="3"/>
      <c r="G475" s="240">
        <f>G476+G482+G491</f>
        <v>8526.4155900000005</v>
      </c>
      <c r="H475" s="240">
        <f t="shared" ref="H475:I475" si="215">H476+H482+H491</f>
        <v>100</v>
      </c>
      <c r="I475" s="240">
        <f t="shared" si="215"/>
        <v>8626.4155900000005</v>
      </c>
      <c r="J475" s="75"/>
    </row>
    <row r="476" spans="1:10" s="29" customFormat="1" ht="96" x14ac:dyDescent="0.2">
      <c r="A476" s="7" t="s">
        <v>319</v>
      </c>
      <c r="B476" s="3" t="s">
        <v>211</v>
      </c>
      <c r="C476" s="3" t="s">
        <v>72</v>
      </c>
      <c r="D476" s="3" t="s">
        <v>59</v>
      </c>
      <c r="E476" s="3" t="s">
        <v>609</v>
      </c>
      <c r="F476" s="3"/>
      <c r="G476" s="240">
        <f>G477+G480</f>
        <v>1628.0509999999999</v>
      </c>
      <c r="H476" s="240">
        <f t="shared" ref="H476:I476" si="216">H477+H480</f>
        <v>0</v>
      </c>
      <c r="I476" s="240">
        <f t="shared" si="216"/>
        <v>1628.0509999999999</v>
      </c>
      <c r="J476" s="75"/>
    </row>
    <row r="477" spans="1:10" s="29" customFormat="1" ht="36" x14ac:dyDescent="0.2">
      <c r="A477" s="7" t="s">
        <v>320</v>
      </c>
      <c r="B477" s="3" t="s">
        <v>211</v>
      </c>
      <c r="C477" s="3" t="s">
        <v>72</v>
      </c>
      <c r="D477" s="3" t="s">
        <v>59</v>
      </c>
      <c r="E477" s="3" t="s">
        <v>510</v>
      </c>
      <c r="F477" s="3"/>
      <c r="G477" s="240">
        <f t="shared" ref="G477:I478" si="217">G478</f>
        <v>1613.0591199999999</v>
      </c>
      <c r="H477" s="240">
        <f t="shared" si="217"/>
        <v>0</v>
      </c>
      <c r="I477" s="240">
        <f t="shared" si="217"/>
        <v>1613.0591199999999</v>
      </c>
      <c r="J477" s="75"/>
    </row>
    <row r="478" spans="1:10" s="29" customFormat="1" ht="24" x14ac:dyDescent="0.2">
      <c r="A478" s="4" t="s">
        <v>74</v>
      </c>
      <c r="B478" s="3" t="s">
        <v>211</v>
      </c>
      <c r="C478" s="3" t="s">
        <v>72</v>
      </c>
      <c r="D478" s="3" t="s">
        <v>59</v>
      </c>
      <c r="E478" s="3" t="s">
        <v>511</v>
      </c>
      <c r="F478" s="3"/>
      <c r="G478" s="242">
        <f t="shared" si="217"/>
        <v>1613.0591199999999</v>
      </c>
      <c r="H478" s="242">
        <f t="shared" si="217"/>
        <v>0</v>
      </c>
      <c r="I478" s="242">
        <f t="shared" si="217"/>
        <v>1613.0591199999999</v>
      </c>
      <c r="J478" s="75"/>
    </row>
    <row r="479" spans="1:10" s="29" customFormat="1" ht="60" x14ac:dyDescent="0.2">
      <c r="A479" s="4" t="s">
        <v>38</v>
      </c>
      <c r="B479" s="3" t="s">
        <v>211</v>
      </c>
      <c r="C479" s="3" t="s">
        <v>72</v>
      </c>
      <c r="D479" s="3" t="s">
        <v>59</v>
      </c>
      <c r="E479" s="3" t="s">
        <v>511</v>
      </c>
      <c r="F479" s="3" t="s">
        <v>34</v>
      </c>
      <c r="G479" s="240">
        <v>1613.0591199999999</v>
      </c>
      <c r="H479" s="242"/>
      <c r="I479" s="240">
        <f>G479+H479</f>
        <v>1613.0591199999999</v>
      </c>
      <c r="J479" s="75">
        <f>1238.9087+374.15042</f>
        <v>1613.0591199999999</v>
      </c>
    </row>
    <row r="480" spans="1:10" s="29" customFormat="1" ht="24" x14ac:dyDescent="0.2">
      <c r="A480" s="4" t="s">
        <v>527</v>
      </c>
      <c r="B480" s="3" t="s">
        <v>211</v>
      </c>
      <c r="C480" s="3" t="s">
        <v>72</v>
      </c>
      <c r="D480" s="3" t="s">
        <v>59</v>
      </c>
      <c r="E480" s="3" t="s">
        <v>608</v>
      </c>
      <c r="F480" s="3"/>
      <c r="G480" s="244">
        <f t="shared" ref="G480:I480" si="218">G481</f>
        <v>14.99188</v>
      </c>
      <c r="H480" s="244">
        <f t="shared" si="218"/>
        <v>0</v>
      </c>
      <c r="I480" s="244">
        <f t="shared" si="218"/>
        <v>14.99188</v>
      </c>
      <c r="J480" s="75"/>
    </row>
    <row r="481" spans="1:10" s="29" customFormat="1" ht="60" x14ac:dyDescent="0.2">
      <c r="A481" s="4" t="s">
        <v>38</v>
      </c>
      <c r="B481" s="3" t="s">
        <v>211</v>
      </c>
      <c r="C481" s="3" t="s">
        <v>72</v>
      </c>
      <c r="D481" s="3" t="s">
        <v>59</v>
      </c>
      <c r="E481" s="3" t="s">
        <v>608</v>
      </c>
      <c r="F481" s="3" t="s">
        <v>34</v>
      </c>
      <c r="G481" s="240">
        <v>14.99188</v>
      </c>
      <c r="H481" s="244"/>
      <c r="I481" s="240">
        <f>G481+H481</f>
        <v>14.99188</v>
      </c>
      <c r="J481" s="75">
        <f>11.5145+3.47738</f>
        <v>14.99188</v>
      </c>
    </row>
    <row r="482" spans="1:10" s="29" customFormat="1" ht="48" x14ac:dyDescent="0.2">
      <c r="A482" s="4" t="s">
        <v>610</v>
      </c>
      <c r="B482" s="3" t="s">
        <v>211</v>
      </c>
      <c r="C482" s="3" t="s">
        <v>72</v>
      </c>
      <c r="D482" s="3" t="s">
        <v>59</v>
      </c>
      <c r="E482" s="3" t="s">
        <v>611</v>
      </c>
      <c r="F482" s="3"/>
      <c r="G482" s="240">
        <f>G483+G489</f>
        <v>6898.3645900000001</v>
      </c>
      <c r="H482" s="240">
        <f>H483+H489</f>
        <v>0</v>
      </c>
      <c r="I482" s="240">
        <f t="shared" ref="I482:I490" si="219">G482+H482</f>
        <v>6898.3645900000001</v>
      </c>
      <c r="J482" s="75"/>
    </row>
    <row r="483" spans="1:10" s="29" customFormat="1" ht="36" x14ac:dyDescent="0.2">
      <c r="A483" s="4" t="s">
        <v>613</v>
      </c>
      <c r="B483" s="3" t="s">
        <v>211</v>
      </c>
      <c r="C483" s="3" t="s">
        <v>72</v>
      </c>
      <c r="D483" s="3" t="s">
        <v>59</v>
      </c>
      <c r="E483" s="3" t="s">
        <v>614</v>
      </c>
      <c r="F483" s="3"/>
      <c r="G483" s="240">
        <f>G484+G486</f>
        <v>6456.1570400000001</v>
      </c>
      <c r="H483" s="240">
        <f>H484+H486</f>
        <v>0</v>
      </c>
      <c r="I483" s="240">
        <f t="shared" si="219"/>
        <v>6456.1570400000001</v>
      </c>
      <c r="J483" s="75"/>
    </row>
    <row r="484" spans="1:10" s="29" customFormat="1" ht="24" x14ac:dyDescent="0.2">
      <c r="A484" s="4" t="s">
        <v>617</v>
      </c>
      <c r="B484" s="3" t="s">
        <v>211</v>
      </c>
      <c r="C484" s="3" t="s">
        <v>72</v>
      </c>
      <c r="D484" s="3" t="s">
        <v>59</v>
      </c>
      <c r="E484" s="3" t="s">
        <v>612</v>
      </c>
      <c r="F484" s="3"/>
      <c r="G484" s="240">
        <f>G485</f>
        <v>4820.79054</v>
      </c>
      <c r="H484" s="240">
        <f>H485</f>
        <v>0</v>
      </c>
      <c r="I484" s="240">
        <f t="shared" si="219"/>
        <v>4820.79054</v>
      </c>
      <c r="J484" s="75"/>
    </row>
    <row r="485" spans="1:10" s="29" customFormat="1" ht="60" x14ac:dyDescent="0.2">
      <c r="A485" s="4" t="s">
        <v>38</v>
      </c>
      <c r="B485" s="3" t="s">
        <v>211</v>
      </c>
      <c r="C485" s="3" t="s">
        <v>72</v>
      </c>
      <c r="D485" s="3" t="s">
        <v>59</v>
      </c>
      <c r="E485" s="3" t="s">
        <v>612</v>
      </c>
      <c r="F485" s="3" t="s">
        <v>34</v>
      </c>
      <c r="G485" s="240">
        <v>4820.79054</v>
      </c>
      <c r="H485" s="240"/>
      <c r="I485" s="240">
        <f t="shared" si="219"/>
        <v>4820.79054</v>
      </c>
      <c r="J485" s="75">
        <f>3702.60451+1118.18603</f>
        <v>4820.79054</v>
      </c>
    </row>
    <row r="486" spans="1:10" s="29" customFormat="1" ht="24" x14ac:dyDescent="0.2">
      <c r="A486" s="7" t="s">
        <v>615</v>
      </c>
      <c r="B486" s="3" t="s">
        <v>211</v>
      </c>
      <c r="C486" s="3" t="s">
        <v>72</v>
      </c>
      <c r="D486" s="3" t="s">
        <v>59</v>
      </c>
      <c r="E486" s="3" t="s">
        <v>616</v>
      </c>
      <c r="F486" s="3"/>
      <c r="G486" s="240">
        <f>G487+G488</f>
        <v>1635.3665000000001</v>
      </c>
      <c r="H486" s="240">
        <f>H487+H488</f>
        <v>0</v>
      </c>
      <c r="I486" s="240">
        <f t="shared" si="219"/>
        <v>1635.3665000000001</v>
      </c>
      <c r="J486" s="75"/>
    </row>
    <row r="487" spans="1:10" s="29" customFormat="1" ht="24" x14ac:dyDescent="0.2">
      <c r="A487" s="4" t="s">
        <v>47</v>
      </c>
      <c r="B487" s="3" t="s">
        <v>211</v>
      </c>
      <c r="C487" s="3" t="s">
        <v>72</v>
      </c>
      <c r="D487" s="3" t="s">
        <v>59</v>
      </c>
      <c r="E487" s="3" t="s">
        <v>616</v>
      </c>
      <c r="F487" s="3" t="s">
        <v>51</v>
      </c>
      <c r="G487" s="240">
        <v>1585.6265000000001</v>
      </c>
      <c r="H487" s="240"/>
      <c r="I487" s="240">
        <f t="shared" si="219"/>
        <v>1585.6265000000001</v>
      </c>
      <c r="J487" s="75">
        <v>1585.6265000000001</v>
      </c>
    </row>
    <row r="488" spans="1:10" s="29" customFormat="1" ht="24" x14ac:dyDescent="0.2">
      <c r="A488" s="7" t="s">
        <v>73</v>
      </c>
      <c r="B488" s="3" t="s">
        <v>211</v>
      </c>
      <c r="C488" s="3" t="s">
        <v>72</v>
      </c>
      <c r="D488" s="3" t="s">
        <v>59</v>
      </c>
      <c r="E488" s="3" t="s">
        <v>616</v>
      </c>
      <c r="F488" s="3" t="s">
        <v>80</v>
      </c>
      <c r="G488" s="240">
        <v>49.74</v>
      </c>
      <c r="H488" s="240"/>
      <c r="I488" s="240">
        <f t="shared" si="219"/>
        <v>49.74</v>
      </c>
      <c r="J488" s="75">
        <f>24.94+10.2+14.6</f>
        <v>49.74</v>
      </c>
    </row>
    <row r="489" spans="1:10" s="29" customFormat="1" ht="24" x14ac:dyDescent="0.2">
      <c r="A489" s="7" t="s">
        <v>527</v>
      </c>
      <c r="B489" s="3" t="s">
        <v>211</v>
      </c>
      <c r="C489" s="3" t="s">
        <v>72</v>
      </c>
      <c r="D489" s="3" t="s">
        <v>59</v>
      </c>
      <c r="E489" s="3" t="s">
        <v>618</v>
      </c>
      <c r="F489" s="3"/>
      <c r="G489" s="240">
        <f>G490</f>
        <v>442.20755000000003</v>
      </c>
      <c r="H489" s="240">
        <f>H490</f>
        <v>0</v>
      </c>
      <c r="I489" s="240">
        <f t="shared" si="219"/>
        <v>442.20755000000003</v>
      </c>
      <c r="J489" s="75"/>
    </row>
    <row r="490" spans="1:10" s="29" customFormat="1" ht="60" x14ac:dyDescent="0.2">
      <c r="A490" s="4" t="s">
        <v>38</v>
      </c>
      <c r="B490" s="3" t="s">
        <v>211</v>
      </c>
      <c r="C490" s="3" t="s">
        <v>72</v>
      </c>
      <c r="D490" s="3" t="s">
        <v>59</v>
      </c>
      <c r="E490" s="3" t="s">
        <v>618</v>
      </c>
      <c r="F490" s="3" t="s">
        <v>34</v>
      </c>
      <c r="G490" s="240">
        <v>442.20755000000003</v>
      </c>
      <c r="H490" s="240"/>
      <c r="I490" s="240">
        <f t="shared" si="219"/>
        <v>442.20755000000003</v>
      </c>
      <c r="J490" s="75">
        <f>339.637+102.57055</f>
        <v>442.20754999999997</v>
      </c>
    </row>
    <row r="491" spans="1:10" ht="12.75" x14ac:dyDescent="0.2">
      <c r="A491" s="4" t="s">
        <v>46</v>
      </c>
      <c r="B491" s="3" t="s">
        <v>211</v>
      </c>
      <c r="C491" s="3" t="s">
        <v>72</v>
      </c>
      <c r="D491" s="3" t="s">
        <v>59</v>
      </c>
      <c r="E491" s="3" t="s">
        <v>44</v>
      </c>
      <c r="F491" s="3"/>
      <c r="G491" s="240">
        <f>G492</f>
        <v>0</v>
      </c>
      <c r="H491" s="240">
        <f>H492</f>
        <v>100</v>
      </c>
      <c r="I491" s="240">
        <f>I492</f>
        <v>100</v>
      </c>
      <c r="J491" s="73"/>
    </row>
    <row r="492" spans="1:10" ht="24" x14ac:dyDescent="0.2">
      <c r="A492" s="4" t="s">
        <v>47</v>
      </c>
      <c r="B492" s="3" t="s">
        <v>211</v>
      </c>
      <c r="C492" s="3" t="s">
        <v>72</v>
      </c>
      <c r="D492" s="3" t="s">
        <v>59</v>
      </c>
      <c r="E492" s="3" t="s">
        <v>44</v>
      </c>
      <c r="F492" s="3" t="s">
        <v>51</v>
      </c>
      <c r="G492" s="240"/>
      <c r="H492" s="240">
        <v>100</v>
      </c>
      <c r="I492" s="240">
        <f>H492+G492</f>
        <v>100</v>
      </c>
      <c r="J492" s="73">
        <f>532.23</f>
        <v>532.23</v>
      </c>
    </row>
    <row r="493" spans="1:10" s="29" customFormat="1" ht="12.75" x14ac:dyDescent="0.2">
      <c r="A493" s="4" t="s">
        <v>66</v>
      </c>
      <c r="B493" s="3" t="s">
        <v>211</v>
      </c>
      <c r="C493" s="3" t="s">
        <v>54</v>
      </c>
      <c r="D493" s="3" t="s">
        <v>19</v>
      </c>
      <c r="E493" s="3"/>
      <c r="F493" s="3"/>
      <c r="G493" s="240">
        <f>G494</f>
        <v>119.8</v>
      </c>
      <c r="H493" s="240">
        <f t="shared" ref="G493:I497" si="220">H494</f>
        <v>0</v>
      </c>
      <c r="I493" s="240">
        <f t="shared" si="220"/>
        <v>119.8</v>
      </c>
      <c r="J493" s="75"/>
    </row>
    <row r="494" spans="1:10" s="29" customFormat="1" ht="12.75" x14ac:dyDescent="0.2">
      <c r="A494" s="4" t="s">
        <v>58</v>
      </c>
      <c r="B494" s="3" t="s">
        <v>211</v>
      </c>
      <c r="C494" s="3" t="s">
        <v>54</v>
      </c>
      <c r="D494" s="3" t="s">
        <v>53</v>
      </c>
      <c r="E494" s="3"/>
      <c r="F494" s="3"/>
      <c r="G494" s="240">
        <f t="shared" si="220"/>
        <v>119.8</v>
      </c>
      <c r="H494" s="240">
        <f t="shared" si="220"/>
        <v>0</v>
      </c>
      <c r="I494" s="240">
        <f t="shared" si="220"/>
        <v>119.8</v>
      </c>
      <c r="J494" s="75"/>
    </row>
    <row r="495" spans="1:10" s="29" customFormat="1" ht="60" x14ac:dyDescent="0.2">
      <c r="A495" s="4" t="s">
        <v>303</v>
      </c>
      <c r="B495" s="3" t="s">
        <v>211</v>
      </c>
      <c r="C495" s="3" t="s">
        <v>54</v>
      </c>
      <c r="D495" s="3" t="s">
        <v>53</v>
      </c>
      <c r="E495" s="3" t="s">
        <v>57</v>
      </c>
      <c r="F495" s="3"/>
      <c r="G495" s="240">
        <f t="shared" si="220"/>
        <v>119.8</v>
      </c>
      <c r="H495" s="240">
        <f t="shared" si="220"/>
        <v>0</v>
      </c>
      <c r="I495" s="240">
        <f t="shared" si="220"/>
        <v>119.8</v>
      </c>
      <c r="J495" s="75"/>
    </row>
    <row r="496" spans="1:10" s="29" customFormat="1" ht="36" x14ac:dyDescent="0.2">
      <c r="A496" s="4" t="s">
        <v>55</v>
      </c>
      <c r="B496" s="3" t="s">
        <v>211</v>
      </c>
      <c r="C496" s="3" t="s">
        <v>54</v>
      </c>
      <c r="D496" s="3" t="s">
        <v>53</v>
      </c>
      <c r="E496" s="3" t="s">
        <v>264</v>
      </c>
      <c r="F496" s="3"/>
      <c r="G496" s="240">
        <f t="shared" si="220"/>
        <v>119.8</v>
      </c>
      <c r="H496" s="240">
        <f t="shared" si="220"/>
        <v>0</v>
      </c>
      <c r="I496" s="240">
        <f t="shared" si="220"/>
        <v>119.8</v>
      </c>
      <c r="J496" s="75"/>
    </row>
    <row r="497" spans="1:10" s="29" customFormat="1" ht="36" x14ac:dyDescent="0.2">
      <c r="A497" s="4" t="s">
        <v>322</v>
      </c>
      <c r="B497" s="3" t="s">
        <v>211</v>
      </c>
      <c r="C497" s="3" t="s">
        <v>54</v>
      </c>
      <c r="D497" s="3" t="s">
        <v>53</v>
      </c>
      <c r="E497" s="3" t="s">
        <v>52</v>
      </c>
      <c r="F497" s="3"/>
      <c r="G497" s="240">
        <f t="shared" si="220"/>
        <v>119.8</v>
      </c>
      <c r="H497" s="240">
        <f t="shared" si="220"/>
        <v>0</v>
      </c>
      <c r="I497" s="240">
        <f t="shared" si="220"/>
        <v>119.8</v>
      </c>
      <c r="J497" s="75"/>
    </row>
    <row r="498" spans="1:10" s="29" customFormat="1" ht="24" x14ac:dyDescent="0.2">
      <c r="A498" s="4" t="s">
        <v>47</v>
      </c>
      <c r="B498" s="3" t="s">
        <v>211</v>
      </c>
      <c r="C498" s="3" t="s">
        <v>54</v>
      </c>
      <c r="D498" s="3" t="s">
        <v>53</v>
      </c>
      <c r="E498" s="3" t="s">
        <v>52</v>
      </c>
      <c r="F498" s="3" t="s">
        <v>51</v>
      </c>
      <c r="G498" s="240">
        <v>119.8</v>
      </c>
      <c r="H498" s="240"/>
      <c r="I498" s="240">
        <f>G498+H498</f>
        <v>119.8</v>
      </c>
      <c r="J498" s="75">
        <v>119.8</v>
      </c>
    </row>
    <row r="499" spans="1:10" s="29" customFormat="1" ht="12.75" x14ac:dyDescent="0.2">
      <c r="A499" s="4" t="s">
        <v>50</v>
      </c>
      <c r="B499" s="3" t="s">
        <v>211</v>
      </c>
      <c r="C499" s="3" t="s">
        <v>37</v>
      </c>
      <c r="D499" s="3"/>
      <c r="E499" s="3"/>
      <c r="F499" s="3"/>
      <c r="G499" s="240">
        <f>G500</f>
        <v>694</v>
      </c>
      <c r="H499" s="240">
        <f t="shared" ref="H499:I500" si="221">H500</f>
        <v>0</v>
      </c>
      <c r="I499" s="240">
        <f t="shared" si="221"/>
        <v>694</v>
      </c>
      <c r="J499" s="75"/>
    </row>
    <row r="500" spans="1:10" s="29" customFormat="1" ht="12.75" x14ac:dyDescent="0.2">
      <c r="A500" s="4" t="s">
        <v>49</v>
      </c>
      <c r="B500" s="3" t="s">
        <v>211</v>
      </c>
      <c r="C500" s="3" t="s">
        <v>37</v>
      </c>
      <c r="D500" s="3" t="s">
        <v>15</v>
      </c>
      <c r="E500" s="3"/>
      <c r="F500" s="3"/>
      <c r="G500" s="240">
        <f>G501</f>
        <v>694</v>
      </c>
      <c r="H500" s="240">
        <f t="shared" si="221"/>
        <v>0</v>
      </c>
      <c r="I500" s="240">
        <f t="shared" si="221"/>
        <v>694</v>
      </c>
      <c r="J500" s="75"/>
    </row>
    <row r="501" spans="1:10" s="29" customFormat="1" ht="48" x14ac:dyDescent="0.2">
      <c r="A501" s="4" t="s">
        <v>413</v>
      </c>
      <c r="B501" s="3" t="s">
        <v>211</v>
      </c>
      <c r="C501" s="3" t="s">
        <v>37</v>
      </c>
      <c r="D501" s="3" t="s">
        <v>15</v>
      </c>
      <c r="E501" s="3" t="s">
        <v>453</v>
      </c>
      <c r="F501" s="3"/>
      <c r="G501" s="241">
        <f t="shared" ref="G501:I502" si="222">G502</f>
        <v>694</v>
      </c>
      <c r="H501" s="241">
        <f t="shared" si="222"/>
        <v>0</v>
      </c>
      <c r="I501" s="241">
        <f t="shared" si="222"/>
        <v>694</v>
      </c>
      <c r="J501" s="75"/>
    </row>
    <row r="502" spans="1:10" s="29" customFormat="1" ht="48" x14ac:dyDescent="0.2">
      <c r="A502" s="7" t="s">
        <v>48</v>
      </c>
      <c r="B502" s="3" t="s">
        <v>211</v>
      </c>
      <c r="C502" s="3" t="s">
        <v>37</v>
      </c>
      <c r="D502" s="3" t="s">
        <v>15</v>
      </c>
      <c r="E502" s="3" t="s">
        <v>456</v>
      </c>
      <c r="F502" s="3"/>
      <c r="G502" s="241">
        <f>G503</f>
        <v>694</v>
      </c>
      <c r="H502" s="241">
        <f t="shared" si="222"/>
        <v>0</v>
      </c>
      <c r="I502" s="241">
        <f t="shared" si="222"/>
        <v>694</v>
      </c>
      <c r="J502" s="75"/>
    </row>
    <row r="503" spans="1:10" s="29" customFormat="1" ht="12.75" x14ac:dyDescent="0.2">
      <c r="A503" s="4" t="s">
        <v>323</v>
      </c>
      <c r="B503" s="3" t="s">
        <v>211</v>
      </c>
      <c r="C503" s="3" t="s">
        <v>37</v>
      </c>
      <c r="D503" s="3" t="s">
        <v>15</v>
      </c>
      <c r="E503" s="3" t="s">
        <v>457</v>
      </c>
      <c r="F503" s="3"/>
      <c r="G503" s="241">
        <f>G504+G505</f>
        <v>694</v>
      </c>
      <c r="H503" s="241">
        <f t="shared" ref="H503:I503" si="223">H504+H505</f>
        <v>0</v>
      </c>
      <c r="I503" s="241">
        <f t="shared" si="223"/>
        <v>694</v>
      </c>
      <c r="J503" s="75"/>
    </row>
    <row r="504" spans="1:10" s="29" customFormat="1" ht="60" x14ac:dyDescent="0.2">
      <c r="A504" s="4" t="s">
        <v>38</v>
      </c>
      <c r="B504" s="3" t="s">
        <v>211</v>
      </c>
      <c r="C504" s="3" t="s">
        <v>37</v>
      </c>
      <c r="D504" s="3" t="s">
        <v>15</v>
      </c>
      <c r="E504" s="3" t="s">
        <v>457</v>
      </c>
      <c r="F504" s="3">
        <v>100</v>
      </c>
      <c r="G504" s="240">
        <v>150.19999999999999</v>
      </c>
      <c r="H504" s="241"/>
      <c r="I504" s="240">
        <f>G504+H504</f>
        <v>150.19999999999999</v>
      </c>
      <c r="J504" s="75"/>
    </row>
    <row r="505" spans="1:10" s="29" customFormat="1" ht="24" x14ac:dyDescent="0.2">
      <c r="A505" s="4" t="s">
        <v>47</v>
      </c>
      <c r="B505" s="3" t="s">
        <v>211</v>
      </c>
      <c r="C505" s="3" t="s">
        <v>37</v>
      </c>
      <c r="D505" s="3" t="s">
        <v>15</v>
      </c>
      <c r="E505" s="3" t="s">
        <v>457</v>
      </c>
      <c r="F505" s="3">
        <v>200</v>
      </c>
      <c r="G505" s="240">
        <v>543.79999999999995</v>
      </c>
      <c r="H505" s="241"/>
      <c r="I505" s="240">
        <f>G505+H505</f>
        <v>543.79999999999995</v>
      </c>
      <c r="J505" s="75"/>
    </row>
    <row r="506" spans="1:10" s="29" customFormat="1" ht="12.75" x14ac:dyDescent="0.2">
      <c r="A506" s="33" t="s">
        <v>210</v>
      </c>
      <c r="B506" s="5"/>
      <c r="C506" s="5"/>
      <c r="D506" s="5"/>
      <c r="E506" s="5"/>
      <c r="F506" s="5"/>
      <c r="G506" s="255">
        <f>G8+G105+G196+G436</f>
        <v>700506.02628000011</v>
      </c>
      <c r="H506" s="255">
        <f>H8+H105+H196+H436</f>
        <v>6917.82683</v>
      </c>
      <c r="I506" s="255">
        <f>I8+I105+I196+I436</f>
        <v>707423.85311000003</v>
      </c>
      <c r="J506" s="211">
        <f>688241.36917+12264.65711</f>
        <v>700506.02627999999</v>
      </c>
    </row>
    <row r="507" spans="1:10" s="29" customFormat="1" ht="12.75" x14ac:dyDescent="0.2">
      <c r="A507" s="27"/>
      <c r="B507" s="26"/>
      <c r="C507" s="26"/>
      <c r="D507" s="26"/>
      <c r="E507" s="26"/>
      <c r="F507" s="26"/>
      <c r="G507" s="75">
        <v>700506.02627999999</v>
      </c>
      <c r="H507" s="76"/>
      <c r="I507" s="76">
        <v>707423.85311000003</v>
      </c>
      <c r="J507" s="75">
        <f>J506-I506</f>
        <v>-6917.8268300000345</v>
      </c>
    </row>
    <row r="508" spans="1:10" s="29" customFormat="1" ht="12.75" x14ac:dyDescent="0.2">
      <c r="A508" s="27"/>
      <c r="B508" s="32"/>
      <c r="C508" s="32"/>
      <c r="D508" s="32"/>
      <c r="E508" s="32"/>
      <c r="F508" s="32"/>
      <c r="G508" s="76">
        <f t="shared" ref="G508:I508" si="224">G506-G507</f>
        <v>0</v>
      </c>
      <c r="H508" s="76">
        <f t="shared" si="224"/>
        <v>6917.82683</v>
      </c>
      <c r="I508" s="76">
        <f t="shared" si="224"/>
        <v>0</v>
      </c>
      <c r="J508" s="75"/>
    </row>
    <row r="509" spans="1:10" s="29" customFormat="1" ht="12.75" x14ac:dyDescent="0.2">
      <c r="A509" s="27"/>
      <c r="B509" s="28"/>
      <c r="C509" s="19"/>
      <c r="D509" s="18"/>
      <c r="E509" s="364" t="s">
        <v>206</v>
      </c>
      <c r="F509" s="407"/>
      <c r="G509" s="2">
        <f>G106+G197</f>
        <v>27693.946859999996</v>
      </c>
      <c r="H509" s="2">
        <f>H106+H197</f>
        <v>-892.15899999999999</v>
      </c>
      <c r="I509" s="2">
        <f>I106+I197</f>
        <v>26801.787859999997</v>
      </c>
      <c r="J509" s="75"/>
    </row>
    <row r="510" spans="1:10" s="29" customFormat="1" ht="12.75" x14ac:dyDescent="0.2">
      <c r="A510" s="27"/>
      <c r="B510" s="28"/>
      <c r="C510" s="19" t="s">
        <v>15</v>
      </c>
      <c r="D510" s="18" t="s">
        <v>27</v>
      </c>
      <c r="E510" s="19" t="s">
        <v>15</v>
      </c>
      <c r="F510" s="18" t="s">
        <v>27</v>
      </c>
      <c r="G510" s="2">
        <f>G198</f>
        <v>1980.0735099999999</v>
      </c>
      <c r="H510" s="2">
        <f>H198</f>
        <v>0</v>
      </c>
      <c r="I510" s="2">
        <f>I198</f>
        <v>1980.0735099999999</v>
      </c>
      <c r="J510" s="75"/>
    </row>
    <row r="511" spans="1:10" s="29" customFormat="1" ht="12.75" x14ac:dyDescent="0.2">
      <c r="A511" s="27"/>
      <c r="B511" s="31"/>
      <c r="C511" s="19" t="s">
        <v>15</v>
      </c>
      <c r="D511" s="18" t="s">
        <v>6</v>
      </c>
      <c r="E511" s="19" t="s">
        <v>15</v>
      </c>
      <c r="F511" s="18" t="s">
        <v>6</v>
      </c>
      <c r="G511" s="2">
        <f>G201</f>
        <v>2010.4665100000002</v>
      </c>
      <c r="H511" s="2">
        <f>H201</f>
        <v>0</v>
      </c>
      <c r="I511" s="2">
        <f>I201</f>
        <v>2010.4665100000002</v>
      </c>
      <c r="J511" s="75"/>
    </row>
    <row r="512" spans="1:10" s="29" customFormat="1" ht="12.75" x14ac:dyDescent="0.2">
      <c r="A512" s="27"/>
      <c r="B512" s="30"/>
      <c r="C512" s="19" t="s">
        <v>15</v>
      </c>
      <c r="D512" s="18" t="s">
        <v>59</v>
      </c>
      <c r="E512" s="19" t="s">
        <v>15</v>
      </c>
      <c r="F512" s="18" t="s">
        <v>59</v>
      </c>
      <c r="G512" s="2">
        <f>G207</f>
        <v>15423.10866</v>
      </c>
      <c r="H512" s="2">
        <f>H207</f>
        <v>-811.15899999999999</v>
      </c>
      <c r="I512" s="2">
        <f>I207</f>
        <v>14611.94966</v>
      </c>
      <c r="J512" s="75"/>
    </row>
    <row r="513" spans="1:10" s="29" customFormat="1" ht="12.75" x14ac:dyDescent="0.2">
      <c r="A513" s="27"/>
      <c r="B513" s="30"/>
      <c r="C513" s="19" t="s">
        <v>15</v>
      </c>
      <c r="D513" s="18" t="s">
        <v>36</v>
      </c>
      <c r="E513" s="19" t="s">
        <v>15</v>
      </c>
      <c r="F513" s="18" t="s">
        <v>36</v>
      </c>
      <c r="G513" s="2">
        <f>G226</f>
        <v>9.6</v>
      </c>
      <c r="H513" s="2">
        <f>H226</f>
        <v>0</v>
      </c>
      <c r="I513" s="2">
        <f>I226</f>
        <v>9.6</v>
      </c>
      <c r="J513" s="75"/>
    </row>
    <row r="514" spans="1:10" s="29" customFormat="1" ht="12.75" x14ac:dyDescent="0.2">
      <c r="A514" s="27"/>
      <c r="B514" s="30"/>
      <c r="C514" s="19" t="s">
        <v>15</v>
      </c>
      <c r="D514" s="18" t="s">
        <v>53</v>
      </c>
      <c r="E514" s="19" t="s">
        <v>15</v>
      </c>
      <c r="F514" s="18" t="s">
        <v>53</v>
      </c>
      <c r="G514" s="2">
        <f>G107+G231</f>
        <v>5781.60394</v>
      </c>
      <c r="H514" s="2">
        <f>H107+H231</f>
        <v>0</v>
      </c>
      <c r="I514" s="2">
        <f>I107+I231</f>
        <v>5781.60394</v>
      </c>
      <c r="J514" s="75"/>
    </row>
    <row r="515" spans="1:10" s="29" customFormat="1" ht="12.75" x14ac:dyDescent="0.2">
      <c r="A515" s="27"/>
      <c r="B515" s="30"/>
      <c r="C515" s="19" t="s">
        <v>15</v>
      </c>
      <c r="D515" s="18" t="s">
        <v>79</v>
      </c>
      <c r="E515" s="19" t="s">
        <v>15</v>
      </c>
      <c r="F515" s="18" t="s">
        <v>79</v>
      </c>
      <c r="G515" s="2">
        <f>G235</f>
        <v>0</v>
      </c>
      <c r="H515" s="2">
        <f t="shared" ref="H515:I515" si="225">H235</f>
        <v>25</v>
      </c>
      <c r="I515" s="2">
        <f t="shared" si="225"/>
        <v>25</v>
      </c>
      <c r="J515" s="75"/>
    </row>
    <row r="516" spans="1:10" s="29" customFormat="1" ht="12.75" x14ac:dyDescent="0.2">
      <c r="A516" s="27"/>
      <c r="B516" s="30"/>
      <c r="C516" s="19" t="s">
        <v>15</v>
      </c>
      <c r="D516" s="18" t="s">
        <v>37</v>
      </c>
      <c r="E516" s="19" t="s">
        <v>15</v>
      </c>
      <c r="F516" s="18" t="s">
        <v>37</v>
      </c>
      <c r="G516" s="2">
        <f>G115</f>
        <v>1341.0820000000001</v>
      </c>
      <c r="H516" s="2">
        <f>H115</f>
        <v>-106</v>
      </c>
      <c r="I516" s="2">
        <f>I115</f>
        <v>1235.0820000000001</v>
      </c>
      <c r="J516" s="75"/>
    </row>
    <row r="517" spans="1:10" s="29" customFormat="1" ht="12.75" x14ac:dyDescent="0.2">
      <c r="A517" s="27"/>
      <c r="B517" s="28"/>
      <c r="C517" s="19" t="s">
        <v>15</v>
      </c>
      <c r="D517" s="18" t="s">
        <v>24</v>
      </c>
      <c r="E517" s="19" t="s">
        <v>15</v>
      </c>
      <c r="F517" s="18" t="s">
        <v>24</v>
      </c>
      <c r="G517" s="2">
        <f>G238</f>
        <v>1148.01224</v>
      </c>
      <c r="H517" s="2">
        <f>H238</f>
        <v>0</v>
      </c>
      <c r="I517" s="2">
        <f>I238</f>
        <v>1148.01224</v>
      </c>
      <c r="J517" s="75"/>
    </row>
    <row r="518" spans="1:10" s="29" customFormat="1" ht="12.75" x14ac:dyDescent="0.2">
      <c r="A518" s="27"/>
      <c r="B518" s="28"/>
      <c r="C518" s="376" t="s">
        <v>200</v>
      </c>
      <c r="D518" s="399"/>
      <c r="E518" s="376" t="s">
        <v>200</v>
      </c>
      <c r="F518" s="399"/>
      <c r="G518" s="2"/>
      <c r="H518" s="2"/>
      <c r="I518" s="2"/>
      <c r="J518" s="75"/>
    </row>
    <row r="519" spans="1:10" s="29" customFormat="1" ht="12.75" x14ac:dyDescent="0.2">
      <c r="A519" s="27"/>
      <c r="B519" s="28"/>
      <c r="C519" s="19" t="s">
        <v>27</v>
      </c>
      <c r="D519" s="18" t="s">
        <v>6</v>
      </c>
      <c r="E519" s="19" t="s">
        <v>27</v>
      </c>
      <c r="F519" s="18" t="s">
        <v>6</v>
      </c>
      <c r="G519" s="2"/>
      <c r="H519" s="2"/>
      <c r="I519" s="2"/>
      <c r="J519" s="75"/>
    </row>
    <row r="520" spans="1:10" s="29" customFormat="1" ht="12.75" x14ac:dyDescent="0.2">
      <c r="A520" s="27"/>
      <c r="B520" s="28"/>
      <c r="C520" s="376" t="s">
        <v>198</v>
      </c>
      <c r="D520" s="399"/>
      <c r="E520" s="376" t="s">
        <v>198</v>
      </c>
      <c r="F520" s="399"/>
      <c r="G520" s="2">
        <f>SUM(G521:G524)</f>
        <v>7591.2701000000006</v>
      </c>
      <c r="H520" s="2">
        <f t="shared" ref="H520:I520" si="226">SUM(H521:H524)</f>
        <v>-374.44326000000001</v>
      </c>
      <c r="I520" s="2">
        <f t="shared" si="226"/>
        <v>7216.8268400000006</v>
      </c>
      <c r="J520" s="75"/>
    </row>
    <row r="521" spans="1:10" s="29" customFormat="1" ht="12.75" x14ac:dyDescent="0.2">
      <c r="A521" s="27"/>
      <c r="B521" s="28"/>
      <c r="C521" s="19" t="s">
        <v>6</v>
      </c>
      <c r="D521" s="18" t="s">
        <v>27</v>
      </c>
      <c r="E521" s="19" t="s">
        <v>6</v>
      </c>
      <c r="F521" s="18" t="s">
        <v>27</v>
      </c>
      <c r="G521" s="2"/>
      <c r="H521" s="2"/>
      <c r="I521" s="2"/>
      <c r="J521" s="75"/>
    </row>
    <row r="522" spans="1:10" s="29" customFormat="1" ht="12.75" x14ac:dyDescent="0.2">
      <c r="A522" s="27"/>
      <c r="B522" s="28"/>
      <c r="C522" s="19" t="s">
        <v>6</v>
      </c>
      <c r="D522" s="18" t="s">
        <v>67</v>
      </c>
      <c r="E522" s="19" t="s">
        <v>6</v>
      </c>
      <c r="F522" s="18" t="s">
        <v>67</v>
      </c>
      <c r="G522" s="2">
        <f>G263+G127</f>
        <v>6680.2813800000004</v>
      </c>
      <c r="H522" s="2">
        <f>H263+H127</f>
        <v>-374.44326000000001</v>
      </c>
      <c r="I522" s="2">
        <f>I263+I127</f>
        <v>6305.8381200000003</v>
      </c>
      <c r="J522" s="75"/>
    </row>
    <row r="523" spans="1:10" s="29" customFormat="1" ht="12.75" x14ac:dyDescent="0.2">
      <c r="A523" s="27"/>
      <c r="B523" s="28"/>
      <c r="C523" s="19"/>
      <c r="D523" s="18"/>
      <c r="E523" s="19" t="s">
        <v>6</v>
      </c>
      <c r="F523" s="18" t="s">
        <v>54</v>
      </c>
      <c r="G523" s="2">
        <f>G134</f>
        <v>880.67443000000003</v>
      </c>
      <c r="H523" s="2">
        <f>H134</f>
        <v>0</v>
      </c>
      <c r="I523" s="2">
        <f>I134</f>
        <v>880.67443000000003</v>
      </c>
      <c r="J523" s="75"/>
    </row>
    <row r="524" spans="1:10" ht="12.75" x14ac:dyDescent="0.2">
      <c r="A524" s="26"/>
      <c r="B524" s="28"/>
      <c r="C524" s="19" t="s">
        <v>6</v>
      </c>
      <c r="D524" s="18" t="s">
        <v>7</v>
      </c>
      <c r="E524" s="19" t="s">
        <v>6</v>
      </c>
      <c r="F524" s="18" t="s">
        <v>7</v>
      </c>
      <c r="G524" s="2">
        <f>G278</f>
        <v>30.31429</v>
      </c>
      <c r="H524" s="2">
        <f>H278</f>
        <v>0</v>
      </c>
      <c r="I524" s="2">
        <f>I278</f>
        <v>30.31429</v>
      </c>
      <c r="J524" s="73"/>
    </row>
    <row r="525" spans="1:10" x14ac:dyDescent="0.25">
      <c r="A525" s="26"/>
      <c r="B525" s="28"/>
      <c r="C525" s="376" t="s">
        <v>195</v>
      </c>
      <c r="D525" s="399"/>
      <c r="E525" s="376" t="s">
        <v>195</v>
      </c>
      <c r="F525" s="399"/>
      <c r="G525" s="209">
        <f>SUM(G526:G529)</f>
        <v>28809.757599999997</v>
      </c>
      <c r="H525" s="209">
        <f t="shared" ref="H525:I525" si="227">SUM(H526:H529)</f>
        <v>811.15899999999999</v>
      </c>
      <c r="I525" s="209">
        <f t="shared" si="227"/>
        <v>29620.916599999997</v>
      </c>
      <c r="J525" s="73"/>
    </row>
    <row r="526" spans="1:10" x14ac:dyDescent="0.25">
      <c r="A526" s="26"/>
      <c r="B526" s="28"/>
      <c r="C526" s="19" t="s">
        <v>59</v>
      </c>
      <c r="D526" s="18" t="s">
        <v>15</v>
      </c>
      <c r="E526" s="19" t="s">
        <v>59</v>
      </c>
      <c r="F526" s="18" t="s">
        <v>15</v>
      </c>
      <c r="G526" s="209"/>
      <c r="H526" s="209"/>
      <c r="I526" s="209"/>
      <c r="J526" s="73"/>
    </row>
    <row r="527" spans="1:10" x14ac:dyDescent="0.25">
      <c r="A527" s="26"/>
      <c r="B527" s="28"/>
      <c r="C527" s="19" t="s">
        <v>59</v>
      </c>
      <c r="D527" s="18" t="s">
        <v>36</v>
      </c>
      <c r="E527" s="19" t="s">
        <v>59</v>
      </c>
      <c r="F527" s="18" t="s">
        <v>36</v>
      </c>
      <c r="G527" s="209">
        <f>G287</f>
        <v>1040.3</v>
      </c>
      <c r="H527" s="209">
        <f>H287</f>
        <v>0</v>
      </c>
      <c r="I527" s="209">
        <f>I287</f>
        <v>1040.3</v>
      </c>
      <c r="J527" s="73"/>
    </row>
    <row r="528" spans="1:10" x14ac:dyDescent="0.25">
      <c r="A528" s="26"/>
      <c r="B528" s="28"/>
      <c r="C528" s="19" t="s">
        <v>59</v>
      </c>
      <c r="D528" s="18" t="s">
        <v>67</v>
      </c>
      <c r="E528" s="19" t="s">
        <v>59</v>
      </c>
      <c r="F528" s="18" t="s">
        <v>67</v>
      </c>
      <c r="G528" s="209">
        <f>G297+G144</f>
        <v>5601.8</v>
      </c>
      <c r="H528" s="209">
        <f>H297+H144</f>
        <v>811.15899999999999</v>
      </c>
      <c r="I528" s="209">
        <f>I297+I144</f>
        <v>6412.9589999999998</v>
      </c>
      <c r="J528" s="73"/>
    </row>
    <row r="529" spans="1:10" x14ac:dyDescent="0.25">
      <c r="A529" s="26"/>
      <c r="B529" s="28"/>
      <c r="C529" s="19" t="s">
        <v>59</v>
      </c>
      <c r="D529" s="18" t="s">
        <v>28</v>
      </c>
      <c r="E529" s="19" t="s">
        <v>59</v>
      </c>
      <c r="F529" s="18" t="s">
        <v>28</v>
      </c>
      <c r="G529" s="209">
        <f>G304+G151</f>
        <v>22167.657599999999</v>
      </c>
      <c r="H529" s="209">
        <f>H304+H151</f>
        <v>0</v>
      </c>
      <c r="I529" s="209">
        <f>I304+I151</f>
        <v>22167.657599999999</v>
      </c>
      <c r="J529" s="73"/>
    </row>
    <row r="530" spans="1:10" ht="12.75" x14ac:dyDescent="0.2">
      <c r="A530" s="26"/>
      <c r="B530" s="28"/>
      <c r="C530" s="376" t="s">
        <v>190</v>
      </c>
      <c r="D530" s="399"/>
      <c r="E530" s="376" t="s">
        <v>190</v>
      </c>
      <c r="F530" s="399"/>
      <c r="G530" s="2">
        <f>G330++G156</f>
        <v>21433.676359999998</v>
      </c>
      <c r="H530" s="2">
        <f>H330++H156</f>
        <v>265</v>
      </c>
      <c r="I530" s="2">
        <f>I330++I156</f>
        <v>21698.676359999998</v>
      </c>
      <c r="J530" s="73"/>
    </row>
    <row r="531" spans="1:10" ht="12.75" x14ac:dyDescent="0.2">
      <c r="A531" s="26"/>
      <c r="B531" s="28"/>
      <c r="C531" s="19" t="s">
        <v>36</v>
      </c>
      <c r="D531" s="18" t="s">
        <v>15</v>
      </c>
      <c r="E531" s="19" t="s">
        <v>36</v>
      </c>
      <c r="F531" s="18" t="s">
        <v>15</v>
      </c>
      <c r="G531" s="2">
        <f>G331</f>
        <v>11</v>
      </c>
      <c r="H531" s="2">
        <f>H331</f>
        <v>0</v>
      </c>
      <c r="I531" s="2">
        <f>I331</f>
        <v>11</v>
      </c>
      <c r="J531" s="73"/>
    </row>
    <row r="532" spans="1:10" ht="12.75" x14ac:dyDescent="0.2">
      <c r="A532" s="26"/>
      <c r="B532" s="28"/>
      <c r="C532" s="19" t="s">
        <v>36</v>
      </c>
      <c r="D532" s="18" t="s">
        <v>27</v>
      </c>
      <c r="E532" s="19" t="s">
        <v>36</v>
      </c>
      <c r="F532" s="18" t="s">
        <v>27</v>
      </c>
      <c r="G532" s="2">
        <f>G336+G157</f>
        <v>20744.856359999998</v>
      </c>
      <c r="H532" s="2">
        <f>H336+H157</f>
        <v>259</v>
      </c>
      <c r="I532" s="2">
        <f>I336+I157</f>
        <v>21003.856359999998</v>
      </c>
      <c r="J532" s="73"/>
    </row>
    <row r="533" spans="1:10" ht="12.75" x14ac:dyDescent="0.2">
      <c r="A533" s="26"/>
      <c r="B533" s="28"/>
      <c r="C533" s="19" t="s">
        <v>36</v>
      </c>
      <c r="D533" s="18" t="s">
        <v>6</v>
      </c>
      <c r="E533" s="19" t="s">
        <v>36</v>
      </c>
      <c r="F533" s="18" t="s">
        <v>6</v>
      </c>
      <c r="G533" s="2">
        <f>G372+G162</f>
        <v>677.82</v>
      </c>
      <c r="H533" s="2">
        <f>H372+H162</f>
        <v>6</v>
      </c>
      <c r="I533" s="2">
        <f>I372+I162</f>
        <v>683.82</v>
      </c>
      <c r="J533" s="73"/>
    </row>
    <row r="534" spans="1:10" ht="12.75" x14ac:dyDescent="0.2">
      <c r="A534" s="26"/>
      <c r="B534" s="28"/>
      <c r="C534" s="364" t="s">
        <v>187</v>
      </c>
      <c r="D534" s="407"/>
      <c r="E534" s="364" t="s">
        <v>187</v>
      </c>
      <c r="F534" s="407"/>
      <c r="G534" s="2"/>
      <c r="H534" s="2"/>
      <c r="I534" s="2"/>
      <c r="J534" s="73"/>
    </row>
    <row r="535" spans="1:10" ht="12.75" x14ac:dyDescent="0.2">
      <c r="A535" s="26"/>
      <c r="B535" s="28"/>
      <c r="C535" s="19" t="s">
        <v>53</v>
      </c>
      <c r="D535" s="18" t="s">
        <v>36</v>
      </c>
      <c r="E535" s="19" t="s">
        <v>53</v>
      </c>
      <c r="F535" s="18" t="s">
        <v>36</v>
      </c>
      <c r="G535" s="2"/>
      <c r="H535" s="2"/>
      <c r="I535" s="2"/>
      <c r="J535" s="73"/>
    </row>
    <row r="536" spans="1:10" ht="12.75" x14ac:dyDescent="0.2">
      <c r="A536" s="26"/>
      <c r="B536" s="28"/>
      <c r="C536" s="376" t="s">
        <v>184</v>
      </c>
      <c r="D536" s="399"/>
      <c r="E536" s="376" t="s">
        <v>184</v>
      </c>
      <c r="F536" s="399"/>
      <c r="G536" s="2">
        <f>SUM(G537:G542)</f>
        <v>509522.17391000007</v>
      </c>
      <c r="H536" s="2">
        <f t="shared" ref="H536:I536" si="228">SUM(H537:H542)</f>
        <v>7263.5325800000001</v>
      </c>
      <c r="I536" s="2">
        <f t="shared" si="228"/>
        <v>516785.70648999995</v>
      </c>
      <c r="J536" s="73"/>
    </row>
    <row r="537" spans="1:10" ht="12.75" x14ac:dyDescent="0.2">
      <c r="A537" s="26"/>
      <c r="B537" s="28"/>
      <c r="C537" s="19" t="s">
        <v>79</v>
      </c>
      <c r="D537" s="18" t="s">
        <v>15</v>
      </c>
      <c r="E537" s="19" t="s">
        <v>79</v>
      </c>
      <c r="F537" s="18" t="s">
        <v>15</v>
      </c>
      <c r="G537" s="2">
        <f>G10+G378</f>
        <v>171640.26956000002</v>
      </c>
      <c r="H537" s="2">
        <f>H10+H378</f>
        <v>1005</v>
      </c>
      <c r="I537" s="2">
        <f>I10+I378</f>
        <v>172645.26956000002</v>
      </c>
      <c r="J537" s="73"/>
    </row>
    <row r="538" spans="1:10" ht="12.75" x14ac:dyDescent="0.2">
      <c r="A538" s="26"/>
      <c r="B538" s="28"/>
      <c r="C538" s="19" t="s">
        <v>79</v>
      </c>
      <c r="D538" s="18" t="s">
        <v>27</v>
      </c>
      <c r="E538" s="19" t="s">
        <v>79</v>
      </c>
      <c r="F538" s="18" t="s">
        <v>27</v>
      </c>
      <c r="G538" s="2">
        <f>G26+G385</f>
        <v>289972.22698000004</v>
      </c>
      <c r="H538" s="2">
        <f>H26+H385</f>
        <v>5210.5325800000001</v>
      </c>
      <c r="I538" s="2">
        <f>I26+I385</f>
        <v>295182.75955999998</v>
      </c>
      <c r="J538" s="73"/>
    </row>
    <row r="539" spans="1:10" ht="12.75" x14ac:dyDescent="0.2">
      <c r="A539" s="26"/>
      <c r="B539" s="28"/>
      <c r="C539" s="19" t="s">
        <v>79</v>
      </c>
      <c r="D539" s="18" t="s">
        <v>6</v>
      </c>
      <c r="E539" s="19" t="s">
        <v>79</v>
      </c>
      <c r="F539" s="18" t="s">
        <v>6</v>
      </c>
      <c r="G539" s="2">
        <f>G50+G438</f>
        <v>30317.705840000002</v>
      </c>
      <c r="H539" s="2">
        <f>H50+H438</f>
        <v>1048</v>
      </c>
      <c r="I539" s="2">
        <f>I50+I438</f>
        <v>31365.705839999999</v>
      </c>
      <c r="J539" s="73"/>
    </row>
    <row r="540" spans="1:10" ht="12.75" x14ac:dyDescent="0.2">
      <c r="A540" s="26"/>
      <c r="B540" s="28"/>
      <c r="C540" s="19" t="s">
        <v>79</v>
      </c>
      <c r="D540" s="18" t="s">
        <v>36</v>
      </c>
      <c r="E540" s="19" t="s">
        <v>79</v>
      </c>
      <c r="F540" s="18" t="s">
        <v>36</v>
      </c>
      <c r="G540" s="2"/>
      <c r="H540" s="2"/>
      <c r="I540" s="2"/>
      <c r="J540" s="73"/>
    </row>
    <row r="541" spans="1:10" ht="12.75" x14ac:dyDescent="0.2">
      <c r="A541" s="26"/>
      <c r="B541" s="28"/>
      <c r="C541" s="19" t="s">
        <v>79</v>
      </c>
      <c r="D541" s="18" t="s">
        <v>79</v>
      </c>
      <c r="E541" s="19" t="s">
        <v>79</v>
      </c>
      <c r="F541" s="18" t="s">
        <v>79</v>
      </c>
      <c r="G541" s="2">
        <f>G68+G445</f>
        <v>1481.5</v>
      </c>
      <c r="H541" s="2">
        <f>H68+H445</f>
        <v>0</v>
      </c>
      <c r="I541" s="2">
        <f>I68+I445</f>
        <v>1481.5</v>
      </c>
      <c r="J541" s="73"/>
    </row>
    <row r="542" spans="1:10" ht="12.75" x14ac:dyDescent="0.2">
      <c r="A542" s="26"/>
      <c r="B542" s="28"/>
      <c r="C542" s="19" t="s">
        <v>79</v>
      </c>
      <c r="D542" s="18" t="s">
        <v>67</v>
      </c>
      <c r="E542" s="19" t="s">
        <v>79</v>
      </c>
      <c r="F542" s="18" t="s">
        <v>67</v>
      </c>
      <c r="G542" s="2">
        <f>G74</f>
        <v>16110.471529999999</v>
      </c>
      <c r="H542" s="2">
        <f>H74</f>
        <v>0</v>
      </c>
      <c r="I542" s="2">
        <f>I74</f>
        <v>16110.471529999999</v>
      </c>
      <c r="J542" s="73"/>
    </row>
    <row r="543" spans="1:10" ht="12.75" x14ac:dyDescent="0.2">
      <c r="A543" s="26"/>
      <c r="B543" s="28"/>
      <c r="C543" s="376" t="s">
        <v>181</v>
      </c>
      <c r="D543" s="399"/>
      <c r="E543" s="376" t="s">
        <v>181</v>
      </c>
      <c r="F543" s="399"/>
      <c r="G543" s="2">
        <f t="shared" ref="G543:I544" si="229">G451+G392+G169</f>
        <v>55271.29664</v>
      </c>
      <c r="H543" s="2">
        <f t="shared" si="229"/>
        <v>-155.26249000000001</v>
      </c>
      <c r="I543" s="2">
        <f t="shared" si="229"/>
        <v>55116.034150000007</v>
      </c>
      <c r="J543" s="73"/>
    </row>
    <row r="544" spans="1:10" ht="12.75" x14ac:dyDescent="0.2">
      <c r="A544" s="26"/>
      <c r="B544" s="28"/>
      <c r="C544" s="19" t="s">
        <v>72</v>
      </c>
      <c r="D544" s="18" t="s">
        <v>15</v>
      </c>
      <c r="E544" s="19" t="s">
        <v>72</v>
      </c>
      <c r="F544" s="18" t="s">
        <v>15</v>
      </c>
      <c r="G544" s="2">
        <f t="shared" si="229"/>
        <v>46744.881049999996</v>
      </c>
      <c r="H544" s="2">
        <f t="shared" si="229"/>
        <v>-255.26249000000001</v>
      </c>
      <c r="I544" s="2">
        <f t="shared" si="229"/>
        <v>46489.618560000003</v>
      </c>
      <c r="J544" s="73"/>
    </row>
    <row r="545" spans="1:10" ht="12.75" x14ac:dyDescent="0.2">
      <c r="A545" s="26"/>
      <c r="B545" s="28"/>
      <c r="C545" s="19" t="s">
        <v>72</v>
      </c>
      <c r="D545" s="18" t="s">
        <v>59</v>
      </c>
      <c r="E545" s="19" t="s">
        <v>72</v>
      </c>
      <c r="F545" s="18" t="s">
        <v>59</v>
      </c>
      <c r="G545" s="2">
        <f>G475</f>
        <v>8526.4155900000005</v>
      </c>
      <c r="H545" s="2">
        <f>H475</f>
        <v>100</v>
      </c>
      <c r="I545" s="2">
        <f>I475</f>
        <v>8626.4155900000005</v>
      </c>
      <c r="J545" s="73"/>
    </row>
    <row r="546" spans="1:10" ht="12.75" x14ac:dyDescent="0.2">
      <c r="A546" s="26"/>
      <c r="B546" s="28"/>
      <c r="C546" s="376" t="s">
        <v>178</v>
      </c>
      <c r="D546" s="399"/>
      <c r="E546" s="376" t="s">
        <v>178</v>
      </c>
      <c r="F546" s="399"/>
      <c r="G546" s="2"/>
      <c r="H546" s="2"/>
      <c r="I546" s="2"/>
      <c r="J546" s="73"/>
    </row>
    <row r="547" spans="1:10" ht="12.75" x14ac:dyDescent="0.2">
      <c r="A547" s="26"/>
      <c r="B547" s="28"/>
      <c r="C547" s="19" t="s">
        <v>67</v>
      </c>
      <c r="D547" s="18" t="s">
        <v>15</v>
      </c>
      <c r="E547" s="19" t="s">
        <v>67</v>
      </c>
      <c r="F547" s="18" t="s">
        <v>15</v>
      </c>
      <c r="G547" s="2"/>
      <c r="H547" s="2"/>
      <c r="I547" s="2"/>
      <c r="J547" s="73"/>
    </row>
    <row r="548" spans="1:10" ht="12.75" x14ac:dyDescent="0.2">
      <c r="A548" s="26"/>
      <c r="B548" s="28"/>
      <c r="C548" s="19" t="s">
        <v>67</v>
      </c>
      <c r="D548" s="18" t="s">
        <v>27</v>
      </c>
      <c r="E548" s="19" t="s">
        <v>67</v>
      </c>
      <c r="F548" s="18" t="s">
        <v>27</v>
      </c>
      <c r="G548" s="2"/>
      <c r="H548" s="2"/>
      <c r="I548" s="2"/>
      <c r="J548" s="73"/>
    </row>
    <row r="549" spans="1:10" ht="12.75" x14ac:dyDescent="0.2">
      <c r="A549" s="26"/>
      <c r="B549" s="28"/>
      <c r="C549" s="19" t="s">
        <v>67</v>
      </c>
      <c r="D549" s="18" t="s">
        <v>59</v>
      </c>
      <c r="E549" s="19" t="s">
        <v>67</v>
      </c>
      <c r="F549" s="18" t="s">
        <v>59</v>
      </c>
      <c r="G549" s="2"/>
      <c r="H549" s="2"/>
      <c r="I549" s="2"/>
      <c r="J549" s="73"/>
    </row>
    <row r="550" spans="1:10" ht="12.75" x14ac:dyDescent="0.2">
      <c r="A550" s="26"/>
      <c r="B550" s="28"/>
      <c r="C550" s="19" t="s">
        <v>67</v>
      </c>
      <c r="D550" s="18" t="s">
        <v>67</v>
      </c>
      <c r="E550" s="19" t="s">
        <v>67</v>
      </c>
      <c r="F550" s="18" t="s">
        <v>67</v>
      </c>
      <c r="G550" s="2"/>
      <c r="H550" s="2"/>
      <c r="I550" s="2"/>
      <c r="J550" s="73"/>
    </row>
    <row r="551" spans="1:10" ht="12.75" x14ac:dyDescent="0.2">
      <c r="A551" s="26"/>
      <c r="B551" s="28"/>
      <c r="C551" s="376" t="s">
        <v>175</v>
      </c>
      <c r="D551" s="399"/>
      <c r="E551" s="376" t="s">
        <v>175</v>
      </c>
      <c r="F551" s="399"/>
      <c r="G551" s="2">
        <f>G98+G398+G493</f>
        <v>10865.898809999999</v>
      </c>
      <c r="H551" s="2">
        <f>H98+H398+H493</f>
        <v>0</v>
      </c>
      <c r="I551" s="2">
        <f>I98+I398+I493</f>
        <v>10865.898809999999</v>
      </c>
      <c r="J551" s="73"/>
    </row>
    <row r="552" spans="1:10" ht="12.75" x14ac:dyDescent="0.2">
      <c r="A552" s="26"/>
      <c r="B552" s="28"/>
      <c r="C552" s="19" t="s">
        <v>54</v>
      </c>
      <c r="D552" s="18" t="s">
        <v>15</v>
      </c>
      <c r="E552" s="19" t="s">
        <v>54</v>
      </c>
      <c r="F552" s="18" t="s">
        <v>15</v>
      </c>
      <c r="G552" s="2">
        <f>G399</f>
        <v>720.73</v>
      </c>
      <c r="H552" s="2">
        <f>H399</f>
        <v>0</v>
      </c>
      <c r="I552" s="2">
        <f>I399</f>
        <v>720.73</v>
      </c>
      <c r="J552" s="73"/>
    </row>
    <row r="553" spans="1:10" ht="12.75" x14ac:dyDescent="0.2">
      <c r="A553" s="26"/>
      <c r="B553" s="28"/>
      <c r="C553" s="19" t="s">
        <v>54</v>
      </c>
      <c r="D553" s="18" t="s">
        <v>27</v>
      </c>
      <c r="E553" s="19" t="s">
        <v>54</v>
      </c>
      <c r="F553" s="18" t="s">
        <v>27</v>
      </c>
      <c r="G553" s="2"/>
      <c r="H553" s="2"/>
      <c r="I553" s="2"/>
      <c r="J553" s="73"/>
    </row>
    <row r="554" spans="1:10" ht="12.75" x14ac:dyDescent="0.2">
      <c r="A554" s="26"/>
      <c r="B554" s="28"/>
      <c r="C554" s="19" t="s">
        <v>54</v>
      </c>
      <c r="D554" s="18" t="s">
        <v>6</v>
      </c>
      <c r="E554" s="19" t="s">
        <v>54</v>
      </c>
      <c r="F554" s="18" t="s">
        <v>6</v>
      </c>
      <c r="G554" s="2">
        <f>G404</f>
        <v>4970.4688100000003</v>
      </c>
      <c r="H554" s="2">
        <f>H404</f>
        <v>0</v>
      </c>
      <c r="I554" s="2">
        <f>I404</f>
        <v>4970.4688100000003</v>
      </c>
      <c r="J554" s="73"/>
    </row>
    <row r="555" spans="1:10" ht="12.75" x14ac:dyDescent="0.2">
      <c r="A555" s="26"/>
      <c r="B555" s="28"/>
      <c r="C555" s="19" t="s">
        <v>54</v>
      </c>
      <c r="D555" s="18" t="s">
        <v>59</v>
      </c>
      <c r="E555" s="19" t="s">
        <v>54</v>
      </c>
      <c r="F555" s="18" t="s">
        <v>59</v>
      </c>
      <c r="G555" s="2">
        <f>G99</f>
        <v>5054.8999999999996</v>
      </c>
      <c r="H555" s="2">
        <f>H99</f>
        <v>0</v>
      </c>
      <c r="I555" s="2">
        <f>I99</f>
        <v>5054.8999999999996</v>
      </c>
      <c r="J555" s="73"/>
    </row>
    <row r="556" spans="1:10" ht="12.75" x14ac:dyDescent="0.2">
      <c r="A556" s="26"/>
      <c r="B556" s="28"/>
      <c r="C556" s="19" t="s">
        <v>54</v>
      </c>
      <c r="D556" s="18" t="s">
        <v>53</v>
      </c>
      <c r="E556" s="19" t="s">
        <v>54</v>
      </c>
      <c r="F556" s="18" t="s">
        <v>53</v>
      </c>
      <c r="G556" s="2">
        <f>G494</f>
        <v>119.8</v>
      </c>
      <c r="H556" s="2">
        <f>H494</f>
        <v>0</v>
      </c>
      <c r="I556" s="2">
        <f>I494</f>
        <v>119.8</v>
      </c>
      <c r="J556" s="73"/>
    </row>
    <row r="557" spans="1:10" ht="12.75" x14ac:dyDescent="0.2">
      <c r="A557" s="26"/>
      <c r="B557" s="28"/>
      <c r="C557" s="376" t="s">
        <v>171</v>
      </c>
      <c r="D557" s="399"/>
      <c r="E557" s="376" t="s">
        <v>171</v>
      </c>
      <c r="F557" s="399"/>
      <c r="G557" s="2">
        <f>SUM(G558:G559)</f>
        <v>1094</v>
      </c>
      <c r="H557" s="2">
        <f t="shared" ref="H557:I557" si="230">SUM(H558:H559)</f>
        <v>0</v>
      </c>
      <c r="I557" s="2">
        <f t="shared" si="230"/>
        <v>1094</v>
      </c>
      <c r="J557" s="73"/>
    </row>
    <row r="558" spans="1:10" ht="12.75" x14ac:dyDescent="0.2">
      <c r="A558" s="26"/>
      <c r="B558" s="28"/>
      <c r="C558" s="19" t="s">
        <v>37</v>
      </c>
      <c r="D558" s="18" t="s">
        <v>15</v>
      </c>
      <c r="E558" s="19" t="s">
        <v>37</v>
      </c>
      <c r="F558" s="18" t="s">
        <v>15</v>
      </c>
      <c r="G558" s="2">
        <f>G500+G176</f>
        <v>1094</v>
      </c>
      <c r="H558" s="2">
        <f>H500+H176</f>
        <v>0</v>
      </c>
      <c r="I558" s="2">
        <f>I500+I176</f>
        <v>1094</v>
      </c>
      <c r="J558" s="73"/>
    </row>
    <row r="559" spans="1:10" ht="12.75" x14ac:dyDescent="0.2">
      <c r="A559" s="26"/>
      <c r="B559" s="28"/>
      <c r="C559" s="21" t="s">
        <v>37</v>
      </c>
      <c r="D559" s="19" t="s">
        <v>36</v>
      </c>
      <c r="E559" s="21" t="s">
        <v>37</v>
      </c>
      <c r="F559" s="19" t="s">
        <v>36</v>
      </c>
      <c r="G559" s="2"/>
      <c r="H559" s="2"/>
      <c r="I559" s="2"/>
      <c r="J559" s="73"/>
    </row>
    <row r="560" spans="1:10" ht="12.75" x14ac:dyDescent="0.2">
      <c r="A560" s="26"/>
      <c r="B560" s="28"/>
      <c r="C560" s="376" t="s">
        <v>169</v>
      </c>
      <c r="D560" s="399"/>
      <c r="E560" s="376" t="s">
        <v>169</v>
      </c>
      <c r="F560" s="399"/>
      <c r="G560" s="2">
        <f t="shared" ref="G560:I561" si="231">G424</f>
        <v>1300.4059999999999</v>
      </c>
      <c r="H560" s="2">
        <f t="shared" si="231"/>
        <v>0</v>
      </c>
      <c r="I560" s="2">
        <f t="shared" si="231"/>
        <v>1300.4059999999999</v>
      </c>
      <c r="J560" s="73"/>
    </row>
    <row r="561" spans="1:10" ht="12.75" x14ac:dyDescent="0.2">
      <c r="A561" s="26"/>
      <c r="B561" s="28"/>
      <c r="C561" s="19" t="s">
        <v>28</v>
      </c>
      <c r="D561" s="18" t="s">
        <v>27</v>
      </c>
      <c r="E561" s="19" t="s">
        <v>28</v>
      </c>
      <c r="F561" s="18" t="s">
        <v>27</v>
      </c>
      <c r="G561" s="2">
        <f t="shared" si="231"/>
        <v>1300.4059999999999</v>
      </c>
      <c r="H561" s="2">
        <f t="shared" si="231"/>
        <v>0</v>
      </c>
      <c r="I561" s="2">
        <f t="shared" si="231"/>
        <v>1300.4059999999999</v>
      </c>
      <c r="J561" s="73"/>
    </row>
    <row r="562" spans="1:10" ht="12.75" x14ac:dyDescent="0.2">
      <c r="A562" s="26"/>
      <c r="B562" s="28"/>
      <c r="C562" s="376" t="s">
        <v>167</v>
      </c>
      <c r="D562" s="399"/>
      <c r="E562" s="376" t="s">
        <v>167</v>
      </c>
      <c r="F562" s="399"/>
      <c r="G562" s="2">
        <f t="shared" ref="G562:I563" si="232">G119+G430</f>
        <v>98</v>
      </c>
      <c r="H562" s="2">
        <f t="shared" si="232"/>
        <v>0</v>
      </c>
      <c r="I562" s="2">
        <f t="shared" si="232"/>
        <v>98</v>
      </c>
      <c r="J562" s="73"/>
    </row>
    <row r="563" spans="1:10" ht="12.75" x14ac:dyDescent="0.2">
      <c r="A563" s="26"/>
      <c r="B563" s="28"/>
      <c r="C563" s="19" t="s">
        <v>24</v>
      </c>
      <c r="D563" s="18" t="s">
        <v>15</v>
      </c>
      <c r="E563" s="19" t="s">
        <v>24</v>
      </c>
      <c r="F563" s="18" t="s">
        <v>15</v>
      </c>
      <c r="G563" s="2">
        <f t="shared" si="232"/>
        <v>98</v>
      </c>
      <c r="H563" s="2">
        <f t="shared" si="232"/>
        <v>0</v>
      </c>
      <c r="I563" s="2">
        <f t="shared" si="232"/>
        <v>98</v>
      </c>
      <c r="J563" s="73"/>
    </row>
    <row r="564" spans="1:10" ht="12.75" x14ac:dyDescent="0.2">
      <c r="A564" s="26"/>
      <c r="B564" s="28"/>
      <c r="C564" s="376" t="s">
        <v>165</v>
      </c>
      <c r="D564" s="399"/>
      <c r="E564" s="376" t="s">
        <v>165</v>
      </c>
      <c r="F564" s="399"/>
      <c r="G564" s="2">
        <f t="shared" ref="G564:I565" si="233">G181</f>
        <v>36825.599999999999</v>
      </c>
      <c r="H564" s="2">
        <f t="shared" si="233"/>
        <v>0</v>
      </c>
      <c r="I564" s="2">
        <f t="shared" si="233"/>
        <v>36825.599999999999</v>
      </c>
      <c r="J564" s="73"/>
    </row>
    <row r="565" spans="1:10" ht="12.75" x14ac:dyDescent="0.2">
      <c r="A565" s="26"/>
      <c r="B565" s="28"/>
      <c r="C565" s="19" t="s">
        <v>7</v>
      </c>
      <c r="D565" s="18" t="s">
        <v>15</v>
      </c>
      <c r="E565" s="19" t="s">
        <v>7</v>
      </c>
      <c r="F565" s="18" t="s">
        <v>15</v>
      </c>
      <c r="G565" s="2">
        <f t="shared" si="233"/>
        <v>25963.5</v>
      </c>
      <c r="H565" s="2">
        <f t="shared" si="233"/>
        <v>0</v>
      </c>
      <c r="I565" s="2">
        <f t="shared" si="233"/>
        <v>25963.5</v>
      </c>
      <c r="J565" s="73"/>
    </row>
    <row r="566" spans="1:10" ht="12.75" x14ac:dyDescent="0.2">
      <c r="A566" s="26"/>
      <c r="B566" s="28"/>
      <c r="C566" s="19" t="s">
        <v>7</v>
      </c>
      <c r="D566" s="18" t="s">
        <v>6</v>
      </c>
      <c r="E566" s="19" t="s">
        <v>7</v>
      </c>
      <c r="F566" s="18" t="s">
        <v>6</v>
      </c>
      <c r="G566" s="2">
        <f>G189</f>
        <v>10862.1</v>
      </c>
      <c r="H566" s="2">
        <f>H189</f>
        <v>0</v>
      </c>
      <c r="I566" s="2">
        <f>I189</f>
        <v>10862.1</v>
      </c>
      <c r="J566" s="73"/>
    </row>
    <row r="567" spans="1:10" ht="12.75" x14ac:dyDescent="0.2">
      <c r="A567" s="26"/>
      <c r="B567" s="28"/>
      <c r="C567" s="19" t="s">
        <v>225</v>
      </c>
      <c r="D567" s="18" t="s">
        <v>225</v>
      </c>
      <c r="E567" s="19" t="s">
        <v>225</v>
      </c>
      <c r="F567" s="18" t="s">
        <v>225</v>
      </c>
      <c r="G567" s="2"/>
      <c r="H567" s="2"/>
      <c r="I567" s="2"/>
      <c r="J567" s="73"/>
    </row>
    <row r="568" spans="1:10" ht="12.75" x14ac:dyDescent="0.2">
      <c r="A568" s="26"/>
      <c r="B568" s="28"/>
      <c r="C568" s="28"/>
      <c r="D568" s="28"/>
      <c r="E568" s="214"/>
      <c r="F568" s="16"/>
      <c r="G568" s="2">
        <f>G509+G518+G520+G525+G530+G534+G536+G543+G546+G551+G557+G560+G562+G564+G567</f>
        <v>700506.02627999999</v>
      </c>
      <c r="H568" s="2">
        <f>H509+H518+H520+H525+H530+H534+H536+H543+H546+H551+H557+H560+H562+H564+H567</f>
        <v>6917.82683</v>
      </c>
      <c r="I568" s="2">
        <f>I509+I518+I520+I525+I530+I534+I536+I543+I546+I551+I557+I560+I562+I564+I567</f>
        <v>707423.85310999991</v>
      </c>
      <c r="J568" s="73"/>
    </row>
    <row r="569" spans="1:10" ht="12.75" x14ac:dyDescent="0.2">
      <c r="A569" s="26"/>
      <c r="G569" s="76">
        <f>G506-G568</f>
        <v>0</v>
      </c>
      <c r="H569" s="76">
        <f>H506-H568</f>
        <v>0</v>
      </c>
      <c r="I569" s="76">
        <f t="shared" ref="I569" si="234">I506-I568</f>
        <v>0</v>
      </c>
      <c r="J569" s="73"/>
    </row>
    <row r="570" spans="1:10" x14ac:dyDescent="0.25">
      <c r="J570" s="73"/>
    </row>
    <row r="571" spans="1:10" x14ac:dyDescent="0.25">
      <c r="C571" s="191">
        <f>I571-D571</f>
        <v>0</v>
      </c>
      <c r="D571" s="191">
        <f>G571+H571</f>
        <v>13330.94966</v>
      </c>
      <c r="E571" s="63" t="s">
        <v>324</v>
      </c>
      <c r="F571" s="64"/>
      <c r="G571" s="209">
        <f>G208</f>
        <v>14142.10866</v>
      </c>
      <c r="H571" s="209">
        <f>H208</f>
        <v>-811.15899999999999</v>
      </c>
      <c r="I571" s="209">
        <f>I208</f>
        <v>13330.94966</v>
      </c>
      <c r="J571" s="73"/>
    </row>
    <row r="572" spans="1:10" x14ac:dyDescent="0.25">
      <c r="C572" s="191">
        <f t="shared" ref="C572:C575" si="235">I572-D572</f>
        <v>0</v>
      </c>
      <c r="D572" s="191">
        <f t="shared" ref="D572:D575" si="236">G572+H572</f>
        <v>12487.64421</v>
      </c>
      <c r="E572" s="63" t="s">
        <v>63</v>
      </c>
      <c r="F572" s="64"/>
      <c r="G572" s="209">
        <f>G288+G337+G405</f>
        <v>12487.64421</v>
      </c>
      <c r="H572" s="209">
        <f>H288+H337+H405</f>
        <v>0</v>
      </c>
      <c r="I572" s="209">
        <f>I288+I337+I405</f>
        <v>12487.64421</v>
      </c>
      <c r="J572" s="73"/>
    </row>
    <row r="573" spans="1:10" x14ac:dyDescent="0.25">
      <c r="C573" s="191">
        <f t="shared" si="235"/>
        <v>0</v>
      </c>
      <c r="D573" s="191">
        <f t="shared" si="236"/>
        <v>1356.106</v>
      </c>
      <c r="E573" s="63" t="s">
        <v>31</v>
      </c>
      <c r="F573" s="64"/>
      <c r="G573" s="209">
        <f>G239+G426</f>
        <v>1356.106</v>
      </c>
      <c r="H573" s="209">
        <f>H239+H426</f>
        <v>0</v>
      </c>
      <c r="I573" s="209">
        <f>I239+I426</f>
        <v>1356.106</v>
      </c>
      <c r="J573" s="73"/>
    </row>
    <row r="574" spans="1:10" x14ac:dyDescent="0.25">
      <c r="C574" s="191">
        <f t="shared" si="235"/>
        <v>0</v>
      </c>
      <c r="D574" s="191">
        <f t="shared" si="236"/>
        <v>480</v>
      </c>
      <c r="E574" s="63" t="s">
        <v>103</v>
      </c>
      <c r="F574" s="64"/>
      <c r="G574" s="209">
        <f>G305</f>
        <v>480</v>
      </c>
      <c r="H574" s="209">
        <f>H305</f>
        <v>0</v>
      </c>
      <c r="I574" s="209">
        <f>I305</f>
        <v>480</v>
      </c>
      <c r="J574" s="73"/>
    </row>
    <row r="575" spans="1:10" s="34" customFormat="1" ht="12.75" x14ac:dyDescent="0.2">
      <c r="A575" s="62"/>
      <c r="C575" s="191">
        <f t="shared" si="235"/>
        <v>0</v>
      </c>
      <c r="D575" s="191">
        <f t="shared" si="236"/>
        <v>27654.69987</v>
      </c>
      <c r="E575" s="65" t="s">
        <v>4</v>
      </c>
      <c r="F575" s="66"/>
      <c r="G575" s="61">
        <f t="shared" ref="G575" si="237">SUM(G571:G574)</f>
        <v>28465.85887</v>
      </c>
      <c r="H575" s="61">
        <f t="shared" ref="H575:I575" si="238">SUM(H571:H574)</f>
        <v>-811.15899999999999</v>
      </c>
      <c r="I575" s="61">
        <f t="shared" si="238"/>
        <v>27654.69987</v>
      </c>
      <c r="J575" s="72"/>
    </row>
    <row r="576" spans="1:10" x14ac:dyDescent="0.25">
      <c r="C576" s="191">
        <f>I576-D576</f>
        <v>0</v>
      </c>
      <c r="D576" s="191">
        <f>G576+H576</f>
        <v>1628.0509999999999</v>
      </c>
      <c r="E576" s="63" t="s">
        <v>75</v>
      </c>
      <c r="F576" s="64"/>
      <c r="G576" s="209">
        <f>G476</f>
        <v>1628.0509999999999</v>
      </c>
      <c r="H576" s="209">
        <f>H476</f>
        <v>0</v>
      </c>
      <c r="I576" s="209">
        <f>I476</f>
        <v>1628.0509999999999</v>
      </c>
      <c r="J576" s="73"/>
    </row>
    <row r="577" spans="1:10" x14ac:dyDescent="0.25">
      <c r="C577" s="191">
        <f t="shared" ref="C577:C594" si="239">I577-D577</f>
        <v>0</v>
      </c>
      <c r="D577" s="191">
        <f t="shared" ref="D577:D594" si="240">G577+H577</f>
        <v>6898.3645900000001</v>
      </c>
      <c r="E577" s="63" t="s">
        <v>619</v>
      </c>
      <c r="F577" s="64"/>
      <c r="G577" s="209">
        <f>G482</f>
        <v>6898.3645900000001</v>
      </c>
      <c r="H577" s="209">
        <f>H482</f>
        <v>0</v>
      </c>
      <c r="I577" s="209">
        <f>I482</f>
        <v>6898.3645900000001</v>
      </c>
      <c r="J577" s="73"/>
    </row>
    <row r="578" spans="1:10" x14ac:dyDescent="0.25">
      <c r="C578" s="191" t="e">
        <f t="shared" si="239"/>
        <v>#REF!</v>
      </c>
      <c r="D578" s="191" t="e">
        <f t="shared" si="240"/>
        <v>#REF!</v>
      </c>
      <c r="E578" s="63" t="s">
        <v>41</v>
      </c>
      <c r="F578" s="64"/>
      <c r="G578" s="209" t="e">
        <f>G243+G394+G453+#REF!</f>
        <v>#REF!</v>
      </c>
      <c r="H578" s="209" t="e">
        <f>H243+H394+H453+#REF!</f>
        <v>#REF!</v>
      </c>
      <c r="I578" s="209" t="e">
        <f>I243+I394+I453+#REF!</f>
        <v>#REF!</v>
      </c>
      <c r="J578" s="73"/>
    </row>
    <row r="579" spans="1:10" x14ac:dyDescent="0.25">
      <c r="C579" s="191">
        <f t="shared" si="239"/>
        <v>0</v>
      </c>
      <c r="D579" s="191">
        <f t="shared" si="240"/>
        <v>1338.53</v>
      </c>
      <c r="E579" s="63" t="s">
        <v>57</v>
      </c>
      <c r="F579" s="64"/>
      <c r="G579" s="209">
        <f>G217+G400+G413+G495</f>
        <v>1338.53</v>
      </c>
      <c r="H579" s="209">
        <f>H217+H400+H413+H495</f>
        <v>0</v>
      </c>
      <c r="I579" s="209">
        <f>I217+I400+I413+I495</f>
        <v>1338.53</v>
      </c>
      <c r="J579" s="73"/>
    </row>
    <row r="580" spans="1:10" x14ac:dyDescent="0.25">
      <c r="C580" s="191">
        <f t="shared" si="239"/>
        <v>0</v>
      </c>
      <c r="D580" s="191">
        <f t="shared" si="240"/>
        <v>0</v>
      </c>
      <c r="E580" s="63" t="s">
        <v>60</v>
      </c>
      <c r="F580" s="64"/>
      <c r="G580" s="209"/>
      <c r="H580" s="209"/>
      <c r="I580" s="209"/>
      <c r="J580" s="73"/>
    </row>
    <row r="581" spans="1:10" x14ac:dyDescent="0.25">
      <c r="C581" s="191">
        <f t="shared" si="239"/>
        <v>0</v>
      </c>
      <c r="D581" s="191">
        <f t="shared" si="240"/>
        <v>1314.9211599999999</v>
      </c>
      <c r="E581" s="63" t="s">
        <v>453</v>
      </c>
      <c r="F581" s="64"/>
      <c r="G581" s="209">
        <f>G501+G409+G446</f>
        <v>1314.9211599999999</v>
      </c>
      <c r="H581" s="209">
        <f>H501+H409+H446</f>
        <v>0</v>
      </c>
      <c r="I581" s="209">
        <f>I501+I409+I446</f>
        <v>1314.9211599999999</v>
      </c>
      <c r="J581" s="73"/>
    </row>
    <row r="582" spans="1:10" s="34" customFormat="1" ht="12.75" x14ac:dyDescent="0.2">
      <c r="A582" s="62"/>
      <c r="C582" s="191" t="e">
        <f t="shared" si="239"/>
        <v>#REF!</v>
      </c>
      <c r="D582" s="191" t="e">
        <f t="shared" si="240"/>
        <v>#REF!</v>
      </c>
      <c r="E582" s="65" t="s">
        <v>3</v>
      </c>
      <c r="F582" s="66"/>
      <c r="G582" s="61" t="e">
        <f>SUM(G576:G581)</f>
        <v>#REF!</v>
      </c>
      <c r="H582" s="61" t="e">
        <f t="shared" ref="H582" si="241">SUM(H576:H581)</f>
        <v>#REF!</v>
      </c>
      <c r="I582" s="61" t="e">
        <f>SUM(I576:I581)</f>
        <v>#REF!</v>
      </c>
      <c r="J582" s="72"/>
    </row>
    <row r="583" spans="1:10" x14ac:dyDescent="0.25">
      <c r="C583" s="191">
        <f t="shared" si="239"/>
        <v>0</v>
      </c>
      <c r="D583" s="191">
        <f t="shared" si="240"/>
        <v>4769.93588</v>
      </c>
      <c r="E583" s="63" t="s">
        <v>139</v>
      </c>
      <c r="F583" s="64"/>
      <c r="G583" s="209">
        <f>G108</f>
        <v>4769.93588</v>
      </c>
      <c r="H583" s="209">
        <f>H108</f>
        <v>0</v>
      </c>
      <c r="I583" s="209">
        <f>I108</f>
        <v>4769.93588</v>
      </c>
      <c r="J583" s="73"/>
    </row>
    <row r="584" spans="1:10" x14ac:dyDescent="0.25">
      <c r="C584" s="191" t="e">
        <f t="shared" si="239"/>
        <v>#REF!</v>
      </c>
      <c r="D584" s="191" t="e">
        <f t="shared" si="240"/>
        <v>#REF!</v>
      </c>
      <c r="E584" s="63" t="s">
        <v>12</v>
      </c>
      <c r="F584" s="64"/>
      <c r="G584" s="209" t="e">
        <f>#REF!+G121+G183+G190+G227+G248+G432+G171+G128+G135+G177</f>
        <v>#REF!</v>
      </c>
      <c r="H584" s="209" t="e">
        <f>#REF!+H121+H183+H190+H227+H248+H432+H171+H128+H135+H177</f>
        <v>#REF!</v>
      </c>
      <c r="I584" s="209" t="e">
        <f>#REF!+I121+I183+I190+I227+I248+I432+I171+I128+I135+I177</f>
        <v>#REF!</v>
      </c>
      <c r="J584" s="73"/>
    </row>
    <row r="585" spans="1:10" x14ac:dyDescent="0.25">
      <c r="C585" s="191">
        <f t="shared" si="239"/>
        <v>0</v>
      </c>
      <c r="D585" s="191">
        <f t="shared" si="240"/>
        <v>0</v>
      </c>
      <c r="E585" s="63" t="s">
        <v>97</v>
      </c>
      <c r="F585" s="64"/>
      <c r="G585" s="209"/>
      <c r="H585" s="209"/>
      <c r="I585" s="209"/>
      <c r="J585" s="73"/>
    </row>
    <row r="586" spans="1:10" s="34" customFormat="1" ht="12.75" x14ac:dyDescent="0.2">
      <c r="A586" s="62"/>
      <c r="C586" s="191" t="e">
        <f t="shared" si="239"/>
        <v>#REF!</v>
      </c>
      <c r="D586" s="191" t="e">
        <f t="shared" si="240"/>
        <v>#REF!</v>
      </c>
      <c r="E586" s="65" t="s">
        <v>2</v>
      </c>
      <c r="F586" s="66"/>
      <c r="G586" s="61" t="e">
        <f t="shared" ref="G586:I586" si="242">SUM(G583:G585)</f>
        <v>#REF!</v>
      </c>
      <c r="H586" s="61" t="e">
        <f t="shared" si="242"/>
        <v>#REF!</v>
      </c>
      <c r="I586" s="61" t="e">
        <f t="shared" si="242"/>
        <v>#REF!</v>
      </c>
      <c r="J586" s="72"/>
    </row>
    <row r="587" spans="1:10" ht="12.75" x14ac:dyDescent="0.2">
      <c r="C587" s="191">
        <f t="shared" si="239"/>
        <v>0</v>
      </c>
      <c r="D587" s="191">
        <f t="shared" si="240"/>
        <v>3407.81</v>
      </c>
      <c r="E587" s="63" t="s">
        <v>419</v>
      </c>
      <c r="F587" s="64"/>
      <c r="G587" s="2">
        <f>G264</f>
        <v>3407.81</v>
      </c>
      <c r="H587" s="2">
        <f>H264</f>
        <v>0</v>
      </c>
      <c r="I587" s="2">
        <f>I264</f>
        <v>3407.81</v>
      </c>
      <c r="J587" s="73"/>
    </row>
    <row r="588" spans="1:10" ht="12.75" x14ac:dyDescent="0.2">
      <c r="C588" s="191">
        <f t="shared" si="239"/>
        <v>0</v>
      </c>
      <c r="D588" s="191">
        <f t="shared" si="240"/>
        <v>0</v>
      </c>
      <c r="E588" s="63" t="s">
        <v>418</v>
      </c>
      <c r="F588" s="64"/>
      <c r="G588" s="2"/>
      <c r="H588" s="2"/>
      <c r="I588" s="2"/>
      <c r="J588" s="73"/>
    </row>
    <row r="589" spans="1:10" ht="12.75" x14ac:dyDescent="0.2">
      <c r="C589" s="191">
        <f t="shared" si="239"/>
        <v>0</v>
      </c>
      <c r="D589" s="191">
        <f t="shared" si="240"/>
        <v>3525.1080799999995</v>
      </c>
      <c r="E589" s="63" t="s">
        <v>95</v>
      </c>
      <c r="F589" s="64"/>
      <c r="G589" s="2">
        <f>G273+G279+G221+G254+G139</f>
        <v>3899.5513399999995</v>
      </c>
      <c r="H589" s="2">
        <f>H273+H279+H221+H254+H139</f>
        <v>-374.44326000000001</v>
      </c>
      <c r="I589" s="2">
        <f>I273+I279+I221+I254+I139</f>
        <v>3525.1080799999995</v>
      </c>
      <c r="J589" s="73"/>
    </row>
    <row r="590" spans="1:10" ht="12.75" x14ac:dyDescent="0.2">
      <c r="C590" s="191">
        <f t="shared" si="239"/>
        <v>0</v>
      </c>
      <c r="D590" s="191">
        <f t="shared" si="240"/>
        <v>8425.0397999999986</v>
      </c>
      <c r="E590" s="63" t="s">
        <v>91</v>
      </c>
      <c r="F590" s="64"/>
      <c r="G590" s="2">
        <f>G332+G341+G373+G163+G158</f>
        <v>8425.0397999999986</v>
      </c>
      <c r="H590" s="2">
        <f>H332+H341+H373+H163+H158</f>
        <v>0</v>
      </c>
      <c r="I590" s="2">
        <f>I332+I341+I373+I163+I158</f>
        <v>8425.0397999999986</v>
      </c>
      <c r="J590" s="2"/>
    </row>
    <row r="591" spans="1:10" ht="12.75" x14ac:dyDescent="0.2">
      <c r="C591" s="191">
        <f t="shared" si="239"/>
        <v>0</v>
      </c>
      <c r="D591" s="191">
        <f t="shared" si="240"/>
        <v>6362.9589999999998</v>
      </c>
      <c r="E591" s="63" t="s">
        <v>386</v>
      </c>
      <c r="F591" s="64"/>
      <c r="G591" s="2">
        <f>G298+G145</f>
        <v>5551.8</v>
      </c>
      <c r="H591" s="2">
        <f>H298+H145</f>
        <v>811.15899999999999</v>
      </c>
      <c r="I591" s="2">
        <f>I298+I145</f>
        <v>6362.9589999999998</v>
      </c>
      <c r="J591" s="77"/>
    </row>
    <row r="592" spans="1:10" ht="12.75" x14ac:dyDescent="0.2">
      <c r="C592" s="191">
        <f t="shared" si="239"/>
        <v>0</v>
      </c>
      <c r="D592" s="191">
        <f t="shared" si="240"/>
        <v>15</v>
      </c>
      <c r="E592" s="63" t="s">
        <v>415</v>
      </c>
      <c r="F592" s="64"/>
      <c r="G592" s="2">
        <f>G258</f>
        <v>15</v>
      </c>
      <c r="H592" s="2">
        <f>H258</f>
        <v>0</v>
      </c>
      <c r="I592" s="2">
        <f>I258</f>
        <v>15</v>
      </c>
      <c r="J592" s="77"/>
    </row>
    <row r="593" spans="1:10" s="34" customFormat="1" ht="12.75" x14ac:dyDescent="0.2">
      <c r="A593" s="62"/>
      <c r="C593" s="191">
        <f t="shared" si="239"/>
        <v>0</v>
      </c>
      <c r="D593" s="191">
        <f t="shared" si="240"/>
        <v>21735.916879999997</v>
      </c>
      <c r="E593" s="65" t="s">
        <v>1</v>
      </c>
      <c r="F593" s="66"/>
      <c r="G593" s="61">
        <f t="shared" ref="G593" si="243">SUM(G587:G592)</f>
        <v>21299.201139999997</v>
      </c>
      <c r="H593" s="61">
        <f t="shared" ref="H593:I593" si="244">SUM(H587:H592)</f>
        <v>436.71573999999998</v>
      </c>
      <c r="I593" s="61">
        <f t="shared" si="244"/>
        <v>21735.916879999997</v>
      </c>
      <c r="J593" s="72"/>
    </row>
    <row r="594" spans="1:10" ht="12.75" x14ac:dyDescent="0.2">
      <c r="C594" s="191">
        <f t="shared" si="239"/>
        <v>0</v>
      </c>
      <c r="D594" s="191">
        <f t="shared" si="240"/>
        <v>0</v>
      </c>
      <c r="E594" s="63" t="s">
        <v>325</v>
      </c>
      <c r="F594" s="64"/>
      <c r="G594" s="2"/>
      <c r="H594" s="2"/>
      <c r="I594" s="2"/>
      <c r="J594" s="73"/>
    </row>
    <row r="595" spans="1:10" s="34" customFormat="1" ht="12.75" x14ac:dyDescent="0.2">
      <c r="A595" s="62"/>
      <c r="C595" s="34" t="s">
        <v>397</v>
      </c>
      <c r="E595" s="65" t="s">
        <v>243</v>
      </c>
      <c r="F595" s="66"/>
      <c r="G595" s="61">
        <f t="shared" ref="G595:I595" si="245">G594</f>
        <v>0</v>
      </c>
      <c r="H595" s="61">
        <f t="shared" si="245"/>
        <v>0</v>
      </c>
      <c r="I595" s="61">
        <f t="shared" si="245"/>
        <v>0</v>
      </c>
      <c r="J595" s="72"/>
    </row>
    <row r="596" spans="1:10" ht="12.75" x14ac:dyDescent="0.2">
      <c r="C596" s="191">
        <f t="shared" ref="C596:C609" si="246">I596-D596</f>
        <v>0</v>
      </c>
      <c r="D596" s="191">
        <f t="shared" ref="D596:D609" si="247">G596+H596</f>
        <v>1455.9480100000001</v>
      </c>
      <c r="E596" s="63" t="s">
        <v>449</v>
      </c>
      <c r="F596" s="64"/>
      <c r="G596" s="2">
        <f>G75</f>
        <v>1455.9480100000001</v>
      </c>
      <c r="H596" s="2">
        <f>H75</f>
        <v>0</v>
      </c>
      <c r="I596" s="2">
        <f>I75</f>
        <v>1455.9480100000001</v>
      </c>
      <c r="J596" s="73"/>
    </row>
    <row r="597" spans="1:10" ht="12.75" x14ac:dyDescent="0.2">
      <c r="C597" s="191">
        <f t="shared" si="246"/>
        <v>0</v>
      </c>
      <c r="D597" s="191">
        <f t="shared" si="247"/>
        <v>4239.24881</v>
      </c>
      <c r="E597" s="63" t="s">
        <v>450</v>
      </c>
      <c r="F597" s="64"/>
      <c r="G597" s="2">
        <f>G79</f>
        <v>4239.24881</v>
      </c>
      <c r="H597" s="2">
        <f>H79</f>
        <v>0</v>
      </c>
      <c r="I597" s="2">
        <f>I79</f>
        <v>4239.24881</v>
      </c>
      <c r="J597" s="73"/>
    </row>
    <row r="598" spans="1:10" ht="12.75" x14ac:dyDescent="0.2">
      <c r="C598" s="191">
        <f t="shared" si="246"/>
        <v>0</v>
      </c>
      <c r="D598" s="191">
        <f t="shared" si="247"/>
        <v>10415.27471</v>
      </c>
      <c r="E598" s="63" t="s">
        <v>451</v>
      </c>
      <c r="F598" s="64"/>
      <c r="G598" s="2">
        <f>G88</f>
        <v>10415.27471</v>
      </c>
      <c r="H598" s="2">
        <f>H88</f>
        <v>0</v>
      </c>
      <c r="I598" s="2">
        <f>I88</f>
        <v>10415.27471</v>
      </c>
      <c r="J598" s="73"/>
    </row>
    <row r="599" spans="1:10" ht="12.75" x14ac:dyDescent="0.2">
      <c r="C599" s="191">
        <f t="shared" si="246"/>
        <v>0</v>
      </c>
      <c r="D599" s="191">
        <f t="shared" si="247"/>
        <v>472870.42912000004</v>
      </c>
      <c r="E599" s="63" t="s">
        <v>421</v>
      </c>
      <c r="F599" s="64"/>
      <c r="G599" s="2">
        <f>G11+G27+G100+G379+G386</f>
        <v>466654.89654000005</v>
      </c>
      <c r="H599" s="2">
        <f>H11+H27+H100+H379+H386</f>
        <v>6215.5325800000001</v>
      </c>
      <c r="I599" s="2">
        <f>I11+I27+I100+I379+I386</f>
        <v>472870.42912000004</v>
      </c>
      <c r="J599" s="73"/>
    </row>
    <row r="600" spans="1:10" ht="12.75" x14ac:dyDescent="0.2">
      <c r="C600" s="191">
        <f t="shared" si="246"/>
        <v>0</v>
      </c>
      <c r="D600" s="191">
        <f t="shared" si="247"/>
        <v>32797.205840000002</v>
      </c>
      <c r="E600" s="63" t="s">
        <v>430</v>
      </c>
      <c r="F600" s="64"/>
      <c r="G600" s="2">
        <f>G51+G69+G439</f>
        <v>31749.205840000002</v>
      </c>
      <c r="H600" s="2">
        <f>H51+H69+H439</f>
        <v>1048</v>
      </c>
      <c r="I600" s="2">
        <f>I51+I69+I439</f>
        <v>32797.205839999995</v>
      </c>
      <c r="J600" s="73"/>
    </row>
    <row r="601" spans="1:10" ht="12.75" x14ac:dyDescent="0.2">
      <c r="C601" s="191">
        <f t="shared" si="246"/>
        <v>0</v>
      </c>
      <c r="D601" s="191">
        <f t="shared" si="247"/>
        <v>521778.10649000003</v>
      </c>
      <c r="E601" s="65" t="s">
        <v>452</v>
      </c>
      <c r="F601" s="64"/>
      <c r="G601" s="61">
        <f>SUM(G596:G600)</f>
        <v>514514.57391000004</v>
      </c>
      <c r="H601" s="61">
        <f t="shared" ref="H601:I601" si="248">SUM(H596:H600)</f>
        <v>7263.5325800000001</v>
      </c>
      <c r="I601" s="61">
        <f t="shared" si="248"/>
        <v>521778.10649000003</v>
      </c>
      <c r="J601" s="73"/>
    </row>
    <row r="602" spans="1:10" ht="12.75" x14ac:dyDescent="0.2">
      <c r="C602" s="191">
        <f t="shared" si="246"/>
        <v>0</v>
      </c>
      <c r="D602" s="191">
        <f t="shared" si="247"/>
        <v>9534.5894999999982</v>
      </c>
      <c r="E602" s="63" t="s">
        <v>589</v>
      </c>
      <c r="F602" s="64"/>
      <c r="G602" s="2">
        <f>G312</f>
        <v>9534.5894999999982</v>
      </c>
      <c r="H602" s="2">
        <f>H312</f>
        <v>0</v>
      </c>
      <c r="I602" s="2">
        <f>I312</f>
        <v>9534.5894999999982</v>
      </c>
      <c r="J602" s="73"/>
    </row>
    <row r="603" spans="1:10" ht="12.75" x14ac:dyDescent="0.2">
      <c r="C603" s="191">
        <f t="shared" si="246"/>
        <v>0</v>
      </c>
      <c r="D603" s="191">
        <f t="shared" si="247"/>
        <v>16358.8181</v>
      </c>
      <c r="E603" s="63" t="s">
        <v>398</v>
      </c>
      <c r="F603" s="64"/>
      <c r="G603" s="2">
        <f>G321+G363</f>
        <v>16099.8181</v>
      </c>
      <c r="H603" s="2">
        <f>H321+H363</f>
        <v>259</v>
      </c>
      <c r="I603" s="2">
        <f>I321+I363</f>
        <v>16358.8181</v>
      </c>
      <c r="J603" s="73"/>
    </row>
    <row r="604" spans="1:10" ht="12.75" x14ac:dyDescent="0.2">
      <c r="C604" s="191">
        <f t="shared" si="246"/>
        <v>0</v>
      </c>
      <c r="D604" s="191">
        <f t="shared" si="247"/>
        <v>1543.0900000000001</v>
      </c>
      <c r="E604" s="63" t="s">
        <v>394</v>
      </c>
      <c r="F604" s="64"/>
      <c r="G604" s="2">
        <f>G326+G152</f>
        <v>1543.0900000000001</v>
      </c>
      <c r="H604" s="2">
        <f>H326+H152</f>
        <v>0</v>
      </c>
      <c r="I604" s="2">
        <f>I326+I152</f>
        <v>1543.0900000000001</v>
      </c>
      <c r="J604" s="73"/>
    </row>
    <row r="605" spans="1:10" s="34" customFormat="1" ht="12.75" x14ac:dyDescent="0.2">
      <c r="A605" s="62"/>
      <c r="C605" s="191">
        <f t="shared" si="246"/>
        <v>0</v>
      </c>
      <c r="D605" s="191">
        <f t="shared" si="247"/>
        <v>27436.497599999999</v>
      </c>
      <c r="E605" s="65" t="s">
        <v>399</v>
      </c>
      <c r="F605" s="66"/>
      <c r="G605" s="61">
        <f>SUM(G602:G604)</f>
        <v>27177.497599999999</v>
      </c>
      <c r="H605" s="61">
        <f t="shared" ref="H605:I605" si="249">SUM(H602:H604)</f>
        <v>259</v>
      </c>
      <c r="I605" s="61">
        <f t="shared" si="249"/>
        <v>27436.497599999999</v>
      </c>
      <c r="J605" s="72"/>
    </row>
    <row r="606" spans="1:10" ht="12.75" x14ac:dyDescent="0.2">
      <c r="C606" s="191">
        <f t="shared" si="246"/>
        <v>0</v>
      </c>
      <c r="D606" s="191">
        <f t="shared" si="247"/>
        <v>0</v>
      </c>
      <c r="E606" s="63"/>
      <c r="F606" s="64"/>
      <c r="G606" s="2"/>
      <c r="H606" s="2"/>
      <c r="I606" s="2"/>
      <c r="J606" s="73"/>
    </row>
    <row r="607" spans="1:10" ht="12.75" x14ac:dyDescent="0.2">
      <c r="C607" s="191">
        <f t="shared" si="246"/>
        <v>0</v>
      </c>
      <c r="D607" s="191">
        <f t="shared" si="247"/>
        <v>0</v>
      </c>
      <c r="E607" s="63"/>
      <c r="F607" s="64"/>
      <c r="G607" s="2"/>
      <c r="H607" s="2"/>
      <c r="I607" s="2"/>
      <c r="J607" s="73"/>
    </row>
    <row r="608" spans="1:10" s="34" customFormat="1" ht="12.75" x14ac:dyDescent="0.2">
      <c r="A608" s="62"/>
      <c r="C608" s="191">
        <f t="shared" si="246"/>
        <v>0</v>
      </c>
      <c r="D608" s="191">
        <f t="shared" si="247"/>
        <v>7527.2080800000003</v>
      </c>
      <c r="E608" s="65" t="s">
        <v>0</v>
      </c>
      <c r="F608" s="61"/>
      <c r="G608" s="61">
        <f>G116+G199+G202+G204+G232+G422+G48+G132+G149+G276+G491+G236+G167</f>
        <v>7502.2080800000003</v>
      </c>
      <c r="H608" s="61">
        <f t="shared" ref="H608:I608" si="250">H116+H199+H202+H204+H232+H422+H48+H132+H149+H276+H491+H236+H167</f>
        <v>25</v>
      </c>
      <c r="I608" s="61">
        <f t="shared" si="250"/>
        <v>7527.2080800000003</v>
      </c>
      <c r="J608" s="72"/>
    </row>
    <row r="609" spans="3:10" ht="12.75" x14ac:dyDescent="0.2">
      <c r="C609" s="191">
        <f t="shared" si="246"/>
        <v>0</v>
      </c>
      <c r="D609" s="191">
        <f t="shared" si="247"/>
        <v>0</v>
      </c>
      <c r="E609" s="64" t="s">
        <v>326</v>
      </c>
      <c r="F609" s="64"/>
      <c r="G609" s="2"/>
      <c r="H609" s="2"/>
      <c r="I609" s="2"/>
      <c r="J609" s="73"/>
    </row>
    <row r="610" spans="3:10" ht="12.75" x14ac:dyDescent="0.2">
      <c r="E610" s="64"/>
      <c r="F610" s="64"/>
      <c r="G610" s="2" t="e">
        <f>G575+G582+G586+G593+G595+G608+G609+G601+G605</f>
        <v>#REF!</v>
      </c>
      <c r="H610" s="2" t="e">
        <f t="shared" ref="H610" si="251">H575+H582+H586+H593+H595+H608+H609+H601+H605</f>
        <v>#REF!</v>
      </c>
      <c r="I610" s="2" t="e">
        <f>I575+I582+I586+I593+I595+I608+I609+I601+I605</f>
        <v>#REF!</v>
      </c>
      <c r="J610" s="73"/>
    </row>
    <row r="611" spans="3:10" ht="12.75" x14ac:dyDescent="0.2">
      <c r="E611" s="64"/>
      <c r="F611" s="64"/>
      <c r="G611" s="2" t="e">
        <f t="shared" ref="G611:I611" si="252">G506-G610</f>
        <v>#REF!</v>
      </c>
      <c r="H611" s="2" t="e">
        <f t="shared" si="252"/>
        <v>#REF!</v>
      </c>
      <c r="I611" s="2" t="e">
        <f t="shared" si="252"/>
        <v>#REF!</v>
      </c>
      <c r="J611" s="73"/>
    </row>
    <row r="613" spans="3:10" x14ac:dyDescent="0.25">
      <c r="E613" s="192" t="s">
        <v>15</v>
      </c>
    </row>
    <row r="614" spans="3:10" x14ac:dyDescent="0.25">
      <c r="E614" s="192" t="s">
        <v>27</v>
      </c>
    </row>
    <row r="615" spans="3:10" x14ac:dyDescent="0.25">
      <c r="E615" s="192" t="s">
        <v>6</v>
      </c>
    </row>
    <row r="616" spans="3:10" x14ac:dyDescent="0.25">
      <c r="E616" s="192" t="s">
        <v>59</v>
      </c>
    </row>
    <row r="617" spans="3:10" x14ac:dyDescent="0.25">
      <c r="E617" s="192" t="s">
        <v>36</v>
      </c>
    </row>
    <row r="618" spans="3:10" x14ac:dyDescent="0.25">
      <c r="E618" s="192" t="s">
        <v>53</v>
      </c>
    </row>
    <row r="619" spans="3:10" x14ac:dyDescent="0.25">
      <c r="E619" s="192" t="s">
        <v>79</v>
      </c>
    </row>
    <row r="620" spans="3:10" x14ac:dyDescent="0.25">
      <c r="E620" s="192" t="s">
        <v>225</v>
      </c>
    </row>
    <row r="621" spans="3:10" x14ac:dyDescent="0.25">
      <c r="E621" s="192"/>
    </row>
    <row r="622" spans="3:10" x14ac:dyDescent="0.25">
      <c r="E622" s="192"/>
    </row>
  </sheetData>
  <mergeCells count="35">
    <mergeCell ref="C564:D564"/>
    <mergeCell ref="E564:F564"/>
    <mergeCell ref="C557:D557"/>
    <mergeCell ref="E557:F557"/>
    <mergeCell ref="C560:D560"/>
    <mergeCell ref="E560:F560"/>
    <mergeCell ref="C562:D562"/>
    <mergeCell ref="E562:F562"/>
    <mergeCell ref="C543:D543"/>
    <mergeCell ref="E543:F543"/>
    <mergeCell ref="C546:D546"/>
    <mergeCell ref="E546:F546"/>
    <mergeCell ref="C551:D551"/>
    <mergeCell ref="E551:F551"/>
    <mergeCell ref="C530:D530"/>
    <mergeCell ref="E530:F530"/>
    <mergeCell ref="C534:D534"/>
    <mergeCell ref="E534:F534"/>
    <mergeCell ref="C536:D536"/>
    <mergeCell ref="E536:F536"/>
    <mergeCell ref="C525:D525"/>
    <mergeCell ref="E525:F525"/>
    <mergeCell ref="G1:I1"/>
    <mergeCell ref="G2:I2"/>
    <mergeCell ref="A3:I3"/>
    <mergeCell ref="A5:A6"/>
    <mergeCell ref="B5:F5"/>
    <mergeCell ref="G5:G6"/>
    <mergeCell ref="H5:H6"/>
    <mergeCell ref="I5:I6"/>
    <mergeCell ref="E509:F509"/>
    <mergeCell ref="C518:D518"/>
    <mergeCell ref="E518:F518"/>
    <mergeCell ref="C520:D520"/>
    <mergeCell ref="E520:F520"/>
  </mergeCells>
  <pageMargins left="0.98425196850393704" right="0" top="0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view="pageBreakPreview" topLeftCell="A4" zoomScale="80" zoomScaleNormal="100" zoomScaleSheetLayoutView="80" workbookViewId="0">
      <selection activeCell="J10" sqref="J10"/>
    </sheetView>
  </sheetViews>
  <sheetFormatPr defaultColWidth="8.85546875" defaultRowHeight="12.75" x14ac:dyDescent="0.25"/>
  <cols>
    <col min="1" max="1" width="7.140625" style="176" customWidth="1"/>
    <col min="2" max="2" width="46.42578125" style="177" customWidth="1"/>
    <col min="3" max="3" width="15.5703125" style="176" customWidth="1"/>
    <col min="4" max="5" width="7.7109375" style="176" customWidth="1"/>
    <col min="6" max="7" width="14" style="176" customWidth="1"/>
    <col min="8" max="8" width="8.140625" style="176" customWidth="1"/>
    <col min="9" max="9" width="7.42578125" style="176" customWidth="1"/>
    <col min="10" max="10" width="11.7109375" style="176" customWidth="1"/>
    <col min="11" max="11" width="12.85546875" style="176" customWidth="1"/>
    <col min="12" max="13" width="6.5703125" style="176" customWidth="1"/>
    <col min="14" max="14" width="12.28515625" style="176" customWidth="1"/>
    <col min="15" max="16384" width="8.85546875" style="176"/>
  </cols>
  <sheetData>
    <row r="1" spans="1:14" ht="84.75" customHeight="1" x14ac:dyDescent="0.25">
      <c r="D1" s="178"/>
      <c r="E1" s="179"/>
      <c r="G1" s="194"/>
      <c r="H1" s="194"/>
      <c r="I1" s="194"/>
      <c r="J1" s="408" t="s">
        <v>975</v>
      </c>
      <c r="K1" s="409"/>
      <c r="L1" s="409"/>
      <c r="M1" s="409"/>
      <c r="N1" s="409"/>
    </row>
    <row r="2" spans="1:14" ht="13.5" customHeight="1" x14ac:dyDescent="0.25">
      <c r="B2" s="180"/>
    </row>
    <row r="3" spans="1:14" ht="26.25" customHeight="1" x14ac:dyDescent="0.25">
      <c r="A3" s="410" t="s">
        <v>565</v>
      </c>
      <c r="B3" s="410"/>
      <c r="C3" s="410"/>
      <c r="D3" s="410"/>
      <c r="E3" s="410"/>
      <c r="F3" s="410"/>
      <c r="G3" s="410"/>
      <c r="H3" s="410"/>
      <c r="I3" s="410"/>
      <c r="J3" s="410"/>
      <c r="K3" s="368"/>
      <c r="L3" s="368"/>
      <c r="M3" s="368"/>
      <c r="N3" s="368"/>
    </row>
    <row r="4" spans="1:14" ht="17.25" customHeight="1" x14ac:dyDescent="0.25">
      <c r="B4" s="180"/>
      <c r="E4" s="181"/>
      <c r="N4" s="176" t="s">
        <v>161</v>
      </c>
    </row>
    <row r="5" spans="1:14" ht="31.7" customHeight="1" x14ac:dyDescent="0.25">
      <c r="A5" s="411" t="s">
        <v>513</v>
      </c>
      <c r="B5" s="411" t="s">
        <v>220</v>
      </c>
      <c r="C5" s="411" t="s">
        <v>521</v>
      </c>
      <c r="D5" s="411"/>
      <c r="E5" s="411"/>
      <c r="F5" s="411"/>
      <c r="G5" s="411" t="s">
        <v>512</v>
      </c>
      <c r="H5" s="411"/>
      <c r="I5" s="411"/>
      <c r="J5" s="411"/>
      <c r="K5" s="411" t="s">
        <v>347</v>
      </c>
      <c r="L5" s="411"/>
      <c r="M5" s="411"/>
      <c r="N5" s="411"/>
    </row>
    <row r="6" spans="1:14" ht="81.75" customHeight="1" x14ac:dyDescent="0.25">
      <c r="A6" s="411"/>
      <c r="B6" s="411"/>
      <c r="C6" s="182" t="s">
        <v>210</v>
      </c>
      <c r="D6" s="182" t="s">
        <v>514</v>
      </c>
      <c r="E6" s="183" t="s">
        <v>515</v>
      </c>
      <c r="F6" s="183" t="s">
        <v>516</v>
      </c>
      <c r="G6" s="182" t="s">
        <v>210</v>
      </c>
      <c r="H6" s="182" t="s">
        <v>514</v>
      </c>
      <c r="I6" s="183" t="s">
        <v>515</v>
      </c>
      <c r="J6" s="183" t="s">
        <v>516</v>
      </c>
      <c r="K6" s="182" t="s">
        <v>210</v>
      </c>
      <c r="L6" s="182" t="s">
        <v>514</v>
      </c>
      <c r="M6" s="183" t="s">
        <v>515</v>
      </c>
      <c r="N6" s="183" t="s">
        <v>516</v>
      </c>
    </row>
    <row r="7" spans="1:14" ht="20.25" customHeight="1" x14ac:dyDescent="0.25">
      <c r="A7" s="184" t="s">
        <v>475</v>
      </c>
      <c r="B7" s="184" t="s">
        <v>476</v>
      </c>
      <c r="C7" s="184">
        <v>1</v>
      </c>
      <c r="D7" s="184">
        <f>C7+1</f>
        <v>2</v>
      </c>
      <c r="E7" s="184">
        <f t="shared" ref="E7:N7" si="0">D7+1</f>
        <v>3</v>
      </c>
      <c r="F7" s="184">
        <f t="shared" si="0"/>
        <v>4</v>
      </c>
      <c r="G7" s="184">
        <f t="shared" si="0"/>
        <v>5</v>
      </c>
      <c r="H7" s="184">
        <f t="shared" si="0"/>
        <v>6</v>
      </c>
      <c r="I7" s="184">
        <f t="shared" si="0"/>
        <v>7</v>
      </c>
      <c r="J7" s="184">
        <f t="shared" si="0"/>
        <v>8</v>
      </c>
      <c r="K7" s="184">
        <f t="shared" si="0"/>
        <v>9</v>
      </c>
      <c r="L7" s="184">
        <f t="shared" si="0"/>
        <v>10</v>
      </c>
      <c r="M7" s="184">
        <f t="shared" si="0"/>
        <v>11</v>
      </c>
      <c r="N7" s="184">
        <f t="shared" si="0"/>
        <v>12</v>
      </c>
    </row>
    <row r="8" spans="1:14" s="187" customFormat="1" ht="30" customHeight="1" x14ac:dyDescent="0.25">
      <c r="A8" s="185"/>
      <c r="B8" s="186" t="s">
        <v>517</v>
      </c>
      <c r="C8" s="222">
        <f t="shared" ref="C8:N8" si="1">SUM(C9:C15)</f>
        <v>5444.8</v>
      </c>
      <c r="D8" s="222">
        <f t="shared" si="1"/>
        <v>0</v>
      </c>
      <c r="E8" s="222">
        <f t="shared" si="1"/>
        <v>0</v>
      </c>
      <c r="F8" s="222">
        <f t="shared" si="1"/>
        <v>5444.8</v>
      </c>
      <c r="G8" s="223">
        <f t="shared" si="1"/>
        <v>811.15899999999999</v>
      </c>
      <c r="H8" s="223">
        <f t="shared" si="1"/>
        <v>0</v>
      </c>
      <c r="I8" s="223">
        <f t="shared" si="1"/>
        <v>0</v>
      </c>
      <c r="J8" s="223">
        <f t="shared" si="1"/>
        <v>811.15899999999999</v>
      </c>
      <c r="K8" s="223">
        <f t="shared" si="1"/>
        <v>6255.9589999999998</v>
      </c>
      <c r="L8" s="223">
        <f t="shared" si="1"/>
        <v>0</v>
      </c>
      <c r="M8" s="223">
        <f t="shared" si="1"/>
        <v>0</v>
      </c>
      <c r="N8" s="223">
        <f t="shared" si="1"/>
        <v>6255.9589999999998</v>
      </c>
    </row>
    <row r="9" spans="1:14" ht="66.75" customHeight="1" x14ac:dyDescent="0.25">
      <c r="A9" s="188">
        <v>1</v>
      </c>
      <c r="B9" s="189" t="s">
        <v>590</v>
      </c>
      <c r="C9" s="224">
        <f t="shared" ref="C9:C15" si="2">SUM(D9:F9)</f>
        <v>4172.3310000000001</v>
      </c>
      <c r="D9" s="224"/>
      <c r="E9" s="224"/>
      <c r="F9" s="225">
        <v>4172.3310000000001</v>
      </c>
      <c r="G9" s="224">
        <f t="shared" ref="G9:G15" si="3">SUM(H9:J9)</f>
        <v>0</v>
      </c>
      <c r="H9" s="224"/>
      <c r="I9" s="224"/>
      <c r="J9" s="225"/>
      <c r="K9" s="224">
        <f t="shared" ref="K9:K15" si="4">SUM(L9:N9)</f>
        <v>4172.3310000000001</v>
      </c>
      <c r="L9" s="224"/>
      <c r="M9" s="224"/>
      <c r="N9" s="224">
        <f t="shared" ref="N9:N15" si="5">F9+J9</f>
        <v>4172.3310000000001</v>
      </c>
    </row>
    <row r="10" spans="1:14" ht="66.75" customHeight="1" x14ac:dyDescent="0.25">
      <c r="A10" s="188" t="s">
        <v>479</v>
      </c>
      <c r="B10" s="201" t="s">
        <v>591</v>
      </c>
      <c r="C10" s="224">
        <f t="shared" si="2"/>
        <v>272.46899999999999</v>
      </c>
      <c r="D10" s="224"/>
      <c r="E10" s="224"/>
      <c r="F10" s="225">
        <v>272.46899999999999</v>
      </c>
      <c r="G10" s="224">
        <f t="shared" si="3"/>
        <v>811.15899999999999</v>
      </c>
      <c r="H10" s="224"/>
      <c r="I10" s="224"/>
      <c r="J10" s="226">
        <v>811.15899999999999</v>
      </c>
      <c r="K10" s="224">
        <f t="shared" ref="K10" si="6">SUM(L10:N10)</f>
        <v>1083.6279999999999</v>
      </c>
      <c r="L10" s="224"/>
      <c r="M10" s="224"/>
      <c r="N10" s="224">
        <f t="shared" ref="N10" si="7">F10+J10</f>
        <v>1083.6279999999999</v>
      </c>
    </row>
    <row r="11" spans="1:14" ht="80.25" customHeight="1" x14ac:dyDescent="0.25">
      <c r="A11" s="188">
        <f>A9+1</f>
        <v>2</v>
      </c>
      <c r="B11" s="189" t="s">
        <v>576</v>
      </c>
      <c r="C11" s="224">
        <f t="shared" si="2"/>
        <v>0</v>
      </c>
      <c r="D11" s="227"/>
      <c r="E11" s="227"/>
      <c r="F11" s="226">
        <v>0</v>
      </c>
      <c r="G11" s="224">
        <f t="shared" si="3"/>
        <v>0</v>
      </c>
      <c r="H11" s="227"/>
      <c r="I11" s="227"/>
      <c r="J11" s="226"/>
      <c r="K11" s="224">
        <f t="shared" si="4"/>
        <v>0</v>
      </c>
      <c r="L11" s="224"/>
      <c r="M11" s="224"/>
      <c r="N11" s="224">
        <f t="shared" si="5"/>
        <v>0</v>
      </c>
    </row>
    <row r="12" spans="1:14" ht="65.25" customHeight="1" x14ac:dyDescent="0.25">
      <c r="A12" s="188">
        <f>A11+1</f>
        <v>3</v>
      </c>
      <c r="B12" s="189" t="s">
        <v>518</v>
      </c>
      <c r="C12" s="224">
        <f t="shared" si="2"/>
        <v>200</v>
      </c>
      <c r="D12" s="228"/>
      <c r="E12" s="228"/>
      <c r="F12" s="226">
        <v>200</v>
      </c>
      <c r="G12" s="224">
        <f t="shared" si="3"/>
        <v>0</v>
      </c>
      <c r="H12" s="228"/>
      <c r="I12" s="228"/>
      <c r="J12" s="226"/>
      <c r="K12" s="224">
        <f t="shared" si="4"/>
        <v>200</v>
      </c>
      <c r="L12" s="224"/>
      <c r="M12" s="224"/>
      <c r="N12" s="224">
        <f t="shared" si="5"/>
        <v>200</v>
      </c>
    </row>
    <row r="13" spans="1:14" ht="60" hidden="1" x14ac:dyDescent="0.25">
      <c r="A13" s="188">
        <f>A12+1</f>
        <v>4</v>
      </c>
      <c r="B13" s="189" t="s">
        <v>519</v>
      </c>
      <c r="C13" s="224">
        <f t="shared" si="2"/>
        <v>0</v>
      </c>
      <c r="D13" s="228"/>
      <c r="E13" s="228"/>
      <c r="F13" s="226">
        <v>0</v>
      </c>
      <c r="G13" s="224">
        <f t="shared" si="3"/>
        <v>0</v>
      </c>
      <c r="H13" s="228"/>
      <c r="I13" s="228"/>
      <c r="J13" s="226"/>
      <c r="K13" s="224">
        <f t="shared" si="4"/>
        <v>0</v>
      </c>
      <c r="L13" s="224"/>
      <c r="M13" s="224"/>
      <c r="N13" s="224">
        <f t="shared" si="5"/>
        <v>0</v>
      </c>
    </row>
    <row r="14" spans="1:14" ht="79.5" customHeight="1" x14ac:dyDescent="0.25">
      <c r="A14" s="188">
        <v>4</v>
      </c>
      <c r="B14" s="189" t="s">
        <v>577</v>
      </c>
      <c r="C14" s="224">
        <f t="shared" si="2"/>
        <v>300</v>
      </c>
      <c r="D14" s="228"/>
      <c r="E14" s="228"/>
      <c r="F14" s="226">
        <v>300</v>
      </c>
      <c r="G14" s="224">
        <f t="shared" si="3"/>
        <v>0</v>
      </c>
      <c r="H14" s="228"/>
      <c r="I14" s="228"/>
      <c r="J14" s="226"/>
      <c r="K14" s="224">
        <f t="shared" si="4"/>
        <v>300</v>
      </c>
      <c r="L14" s="224"/>
      <c r="M14" s="224"/>
      <c r="N14" s="224">
        <f t="shared" si="5"/>
        <v>300</v>
      </c>
    </row>
    <row r="15" spans="1:14" ht="90" customHeight="1" x14ac:dyDescent="0.25">
      <c r="A15" s="188">
        <v>5</v>
      </c>
      <c r="B15" s="189" t="s">
        <v>520</v>
      </c>
      <c r="C15" s="224">
        <f t="shared" si="2"/>
        <v>500</v>
      </c>
      <c r="D15" s="229"/>
      <c r="E15" s="229"/>
      <c r="F15" s="228">
        <v>500</v>
      </c>
      <c r="G15" s="224">
        <f t="shared" si="3"/>
        <v>0</v>
      </c>
      <c r="H15" s="229"/>
      <c r="I15" s="229"/>
      <c r="J15" s="228"/>
      <c r="K15" s="224">
        <f t="shared" si="4"/>
        <v>500</v>
      </c>
      <c r="L15" s="224"/>
      <c r="M15" s="224"/>
      <c r="N15" s="224">
        <f t="shared" si="5"/>
        <v>500</v>
      </c>
    </row>
    <row r="16" spans="1:14" ht="15.75" x14ac:dyDescent="0.25">
      <c r="B16" s="190"/>
    </row>
    <row r="17" spans="2:2" ht="15.75" x14ac:dyDescent="0.25">
      <c r="B17" s="190"/>
    </row>
    <row r="18" spans="2:2" ht="15.75" x14ac:dyDescent="0.25">
      <c r="B18" s="190"/>
    </row>
    <row r="19" spans="2:2" ht="15.75" x14ac:dyDescent="0.25">
      <c r="B19" s="190"/>
    </row>
    <row r="20" spans="2:2" ht="15.75" x14ac:dyDescent="0.25">
      <c r="B20" s="190"/>
    </row>
    <row r="21" spans="2:2" ht="15.75" x14ac:dyDescent="0.25">
      <c r="B21" s="190"/>
    </row>
    <row r="22" spans="2:2" ht="15.75" x14ac:dyDescent="0.25">
      <c r="B22" s="190"/>
    </row>
  </sheetData>
  <mergeCells count="7">
    <mergeCell ref="J1:N1"/>
    <mergeCell ref="A3:N3"/>
    <mergeCell ref="A5:A6"/>
    <mergeCell ref="B5:B6"/>
    <mergeCell ref="C5:F5"/>
    <mergeCell ref="K5:N5"/>
    <mergeCell ref="G5:J5"/>
  </mergeCells>
  <pageMargins left="0.78740157480314965" right="0" top="0" bottom="0" header="0" footer="0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9"/>
  <sheetViews>
    <sheetView view="pageBreakPreview" topLeftCell="C1" zoomScale="85" zoomScaleNormal="100" zoomScaleSheetLayoutView="85" workbookViewId="0">
      <pane xSplit="4" ySplit="9" topLeftCell="G19" activePane="bottomRight" state="frozen"/>
      <selection activeCell="C1" sqref="C1"/>
      <selection pane="topRight" activeCell="G1" sqref="G1"/>
      <selection pane="bottomLeft" activeCell="C10" sqref="C10"/>
      <selection pane="bottomRight" activeCell="N1" sqref="N1:P1"/>
    </sheetView>
  </sheetViews>
  <sheetFormatPr defaultColWidth="8" defaultRowHeight="12.75" x14ac:dyDescent="0.2"/>
  <cols>
    <col min="1" max="1" width="19" style="170" hidden="1" customWidth="1"/>
    <col min="2" max="2" width="0.28515625" style="170" hidden="1" customWidth="1"/>
    <col min="3" max="3" width="6" style="172" customWidth="1"/>
    <col min="4" max="4" width="55.42578125" style="173" customWidth="1"/>
    <col min="5" max="5" width="8.28515625" style="174" hidden="1" customWidth="1"/>
    <col min="6" max="6" width="18.7109375" style="175" customWidth="1"/>
    <col min="7" max="7" width="13.140625" style="175" customWidth="1"/>
    <col min="8" max="8" width="14.28515625" style="175" customWidth="1"/>
    <col min="9" max="9" width="14" style="175" customWidth="1"/>
    <col min="10" max="10" width="15" style="175" customWidth="1"/>
    <col min="11" max="11" width="16.28515625" style="175" customWidth="1"/>
    <col min="12" max="12" width="17.140625" style="175" customWidth="1"/>
    <col min="13" max="13" width="13.85546875" style="175" customWidth="1"/>
    <col min="14" max="14" width="16" style="170" customWidth="1"/>
    <col min="15" max="15" width="16.140625" style="170" customWidth="1"/>
    <col min="16" max="16" width="14.85546875" style="170" customWidth="1"/>
    <col min="17" max="17" width="15.5703125" style="170" hidden="1" customWidth="1"/>
    <col min="18" max="18" width="13.7109375" style="170" hidden="1" customWidth="1"/>
    <col min="19" max="19" width="10.28515625" style="170" hidden="1" customWidth="1"/>
    <col min="20" max="20" width="12.140625" style="80" customWidth="1"/>
    <col min="21" max="21" width="15.140625" style="80" customWidth="1"/>
    <col min="22" max="48" width="8" style="80" customWidth="1"/>
    <col min="49" max="256" width="8" style="170"/>
    <col min="257" max="257" width="19" style="170" customWidth="1"/>
    <col min="258" max="258" width="0" style="170" hidden="1" customWidth="1"/>
    <col min="259" max="259" width="6" style="170" customWidth="1"/>
    <col min="260" max="260" width="42.140625" style="170" customWidth="1"/>
    <col min="261" max="261" width="0" style="170" hidden="1" customWidth="1"/>
    <col min="262" max="262" width="12.7109375" style="170" customWidth="1"/>
    <col min="263" max="263" width="13.5703125" style="170" customWidth="1"/>
    <col min="264" max="264" width="14" style="170" customWidth="1"/>
    <col min="265" max="265" width="13.85546875" style="170" customWidth="1"/>
    <col min="266" max="266" width="12.5703125" style="170" customWidth="1"/>
    <col min="267" max="269" width="12.7109375" style="170" customWidth="1"/>
    <col min="270" max="275" width="0" style="170" hidden="1" customWidth="1"/>
    <col min="276" max="276" width="12.140625" style="170" customWidth="1"/>
    <col min="277" max="277" width="15.140625" style="170" customWidth="1"/>
    <col min="278" max="304" width="8" style="170" customWidth="1"/>
    <col min="305" max="512" width="8" style="170"/>
    <col min="513" max="513" width="19" style="170" customWidth="1"/>
    <col min="514" max="514" width="0" style="170" hidden="1" customWidth="1"/>
    <col min="515" max="515" width="6" style="170" customWidth="1"/>
    <col min="516" max="516" width="42.140625" style="170" customWidth="1"/>
    <col min="517" max="517" width="0" style="170" hidden="1" customWidth="1"/>
    <col min="518" max="518" width="12.7109375" style="170" customWidth="1"/>
    <col min="519" max="519" width="13.5703125" style="170" customWidth="1"/>
    <col min="520" max="520" width="14" style="170" customWidth="1"/>
    <col min="521" max="521" width="13.85546875" style="170" customWidth="1"/>
    <col min="522" max="522" width="12.5703125" style="170" customWidth="1"/>
    <col min="523" max="525" width="12.7109375" style="170" customWidth="1"/>
    <col min="526" max="531" width="0" style="170" hidden="1" customWidth="1"/>
    <col min="532" max="532" width="12.140625" style="170" customWidth="1"/>
    <col min="533" max="533" width="15.140625" style="170" customWidth="1"/>
    <col min="534" max="560" width="8" style="170" customWidth="1"/>
    <col min="561" max="768" width="8" style="170"/>
    <col min="769" max="769" width="19" style="170" customWidth="1"/>
    <col min="770" max="770" width="0" style="170" hidden="1" customWidth="1"/>
    <col min="771" max="771" width="6" style="170" customWidth="1"/>
    <col min="772" max="772" width="42.140625" style="170" customWidth="1"/>
    <col min="773" max="773" width="0" style="170" hidden="1" customWidth="1"/>
    <col min="774" max="774" width="12.7109375" style="170" customWidth="1"/>
    <col min="775" max="775" width="13.5703125" style="170" customWidth="1"/>
    <col min="776" max="776" width="14" style="170" customWidth="1"/>
    <col min="777" max="777" width="13.85546875" style="170" customWidth="1"/>
    <col min="778" max="778" width="12.5703125" style="170" customWidth="1"/>
    <col min="779" max="781" width="12.7109375" style="170" customWidth="1"/>
    <col min="782" max="787" width="0" style="170" hidden="1" customWidth="1"/>
    <col min="788" max="788" width="12.140625" style="170" customWidth="1"/>
    <col min="789" max="789" width="15.140625" style="170" customWidth="1"/>
    <col min="790" max="816" width="8" style="170" customWidth="1"/>
    <col min="817" max="1024" width="8" style="170"/>
    <col min="1025" max="1025" width="19" style="170" customWidth="1"/>
    <col min="1026" max="1026" width="0" style="170" hidden="1" customWidth="1"/>
    <col min="1027" max="1027" width="6" style="170" customWidth="1"/>
    <col min="1028" max="1028" width="42.140625" style="170" customWidth="1"/>
    <col min="1029" max="1029" width="0" style="170" hidden="1" customWidth="1"/>
    <col min="1030" max="1030" width="12.7109375" style="170" customWidth="1"/>
    <col min="1031" max="1031" width="13.5703125" style="170" customWidth="1"/>
    <col min="1032" max="1032" width="14" style="170" customWidth="1"/>
    <col min="1033" max="1033" width="13.85546875" style="170" customWidth="1"/>
    <col min="1034" max="1034" width="12.5703125" style="170" customWidth="1"/>
    <col min="1035" max="1037" width="12.7109375" style="170" customWidth="1"/>
    <col min="1038" max="1043" width="0" style="170" hidden="1" customWidth="1"/>
    <col min="1044" max="1044" width="12.140625" style="170" customWidth="1"/>
    <col min="1045" max="1045" width="15.140625" style="170" customWidth="1"/>
    <col min="1046" max="1072" width="8" style="170" customWidth="1"/>
    <col min="1073" max="1280" width="8" style="170"/>
    <col min="1281" max="1281" width="19" style="170" customWidth="1"/>
    <col min="1282" max="1282" width="0" style="170" hidden="1" customWidth="1"/>
    <col min="1283" max="1283" width="6" style="170" customWidth="1"/>
    <col min="1284" max="1284" width="42.140625" style="170" customWidth="1"/>
    <col min="1285" max="1285" width="0" style="170" hidden="1" customWidth="1"/>
    <col min="1286" max="1286" width="12.7109375" style="170" customWidth="1"/>
    <col min="1287" max="1287" width="13.5703125" style="170" customWidth="1"/>
    <col min="1288" max="1288" width="14" style="170" customWidth="1"/>
    <col min="1289" max="1289" width="13.85546875" style="170" customWidth="1"/>
    <col min="1290" max="1290" width="12.5703125" style="170" customWidth="1"/>
    <col min="1291" max="1293" width="12.7109375" style="170" customWidth="1"/>
    <col min="1294" max="1299" width="0" style="170" hidden="1" customWidth="1"/>
    <col min="1300" max="1300" width="12.140625" style="170" customWidth="1"/>
    <col min="1301" max="1301" width="15.140625" style="170" customWidth="1"/>
    <col min="1302" max="1328" width="8" style="170" customWidth="1"/>
    <col min="1329" max="1536" width="8" style="170"/>
    <col min="1537" max="1537" width="19" style="170" customWidth="1"/>
    <col min="1538" max="1538" width="0" style="170" hidden="1" customWidth="1"/>
    <col min="1539" max="1539" width="6" style="170" customWidth="1"/>
    <col min="1540" max="1540" width="42.140625" style="170" customWidth="1"/>
    <col min="1541" max="1541" width="0" style="170" hidden="1" customWidth="1"/>
    <col min="1542" max="1542" width="12.7109375" style="170" customWidth="1"/>
    <col min="1543" max="1543" width="13.5703125" style="170" customWidth="1"/>
    <col min="1544" max="1544" width="14" style="170" customWidth="1"/>
    <col min="1545" max="1545" width="13.85546875" style="170" customWidth="1"/>
    <col min="1546" max="1546" width="12.5703125" style="170" customWidth="1"/>
    <col min="1547" max="1549" width="12.7109375" style="170" customWidth="1"/>
    <col min="1550" max="1555" width="0" style="170" hidden="1" customWidth="1"/>
    <col min="1556" max="1556" width="12.140625" style="170" customWidth="1"/>
    <col min="1557" max="1557" width="15.140625" style="170" customWidth="1"/>
    <col min="1558" max="1584" width="8" style="170" customWidth="1"/>
    <col min="1585" max="1792" width="8" style="170"/>
    <col min="1793" max="1793" width="19" style="170" customWidth="1"/>
    <col min="1794" max="1794" width="0" style="170" hidden="1" customWidth="1"/>
    <col min="1795" max="1795" width="6" style="170" customWidth="1"/>
    <col min="1796" max="1796" width="42.140625" style="170" customWidth="1"/>
    <col min="1797" max="1797" width="0" style="170" hidden="1" customWidth="1"/>
    <col min="1798" max="1798" width="12.7109375" style="170" customWidth="1"/>
    <col min="1799" max="1799" width="13.5703125" style="170" customWidth="1"/>
    <col min="1800" max="1800" width="14" style="170" customWidth="1"/>
    <col min="1801" max="1801" width="13.85546875" style="170" customWidth="1"/>
    <col min="1802" max="1802" width="12.5703125" style="170" customWidth="1"/>
    <col min="1803" max="1805" width="12.7109375" style="170" customWidth="1"/>
    <col min="1806" max="1811" width="0" style="170" hidden="1" customWidth="1"/>
    <col min="1812" max="1812" width="12.140625" style="170" customWidth="1"/>
    <col min="1813" max="1813" width="15.140625" style="170" customWidth="1"/>
    <col min="1814" max="1840" width="8" style="170" customWidth="1"/>
    <col min="1841" max="2048" width="8" style="170"/>
    <col min="2049" max="2049" width="19" style="170" customWidth="1"/>
    <col min="2050" max="2050" width="0" style="170" hidden="1" customWidth="1"/>
    <col min="2051" max="2051" width="6" style="170" customWidth="1"/>
    <col min="2052" max="2052" width="42.140625" style="170" customWidth="1"/>
    <col min="2053" max="2053" width="0" style="170" hidden="1" customWidth="1"/>
    <col min="2054" max="2054" width="12.7109375" style="170" customWidth="1"/>
    <col min="2055" max="2055" width="13.5703125" style="170" customWidth="1"/>
    <col min="2056" max="2056" width="14" style="170" customWidth="1"/>
    <col min="2057" max="2057" width="13.85546875" style="170" customWidth="1"/>
    <col min="2058" max="2058" width="12.5703125" style="170" customWidth="1"/>
    <col min="2059" max="2061" width="12.7109375" style="170" customWidth="1"/>
    <col min="2062" max="2067" width="0" style="170" hidden="1" customWidth="1"/>
    <col min="2068" max="2068" width="12.140625" style="170" customWidth="1"/>
    <col min="2069" max="2069" width="15.140625" style="170" customWidth="1"/>
    <col min="2070" max="2096" width="8" style="170" customWidth="1"/>
    <col min="2097" max="2304" width="8" style="170"/>
    <col min="2305" max="2305" width="19" style="170" customWidth="1"/>
    <col min="2306" max="2306" width="0" style="170" hidden="1" customWidth="1"/>
    <col min="2307" max="2307" width="6" style="170" customWidth="1"/>
    <col min="2308" max="2308" width="42.140625" style="170" customWidth="1"/>
    <col min="2309" max="2309" width="0" style="170" hidden="1" customWidth="1"/>
    <col min="2310" max="2310" width="12.7109375" style="170" customWidth="1"/>
    <col min="2311" max="2311" width="13.5703125" style="170" customWidth="1"/>
    <col min="2312" max="2312" width="14" style="170" customWidth="1"/>
    <col min="2313" max="2313" width="13.85546875" style="170" customWidth="1"/>
    <col min="2314" max="2314" width="12.5703125" style="170" customWidth="1"/>
    <col min="2315" max="2317" width="12.7109375" style="170" customWidth="1"/>
    <col min="2318" max="2323" width="0" style="170" hidden="1" customWidth="1"/>
    <col min="2324" max="2324" width="12.140625" style="170" customWidth="1"/>
    <col min="2325" max="2325" width="15.140625" style="170" customWidth="1"/>
    <col min="2326" max="2352" width="8" style="170" customWidth="1"/>
    <col min="2353" max="2560" width="8" style="170"/>
    <col min="2561" max="2561" width="19" style="170" customWidth="1"/>
    <col min="2562" max="2562" width="0" style="170" hidden="1" customWidth="1"/>
    <col min="2563" max="2563" width="6" style="170" customWidth="1"/>
    <col min="2564" max="2564" width="42.140625" style="170" customWidth="1"/>
    <col min="2565" max="2565" width="0" style="170" hidden="1" customWidth="1"/>
    <col min="2566" max="2566" width="12.7109375" style="170" customWidth="1"/>
    <col min="2567" max="2567" width="13.5703125" style="170" customWidth="1"/>
    <col min="2568" max="2568" width="14" style="170" customWidth="1"/>
    <col min="2569" max="2569" width="13.85546875" style="170" customWidth="1"/>
    <col min="2570" max="2570" width="12.5703125" style="170" customWidth="1"/>
    <col min="2571" max="2573" width="12.7109375" style="170" customWidth="1"/>
    <col min="2574" max="2579" width="0" style="170" hidden="1" customWidth="1"/>
    <col min="2580" max="2580" width="12.140625" style="170" customWidth="1"/>
    <col min="2581" max="2581" width="15.140625" style="170" customWidth="1"/>
    <col min="2582" max="2608" width="8" style="170" customWidth="1"/>
    <col min="2609" max="2816" width="8" style="170"/>
    <col min="2817" max="2817" width="19" style="170" customWidth="1"/>
    <col min="2818" max="2818" width="0" style="170" hidden="1" customWidth="1"/>
    <col min="2819" max="2819" width="6" style="170" customWidth="1"/>
    <col min="2820" max="2820" width="42.140625" style="170" customWidth="1"/>
    <col min="2821" max="2821" width="0" style="170" hidden="1" customWidth="1"/>
    <col min="2822" max="2822" width="12.7109375" style="170" customWidth="1"/>
    <col min="2823" max="2823" width="13.5703125" style="170" customWidth="1"/>
    <col min="2824" max="2824" width="14" style="170" customWidth="1"/>
    <col min="2825" max="2825" width="13.85546875" style="170" customWidth="1"/>
    <col min="2826" max="2826" width="12.5703125" style="170" customWidth="1"/>
    <col min="2827" max="2829" width="12.7109375" style="170" customWidth="1"/>
    <col min="2830" max="2835" width="0" style="170" hidden="1" customWidth="1"/>
    <col min="2836" max="2836" width="12.140625" style="170" customWidth="1"/>
    <col min="2837" max="2837" width="15.140625" style="170" customWidth="1"/>
    <col min="2838" max="2864" width="8" style="170" customWidth="1"/>
    <col min="2865" max="3072" width="8" style="170"/>
    <col min="3073" max="3073" width="19" style="170" customWidth="1"/>
    <col min="3074" max="3074" width="0" style="170" hidden="1" customWidth="1"/>
    <col min="3075" max="3075" width="6" style="170" customWidth="1"/>
    <col min="3076" max="3076" width="42.140625" style="170" customWidth="1"/>
    <col min="3077" max="3077" width="0" style="170" hidden="1" customWidth="1"/>
    <col min="3078" max="3078" width="12.7109375" style="170" customWidth="1"/>
    <col min="3079" max="3079" width="13.5703125" style="170" customWidth="1"/>
    <col min="3080" max="3080" width="14" style="170" customWidth="1"/>
    <col min="3081" max="3081" width="13.85546875" style="170" customWidth="1"/>
    <col min="3082" max="3082" width="12.5703125" style="170" customWidth="1"/>
    <col min="3083" max="3085" width="12.7109375" style="170" customWidth="1"/>
    <col min="3086" max="3091" width="0" style="170" hidden="1" customWidth="1"/>
    <col min="3092" max="3092" width="12.140625" style="170" customWidth="1"/>
    <col min="3093" max="3093" width="15.140625" style="170" customWidth="1"/>
    <col min="3094" max="3120" width="8" style="170" customWidth="1"/>
    <col min="3121" max="3328" width="8" style="170"/>
    <col min="3329" max="3329" width="19" style="170" customWidth="1"/>
    <col min="3330" max="3330" width="0" style="170" hidden="1" customWidth="1"/>
    <col min="3331" max="3331" width="6" style="170" customWidth="1"/>
    <col min="3332" max="3332" width="42.140625" style="170" customWidth="1"/>
    <col min="3333" max="3333" width="0" style="170" hidden="1" customWidth="1"/>
    <col min="3334" max="3334" width="12.7109375" style="170" customWidth="1"/>
    <col min="3335" max="3335" width="13.5703125" style="170" customWidth="1"/>
    <col min="3336" max="3336" width="14" style="170" customWidth="1"/>
    <col min="3337" max="3337" width="13.85546875" style="170" customWidth="1"/>
    <col min="3338" max="3338" width="12.5703125" style="170" customWidth="1"/>
    <col min="3339" max="3341" width="12.7109375" style="170" customWidth="1"/>
    <col min="3342" max="3347" width="0" style="170" hidden="1" customWidth="1"/>
    <col min="3348" max="3348" width="12.140625" style="170" customWidth="1"/>
    <col min="3349" max="3349" width="15.140625" style="170" customWidth="1"/>
    <col min="3350" max="3376" width="8" style="170" customWidth="1"/>
    <col min="3377" max="3584" width="8" style="170"/>
    <col min="3585" max="3585" width="19" style="170" customWidth="1"/>
    <col min="3586" max="3586" width="0" style="170" hidden="1" customWidth="1"/>
    <col min="3587" max="3587" width="6" style="170" customWidth="1"/>
    <col min="3588" max="3588" width="42.140625" style="170" customWidth="1"/>
    <col min="3589" max="3589" width="0" style="170" hidden="1" customWidth="1"/>
    <col min="3590" max="3590" width="12.7109375" style="170" customWidth="1"/>
    <col min="3591" max="3591" width="13.5703125" style="170" customWidth="1"/>
    <col min="3592" max="3592" width="14" style="170" customWidth="1"/>
    <col min="3593" max="3593" width="13.85546875" style="170" customWidth="1"/>
    <col min="3594" max="3594" width="12.5703125" style="170" customWidth="1"/>
    <col min="3595" max="3597" width="12.7109375" style="170" customWidth="1"/>
    <col min="3598" max="3603" width="0" style="170" hidden="1" customWidth="1"/>
    <col min="3604" max="3604" width="12.140625" style="170" customWidth="1"/>
    <col min="3605" max="3605" width="15.140625" style="170" customWidth="1"/>
    <col min="3606" max="3632" width="8" style="170" customWidth="1"/>
    <col min="3633" max="3840" width="8" style="170"/>
    <col min="3841" max="3841" width="19" style="170" customWidth="1"/>
    <col min="3842" max="3842" width="0" style="170" hidden="1" customWidth="1"/>
    <col min="3843" max="3843" width="6" style="170" customWidth="1"/>
    <col min="3844" max="3844" width="42.140625" style="170" customWidth="1"/>
    <col min="3845" max="3845" width="0" style="170" hidden="1" customWidth="1"/>
    <col min="3846" max="3846" width="12.7109375" style="170" customWidth="1"/>
    <col min="3847" max="3847" width="13.5703125" style="170" customWidth="1"/>
    <col min="3848" max="3848" width="14" style="170" customWidth="1"/>
    <col min="3849" max="3849" width="13.85546875" style="170" customWidth="1"/>
    <col min="3850" max="3850" width="12.5703125" style="170" customWidth="1"/>
    <col min="3851" max="3853" width="12.7109375" style="170" customWidth="1"/>
    <col min="3854" max="3859" width="0" style="170" hidden="1" customWidth="1"/>
    <col min="3860" max="3860" width="12.140625" style="170" customWidth="1"/>
    <col min="3861" max="3861" width="15.140625" style="170" customWidth="1"/>
    <col min="3862" max="3888" width="8" style="170" customWidth="1"/>
    <col min="3889" max="4096" width="8" style="170"/>
    <col min="4097" max="4097" width="19" style="170" customWidth="1"/>
    <col min="4098" max="4098" width="0" style="170" hidden="1" customWidth="1"/>
    <col min="4099" max="4099" width="6" style="170" customWidth="1"/>
    <col min="4100" max="4100" width="42.140625" style="170" customWidth="1"/>
    <col min="4101" max="4101" width="0" style="170" hidden="1" customWidth="1"/>
    <col min="4102" max="4102" width="12.7109375" style="170" customWidth="1"/>
    <col min="4103" max="4103" width="13.5703125" style="170" customWidth="1"/>
    <col min="4104" max="4104" width="14" style="170" customWidth="1"/>
    <col min="4105" max="4105" width="13.85546875" style="170" customWidth="1"/>
    <col min="4106" max="4106" width="12.5703125" style="170" customWidth="1"/>
    <col min="4107" max="4109" width="12.7109375" style="170" customWidth="1"/>
    <col min="4110" max="4115" width="0" style="170" hidden="1" customWidth="1"/>
    <col min="4116" max="4116" width="12.140625" style="170" customWidth="1"/>
    <col min="4117" max="4117" width="15.140625" style="170" customWidth="1"/>
    <col min="4118" max="4144" width="8" style="170" customWidth="1"/>
    <col min="4145" max="4352" width="8" style="170"/>
    <col min="4353" max="4353" width="19" style="170" customWidth="1"/>
    <col min="4354" max="4354" width="0" style="170" hidden="1" customWidth="1"/>
    <col min="4355" max="4355" width="6" style="170" customWidth="1"/>
    <col min="4356" max="4356" width="42.140625" style="170" customWidth="1"/>
    <col min="4357" max="4357" width="0" style="170" hidden="1" customWidth="1"/>
    <col min="4358" max="4358" width="12.7109375" style="170" customWidth="1"/>
    <col min="4359" max="4359" width="13.5703125" style="170" customWidth="1"/>
    <col min="4360" max="4360" width="14" style="170" customWidth="1"/>
    <col min="4361" max="4361" width="13.85546875" style="170" customWidth="1"/>
    <col min="4362" max="4362" width="12.5703125" style="170" customWidth="1"/>
    <col min="4363" max="4365" width="12.7109375" style="170" customWidth="1"/>
    <col min="4366" max="4371" width="0" style="170" hidden="1" customWidth="1"/>
    <col min="4372" max="4372" width="12.140625" style="170" customWidth="1"/>
    <col min="4373" max="4373" width="15.140625" style="170" customWidth="1"/>
    <col min="4374" max="4400" width="8" style="170" customWidth="1"/>
    <col min="4401" max="4608" width="8" style="170"/>
    <col min="4609" max="4609" width="19" style="170" customWidth="1"/>
    <col min="4610" max="4610" width="0" style="170" hidden="1" customWidth="1"/>
    <col min="4611" max="4611" width="6" style="170" customWidth="1"/>
    <col min="4612" max="4612" width="42.140625" style="170" customWidth="1"/>
    <col min="4613" max="4613" width="0" style="170" hidden="1" customWidth="1"/>
    <col min="4614" max="4614" width="12.7109375" style="170" customWidth="1"/>
    <col min="4615" max="4615" width="13.5703125" style="170" customWidth="1"/>
    <col min="4616" max="4616" width="14" style="170" customWidth="1"/>
    <col min="4617" max="4617" width="13.85546875" style="170" customWidth="1"/>
    <col min="4618" max="4618" width="12.5703125" style="170" customWidth="1"/>
    <col min="4619" max="4621" width="12.7109375" style="170" customWidth="1"/>
    <col min="4622" max="4627" width="0" style="170" hidden="1" customWidth="1"/>
    <col min="4628" max="4628" width="12.140625" style="170" customWidth="1"/>
    <col min="4629" max="4629" width="15.140625" style="170" customWidth="1"/>
    <col min="4630" max="4656" width="8" style="170" customWidth="1"/>
    <col min="4657" max="4864" width="8" style="170"/>
    <col min="4865" max="4865" width="19" style="170" customWidth="1"/>
    <col min="4866" max="4866" width="0" style="170" hidden="1" customWidth="1"/>
    <col min="4867" max="4867" width="6" style="170" customWidth="1"/>
    <col min="4868" max="4868" width="42.140625" style="170" customWidth="1"/>
    <col min="4869" max="4869" width="0" style="170" hidden="1" customWidth="1"/>
    <col min="4870" max="4870" width="12.7109375" style="170" customWidth="1"/>
    <col min="4871" max="4871" width="13.5703125" style="170" customWidth="1"/>
    <col min="4872" max="4872" width="14" style="170" customWidth="1"/>
    <col min="4873" max="4873" width="13.85546875" style="170" customWidth="1"/>
    <col min="4874" max="4874" width="12.5703125" style="170" customWidth="1"/>
    <col min="4875" max="4877" width="12.7109375" style="170" customWidth="1"/>
    <col min="4878" max="4883" width="0" style="170" hidden="1" customWidth="1"/>
    <col min="4884" max="4884" width="12.140625" style="170" customWidth="1"/>
    <col min="4885" max="4885" width="15.140625" style="170" customWidth="1"/>
    <col min="4886" max="4912" width="8" style="170" customWidth="1"/>
    <col min="4913" max="5120" width="8" style="170"/>
    <col min="5121" max="5121" width="19" style="170" customWidth="1"/>
    <col min="5122" max="5122" width="0" style="170" hidden="1" customWidth="1"/>
    <col min="5123" max="5123" width="6" style="170" customWidth="1"/>
    <col min="5124" max="5124" width="42.140625" style="170" customWidth="1"/>
    <col min="5125" max="5125" width="0" style="170" hidden="1" customWidth="1"/>
    <col min="5126" max="5126" width="12.7109375" style="170" customWidth="1"/>
    <col min="5127" max="5127" width="13.5703125" style="170" customWidth="1"/>
    <col min="5128" max="5128" width="14" style="170" customWidth="1"/>
    <col min="5129" max="5129" width="13.85546875" style="170" customWidth="1"/>
    <col min="5130" max="5130" width="12.5703125" style="170" customWidth="1"/>
    <col min="5131" max="5133" width="12.7109375" style="170" customWidth="1"/>
    <col min="5134" max="5139" width="0" style="170" hidden="1" customWidth="1"/>
    <col min="5140" max="5140" width="12.140625" style="170" customWidth="1"/>
    <col min="5141" max="5141" width="15.140625" style="170" customWidth="1"/>
    <col min="5142" max="5168" width="8" style="170" customWidth="1"/>
    <col min="5169" max="5376" width="8" style="170"/>
    <col min="5377" max="5377" width="19" style="170" customWidth="1"/>
    <col min="5378" max="5378" width="0" style="170" hidden="1" customWidth="1"/>
    <col min="5379" max="5379" width="6" style="170" customWidth="1"/>
    <col min="5380" max="5380" width="42.140625" style="170" customWidth="1"/>
    <col min="5381" max="5381" width="0" style="170" hidden="1" customWidth="1"/>
    <col min="5382" max="5382" width="12.7109375" style="170" customWidth="1"/>
    <col min="5383" max="5383" width="13.5703125" style="170" customWidth="1"/>
    <col min="5384" max="5384" width="14" style="170" customWidth="1"/>
    <col min="5385" max="5385" width="13.85546875" style="170" customWidth="1"/>
    <col min="5386" max="5386" width="12.5703125" style="170" customWidth="1"/>
    <col min="5387" max="5389" width="12.7109375" style="170" customWidth="1"/>
    <col min="5390" max="5395" width="0" style="170" hidden="1" customWidth="1"/>
    <col min="5396" max="5396" width="12.140625" style="170" customWidth="1"/>
    <col min="5397" max="5397" width="15.140625" style="170" customWidth="1"/>
    <col min="5398" max="5424" width="8" style="170" customWidth="1"/>
    <col min="5425" max="5632" width="8" style="170"/>
    <col min="5633" max="5633" width="19" style="170" customWidth="1"/>
    <col min="5634" max="5634" width="0" style="170" hidden="1" customWidth="1"/>
    <col min="5635" max="5635" width="6" style="170" customWidth="1"/>
    <col min="5636" max="5636" width="42.140625" style="170" customWidth="1"/>
    <col min="5637" max="5637" width="0" style="170" hidden="1" customWidth="1"/>
    <col min="5638" max="5638" width="12.7109375" style="170" customWidth="1"/>
    <col min="5639" max="5639" width="13.5703125" style="170" customWidth="1"/>
    <col min="5640" max="5640" width="14" style="170" customWidth="1"/>
    <col min="5641" max="5641" width="13.85546875" style="170" customWidth="1"/>
    <col min="5642" max="5642" width="12.5703125" style="170" customWidth="1"/>
    <col min="5643" max="5645" width="12.7109375" style="170" customWidth="1"/>
    <col min="5646" max="5651" width="0" style="170" hidden="1" customWidth="1"/>
    <col min="5652" max="5652" width="12.140625" style="170" customWidth="1"/>
    <col min="5653" max="5653" width="15.140625" style="170" customWidth="1"/>
    <col min="5654" max="5680" width="8" style="170" customWidth="1"/>
    <col min="5681" max="5888" width="8" style="170"/>
    <col min="5889" max="5889" width="19" style="170" customWidth="1"/>
    <col min="5890" max="5890" width="0" style="170" hidden="1" customWidth="1"/>
    <col min="5891" max="5891" width="6" style="170" customWidth="1"/>
    <col min="5892" max="5892" width="42.140625" style="170" customWidth="1"/>
    <col min="5893" max="5893" width="0" style="170" hidden="1" customWidth="1"/>
    <col min="5894" max="5894" width="12.7109375" style="170" customWidth="1"/>
    <col min="5895" max="5895" width="13.5703125" style="170" customWidth="1"/>
    <col min="5896" max="5896" width="14" style="170" customWidth="1"/>
    <col min="5897" max="5897" width="13.85546875" style="170" customWidth="1"/>
    <col min="5898" max="5898" width="12.5703125" style="170" customWidth="1"/>
    <col min="5899" max="5901" width="12.7109375" style="170" customWidth="1"/>
    <col min="5902" max="5907" width="0" style="170" hidden="1" customWidth="1"/>
    <col min="5908" max="5908" width="12.140625" style="170" customWidth="1"/>
    <col min="5909" max="5909" width="15.140625" style="170" customWidth="1"/>
    <col min="5910" max="5936" width="8" style="170" customWidth="1"/>
    <col min="5937" max="6144" width="8" style="170"/>
    <col min="6145" max="6145" width="19" style="170" customWidth="1"/>
    <col min="6146" max="6146" width="0" style="170" hidden="1" customWidth="1"/>
    <col min="6147" max="6147" width="6" style="170" customWidth="1"/>
    <col min="6148" max="6148" width="42.140625" style="170" customWidth="1"/>
    <col min="6149" max="6149" width="0" style="170" hidden="1" customWidth="1"/>
    <col min="6150" max="6150" width="12.7109375" style="170" customWidth="1"/>
    <col min="6151" max="6151" width="13.5703125" style="170" customWidth="1"/>
    <col min="6152" max="6152" width="14" style="170" customWidth="1"/>
    <col min="6153" max="6153" width="13.85546875" style="170" customWidth="1"/>
    <col min="6154" max="6154" width="12.5703125" style="170" customWidth="1"/>
    <col min="6155" max="6157" width="12.7109375" style="170" customWidth="1"/>
    <col min="6158" max="6163" width="0" style="170" hidden="1" customWidth="1"/>
    <col min="6164" max="6164" width="12.140625" style="170" customWidth="1"/>
    <col min="6165" max="6165" width="15.140625" style="170" customWidth="1"/>
    <col min="6166" max="6192" width="8" style="170" customWidth="1"/>
    <col min="6193" max="6400" width="8" style="170"/>
    <col min="6401" max="6401" width="19" style="170" customWidth="1"/>
    <col min="6402" max="6402" width="0" style="170" hidden="1" customWidth="1"/>
    <col min="6403" max="6403" width="6" style="170" customWidth="1"/>
    <col min="6404" max="6404" width="42.140625" style="170" customWidth="1"/>
    <col min="6405" max="6405" width="0" style="170" hidden="1" customWidth="1"/>
    <col min="6406" max="6406" width="12.7109375" style="170" customWidth="1"/>
    <col min="6407" max="6407" width="13.5703125" style="170" customWidth="1"/>
    <col min="6408" max="6408" width="14" style="170" customWidth="1"/>
    <col min="6409" max="6409" width="13.85546875" style="170" customWidth="1"/>
    <col min="6410" max="6410" width="12.5703125" style="170" customWidth="1"/>
    <col min="6411" max="6413" width="12.7109375" style="170" customWidth="1"/>
    <col min="6414" max="6419" width="0" style="170" hidden="1" customWidth="1"/>
    <col min="6420" max="6420" width="12.140625" style="170" customWidth="1"/>
    <col min="6421" max="6421" width="15.140625" style="170" customWidth="1"/>
    <col min="6422" max="6448" width="8" style="170" customWidth="1"/>
    <col min="6449" max="6656" width="8" style="170"/>
    <col min="6657" max="6657" width="19" style="170" customWidth="1"/>
    <col min="6658" max="6658" width="0" style="170" hidden="1" customWidth="1"/>
    <col min="6659" max="6659" width="6" style="170" customWidth="1"/>
    <col min="6660" max="6660" width="42.140625" style="170" customWidth="1"/>
    <col min="6661" max="6661" width="0" style="170" hidden="1" customWidth="1"/>
    <col min="6662" max="6662" width="12.7109375" style="170" customWidth="1"/>
    <col min="6663" max="6663" width="13.5703125" style="170" customWidth="1"/>
    <col min="6664" max="6664" width="14" style="170" customWidth="1"/>
    <col min="6665" max="6665" width="13.85546875" style="170" customWidth="1"/>
    <col min="6666" max="6666" width="12.5703125" style="170" customWidth="1"/>
    <col min="6667" max="6669" width="12.7109375" style="170" customWidth="1"/>
    <col min="6670" max="6675" width="0" style="170" hidden="1" customWidth="1"/>
    <col min="6676" max="6676" width="12.140625" style="170" customWidth="1"/>
    <col min="6677" max="6677" width="15.140625" style="170" customWidth="1"/>
    <col min="6678" max="6704" width="8" style="170" customWidth="1"/>
    <col min="6705" max="6912" width="8" style="170"/>
    <col min="6913" max="6913" width="19" style="170" customWidth="1"/>
    <col min="6914" max="6914" width="0" style="170" hidden="1" customWidth="1"/>
    <col min="6915" max="6915" width="6" style="170" customWidth="1"/>
    <col min="6916" max="6916" width="42.140625" style="170" customWidth="1"/>
    <col min="6917" max="6917" width="0" style="170" hidden="1" customWidth="1"/>
    <col min="6918" max="6918" width="12.7109375" style="170" customWidth="1"/>
    <col min="6919" max="6919" width="13.5703125" style="170" customWidth="1"/>
    <col min="6920" max="6920" width="14" style="170" customWidth="1"/>
    <col min="6921" max="6921" width="13.85546875" style="170" customWidth="1"/>
    <col min="6922" max="6922" width="12.5703125" style="170" customWidth="1"/>
    <col min="6923" max="6925" width="12.7109375" style="170" customWidth="1"/>
    <col min="6926" max="6931" width="0" style="170" hidden="1" customWidth="1"/>
    <col min="6932" max="6932" width="12.140625" style="170" customWidth="1"/>
    <col min="6933" max="6933" width="15.140625" style="170" customWidth="1"/>
    <col min="6934" max="6960" width="8" style="170" customWidth="1"/>
    <col min="6961" max="7168" width="8" style="170"/>
    <col min="7169" max="7169" width="19" style="170" customWidth="1"/>
    <col min="7170" max="7170" width="0" style="170" hidden="1" customWidth="1"/>
    <col min="7171" max="7171" width="6" style="170" customWidth="1"/>
    <col min="7172" max="7172" width="42.140625" style="170" customWidth="1"/>
    <col min="7173" max="7173" width="0" style="170" hidden="1" customWidth="1"/>
    <col min="7174" max="7174" width="12.7109375" style="170" customWidth="1"/>
    <col min="7175" max="7175" width="13.5703125" style="170" customWidth="1"/>
    <col min="7176" max="7176" width="14" style="170" customWidth="1"/>
    <col min="7177" max="7177" width="13.85546875" style="170" customWidth="1"/>
    <col min="7178" max="7178" width="12.5703125" style="170" customWidth="1"/>
    <col min="7179" max="7181" width="12.7109375" style="170" customWidth="1"/>
    <col min="7182" max="7187" width="0" style="170" hidden="1" customWidth="1"/>
    <col min="7188" max="7188" width="12.140625" style="170" customWidth="1"/>
    <col min="7189" max="7189" width="15.140625" style="170" customWidth="1"/>
    <col min="7190" max="7216" width="8" style="170" customWidth="1"/>
    <col min="7217" max="7424" width="8" style="170"/>
    <col min="7425" max="7425" width="19" style="170" customWidth="1"/>
    <col min="7426" max="7426" width="0" style="170" hidden="1" customWidth="1"/>
    <col min="7427" max="7427" width="6" style="170" customWidth="1"/>
    <col min="7428" max="7428" width="42.140625" style="170" customWidth="1"/>
    <col min="7429" max="7429" width="0" style="170" hidden="1" customWidth="1"/>
    <col min="7430" max="7430" width="12.7109375" style="170" customWidth="1"/>
    <col min="7431" max="7431" width="13.5703125" style="170" customWidth="1"/>
    <col min="7432" max="7432" width="14" style="170" customWidth="1"/>
    <col min="7433" max="7433" width="13.85546875" style="170" customWidth="1"/>
    <col min="7434" max="7434" width="12.5703125" style="170" customWidth="1"/>
    <col min="7435" max="7437" width="12.7109375" style="170" customWidth="1"/>
    <col min="7438" max="7443" width="0" style="170" hidden="1" customWidth="1"/>
    <col min="7444" max="7444" width="12.140625" style="170" customWidth="1"/>
    <col min="7445" max="7445" width="15.140625" style="170" customWidth="1"/>
    <col min="7446" max="7472" width="8" style="170" customWidth="1"/>
    <col min="7473" max="7680" width="8" style="170"/>
    <col min="7681" max="7681" width="19" style="170" customWidth="1"/>
    <col min="7682" max="7682" width="0" style="170" hidden="1" customWidth="1"/>
    <col min="7683" max="7683" width="6" style="170" customWidth="1"/>
    <col min="7684" max="7684" width="42.140625" style="170" customWidth="1"/>
    <col min="7685" max="7685" width="0" style="170" hidden="1" customWidth="1"/>
    <col min="7686" max="7686" width="12.7109375" style="170" customWidth="1"/>
    <col min="7687" max="7687" width="13.5703125" style="170" customWidth="1"/>
    <col min="7688" max="7688" width="14" style="170" customWidth="1"/>
    <col min="7689" max="7689" width="13.85546875" style="170" customWidth="1"/>
    <col min="7690" max="7690" width="12.5703125" style="170" customWidth="1"/>
    <col min="7691" max="7693" width="12.7109375" style="170" customWidth="1"/>
    <col min="7694" max="7699" width="0" style="170" hidden="1" customWidth="1"/>
    <col min="7700" max="7700" width="12.140625" style="170" customWidth="1"/>
    <col min="7701" max="7701" width="15.140625" style="170" customWidth="1"/>
    <col min="7702" max="7728" width="8" style="170" customWidth="1"/>
    <col min="7729" max="7936" width="8" style="170"/>
    <col min="7937" max="7937" width="19" style="170" customWidth="1"/>
    <col min="7938" max="7938" width="0" style="170" hidden="1" customWidth="1"/>
    <col min="7939" max="7939" width="6" style="170" customWidth="1"/>
    <col min="7940" max="7940" width="42.140625" style="170" customWidth="1"/>
    <col min="7941" max="7941" width="0" style="170" hidden="1" customWidth="1"/>
    <col min="7942" max="7942" width="12.7109375" style="170" customWidth="1"/>
    <col min="7943" max="7943" width="13.5703125" style="170" customWidth="1"/>
    <col min="7944" max="7944" width="14" style="170" customWidth="1"/>
    <col min="7945" max="7945" width="13.85546875" style="170" customWidth="1"/>
    <col min="7946" max="7946" width="12.5703125" style="170" customWidth="1"/>
    <col min="7947" max="7949" width="12.7109375" style="170" customWidth="1"/>
    <col min="7950" max="7955" width="0" style="170" hidden="1" customWidth="1"/>
    <col min="7956" max="7956" width="12.140625" style="170" customWidth="1"/>
    <col min="7957" max="7957" width="15.140625" style="170" customWidth="1"/>
    <col min="7958" max="7984" width="8" style="170" customWidth="1"/>
    <col min="7985" max="8192" width="8" style="170"/>
    <col min="8193" max="8193" width="19" style="170" customWidth="1"/>
    <col min="8194" max="8194" width="0" style="170" hidden="1" customWidth="1"/>
    <col min="8195" max="8195" width="6" style="170" customWidth="1"/>
    <col min="8196" max="8196" width="42.140625" style="170" customWidth="1"/>
    <col min="8197" max="8197" width="0" style="170" hidden="1" customWidth="1"/>
    <col min="8198" max="8198" width="12.7109375" style="170" customWidth="1"/>
    <col min="8199" max="8199" width="13.5703125" style="170" customWidth="1"/>
    <col min="8200" max="8200" width="14" style="170" customWidth="1"/>
    <col min="8201" max="8201" width="13.85546875" style="170" customWidth="1"/>
    <col min="8202" max="8202" width="12.5703125" style="170" customWidth="1"/>
    <col min="8203" max="8205" width="12.7109375" style="170" customWidth="1"/>
    <col min="8206" max="8211" width="0" style="170" hidden="1" customWidth="1"/>
    <col min="8212" max="8212" width="12.140625" style="170" customWidth="1"/>
    <col min="8213" max="8213" width="15.140625" style="170" customWidth="1"/>
    <col min="8214" max="8240" width="8" style="170" customWidth="1"/>
    <col min="8241" max="8448" width="8" style="170"/>
    <col min="8449" max="8449" width="19" style="170" customWidth="1"/>
    <col min="8450" max="8450" width="0" style="170" hidden="1" customWidth="1"/>
    <col min="8451" max="8451" width="6" style="170" customWidth="1"/>
    <col min="8452" max="8452" width="42.140625" style="170" customWidth="1"/>
    <col min="8453" max="8453" width="0" style="170" hidden="1" customWidth="1"/>
    <col min="8454" max="8454" width="12.7109375" style="170" customWidth="1"/>
    <col min="8455" max="8455" width="13.5703125" style="170" customWidth="1"/>
    <col min="8456" max="8456" width="14" style="170" customWidth="1"/>
    <col min="8457" max="8457" width="13.85546875" style="170" customWidth="1"/>
    <col min="8458" max="8458" width="12.5703125" style="170" customWidth="1"/>
    <col min="8459" max="8461" width="12.7109375" style="170" customWidth="1"/>
    <col min="8462" max="8467" width="0" style="170" hidden="1" customWidth="1"/>
    <col min="8468" max="8468" width="12.140625" style="170" customWidth="1"/>
    <col min="8469" max="8469" width="15.140625" style="170" customWidth="1"/>
    <col min="8470" max="8496" width="8" style="170" customWidth="1"/>
    <col min="8497" max="8704" width="8" style="170"/>
    <col min="8705" max="8705" width="19" style="170" customWidth="1"/>
    <col min="8706" max="8706" width="0" style="170" hidden="1" customWidth="1"/>
    <col min="8707" max="8707" width="6" style="170" customWidth="1"/>
    <col min="8708" max="8708" width="42.140625" style="170" customWidth="1"/>
    <col min="8709" max="8709" width="0" style="170" hidden="1" customWidth="1"/>
    <col min="8710" max="8710" width="12.7109375" style="170" customWidth="1"/>
    <col min="8711" max="8711" width="13.5703125" style="170" customWidth="1"/>
    <col min="8712" max="8712" width="14" style="170" customWidth="1"/>
    <col min="8713" max="8713" width="13.85546875" style="170" customWidth="1"/>
    <col min="8714" max="8714" width="12.5703125" style="170" customWidth="1"/>
    <col min="8715" max="8717" width="12.7109375" style="170" customWidth="1"/>
    <col min="8718" max="8723" width="0" style="170" hidden="1" customWidth="1"/>
    <col min="8724" max="8724" width="12.140625" style="170" customWidth="1"/>
    <col min="8725" max="8725" width="15.140625" style="170" customWidth="1"/>
    <col min="8726" max="8752" width="8" style="170" customWidth="1"/>
    <col min="8753" max="8960" width="8" style="170"/>
    <col min="8961" max="8961" width="19" style="170" customWidth="1"/>
    <col min="8962" max="8962" width="0" style="170" hidden="1" customWidth="1"/>
    <col min="8963" max="8963" width="6" style="170" customWidth="1"/>
    <col min="8964" max="8964" width="42.140625" style="170" customWidth="1"/>
    <col min="8965" max="8965" width="0" style="170" hidden="1" customWidth="1"/>
    <col min="8966" max="8966" width="12.7109375" style="170" customWidth="1"/>
    <col min="8967" max="8967" width="13.5703125" style="170" customWidth="1"/>
    <col min="8968" max="8968" width="14" style="170" customWidth="1"/>
    <col min="8969" max="8969" width="13.85546875" style="170" customWidth="1"/>
    <col min="8970" max="8970" width="12.5703125" style="170" customWidth="1"/>
    <col min="8971" max="8973" width="12.7109375" style="170" customWidth="1"/>
    <col min="8974" max="8979" width="0" style="170" hidden="1" customWidth="1"/>
    <col min="8980" max="8980" width="12.140625" style="170" customWidth="1"/>
    <col min="8981" max="8981" width="15.140625" style="170" customWidth="1"/>
    <col min="8982" max="9008" width="8" style="170" customWidth="1"/>
    <col min="9009" max="9216" width="8" style="170"/>
    <col min="9217" max="9217" width="19" style="170" customWidth="1"/>
    <col min="9218" max="9218" width="0" style="170" hidden="1" customWidth="1"/>
    <col min="9219" max="9219" width="6" style="170" customWidth="1"/>
    <col min="9220" max="9220" width="42.140625" style="170" customWidth="1"/>
    <col min="9221" max="9221" width="0" style="170" hidden="1" customWidth="1"/>
    <col min="9222" max="9222" width="12.7109375" style="170" customWidth="1"/>
    <col min="9223" max="9223" width="13.5703125" style="170" customWidth="1"/>
    <col min="9224" max="9224" width="14" style="170" customWidth="1"/>
    <col min="9225" max="9225" width="13.85546875" style="170" customWidth="1"/>
    <col min="9226" max="9226" width="12.5703125" style="170" customWidth="1"/>
    <col min="9227" max="9229" width="12.7109375" style="170" customWidth="1"/>
    <col min="9230" max="9235" width="0" style="170" hidden="1" customWidth="1"/>
    <col min="9236" max="9236" width="12.140625" style="170" customWidth="1"/>
    <col min="9237" max="9237" width="15.140625" style="170" customWidth="1"/>
    <col min="9238" max="9264" width="8" style="170" customWidth="1"/>
    <col min="9265" max="9472" width="8" style="170"/>
    <col min="9473" max="9473" width="19" style="170" customWidth="1"/>
    <col min="9474" max="9474" width="0" style="170" hidden="1" customWidth="1"/>
    <col min="9475" max="9475" width="6" style="170" customWidth="1"/>
    <col min="9476" max="9476" width="42.140625" style="170" customWidth="1"/>
    <col min="9477" max="9477" width="0" style="170" hidden="1" customWidth="1"/>
    <col min="9478" max="9478" width="12.7109375" style="170" customWidth="1"/>
    <col min="9479" max="9479" width="13.5703125" style="170" customWidth="1"/>
    <col min="9480" max="9480" width="14" style="170" customWidth="1"/>
    <col min="9481" max="9481" width="13.85546875" style="170" customWidth="1"/>
    <col min="9482" max="9482" width="12.5703125" style="170" customWidth="1"/>
    <col min="9483" max="9485" width="12.7109375" style="170" customWidth="1"/>
    <col min="9486" max="9491" width="0" style="170" hidden="1" customWidth="1"/>
    <col min="9492" max="9492" width="12.140625" style="170" customWidth="1"/>
    <col min="9493" max="9493" width="15.140625" style="170" customWidth="1"/>
    <col min="9494" max="9520" width="8" style="170" customWidth="1"/>
    <col min="9521" max="9728" width="8" style="170"/>
    <col min="9729" max="9729" width="19" style="170" customWidth="1"/>
    <col min="9730" max="9730" width="0" style="170" hidden="1" customWidth="1"/>
    <col min="9731" max="9731" width="6" style="170" customWidth="1"/>
    <col min="9732" max="9732" width="42.140625" style="170" customWidth="1"/>
    <col min="9733" max="9733" width="0" style="170" hidden="1" customWidth="1"/>
    <col min="9734" max="9734" width="12.7109375" style="170" customWidth="1"/>
    <col min="9735" max="9735" width="13.5703125" style="170" customWidth="1"/>
    <col min="9736" max="9736" width="14" style="170" customWidth="1"/>
    <col min="9737" max="9737" width="13.85546875" style="170" customWidth="1"/>
    <col min="9738" max="9738" width="12.5703125" style="170" customWidth="1"/>
    <col min="9739" max="9741" width="12.7109375" style="170" customWidth="1"/>
    <col min="9742" max="9747" width="0" style="170" hidden="1" customWidth="1"/>
    <col min="9748" max="9748" width="12.140625" style="170" customWidth="1"/>
    <col min="9749" max="9749" width="15.140625" style="170" customWidth="1"/>
    <col min="9750" max="9776" width="8" style="170" customWidth="1"/>
    <col min="9777" max="9984" width="8" style="170"/>
    <col min="9985" max="9985" width="19" style="170" customWidth="1"/>
    <col min="9986" max="9986" width="0" style="170" hidden="1" customWidth="1"/>
    <col min="9987" max="9987" width="6" style="170" customWidth="1"/>
    <col min="9988" max="9988" width="42.140625" style="170" customWidth="1"/>
    <col min="9989" max="9989" width="0" style="170" hidden="1" customWidth="1"/>
    <col min="9990" max="9990" width="12.7109375" style="170" customWidth="1"/>
    <col min="9991" max="9991" width="13.5703125" style="170" customWidth="1"/>
    <col min="9992" max="9992" width="14" style="170" customWidth="1"/>
    <col min="9993" max="9993" width="13.85546875" style="170" customWidth="1"/>
    <col min="9994" max="9994" width="12.5703125" style="170" customWidth="1"/>
    <col min="9995" max="9997" width="12.7109375" style="170" customWidth="1"/>
    <col min="9998" max="10003" width="0" style="170" hidden="1" customWidth="1"/>
    <col min="10004" max="10004" width="12.140625" style="170" customWidth="1"/>
    <col min="10005" max="10005" width="15.140625" style="170" customWidth="1"/>
    <col min="10006" max="10032" width="8" style="170" customWidth="1"/>
    <col min="10033" max="10240" width="8" style="170"/>
    <col min="10241" max="10241" width="19" style="170" customWidth="1"/>
    <col min="10242" max="10242" width="0" style="170" hidden="1" customWidth="1"/>
    <col min="10243" max="10243" width="6" style="170" customWidth="1"/>
    <col min="10244" max="10244" width="42.140625" style="170" customWidth="1"/>
    <col min="10245" max="10245" width="0" style="170" hidden="1" customWidth="1"/>
    <col min="10246" max="10246" width="12.7109375" style="170" customWidth="1"/>
    <col min="10247" max="10247" width="13.5703125" style="170" customWidth="1"/>
    <col min="10248" max="10248" width="14" style="170" customWidth="1"/>
    <col min="10249" max="10249" width="13.85546875" style="170" customWidth="1"/>
    <col min="10250" max="10250" width="12.5703125" style="170" customWidth="1"/>
    <col min="10251" max="10253" width="12.7109375" style="170" customWidth="1"/>
    <col min="10254" max="10259" width="0" style="170" hidden="1" customWidth="1"/>
    <col min="10260" max="10260" width="12.140625" style="170" customWidth="1"/>
    <col min="10261" max="10261" width="15.140625" style="170" customWidth="1"/>
    <col min="10262" max="10288" width="8" style="170" customWidth="1"/>
    <col min="10289" max="10496" width="8" style="170"/>
    <col min="10497" max="10497" width="19" style="170" customWidth="1"/>
    <col min="10498" max="10498" width="0" style="170" hidden="1" customWidth="1"/>
    <col min="10499" max="10499" width="6" style="170" customWidth="1"/>
    <col min="10500" max="10500" width="42.140625" style="170" customWidth="1"/>
    <col min="10501" max="10501" width="0" style="170" hidden="1" customWidth="1"/>
    <col min="10502" max="10502" width="12.7109375" style="170" customWidth="1"/>
    <col min="10503" max="10503" width="13.5703125" style="170" customWidth="1"/>
    <col min="10504" max="10504" width="14" style="170" customWidth="1"/>
    <col min="10505" max="10505" width="13.85546875" style="170" customWidth="1"/>
    <col min="10506" max="10506" width="12.5703125" style="170" customWidth="1"/>
    <col min="10507" max="10509" width="12.7109375" style="170" customWidth="1"/>
    <col min="10510" max="10515" width="0" style="170" hidden="1" customWidth="1"/>
    <col min="10516" max="10516" width="12.140625" style="170" customWidth="1"/>
    <col min="10517" max="10517" width="15.140625" style="170" customWidth="1"/>
    <col min="10518" max="10544" width="8" style="170" customWidth="1"/>
    <col min="10545" max="10752" width="8" style="170"/>
    <col min="10753" max="10753" width="19" style="170" customWidth="1"/>
    <col min="10754" max="10754" width="0" style="170" hidden="1" customWidth="1"/>
    <col min="10755" max="10755" width="6" style="170" customWidth="1"/>
    <col min="10756" max="10756" width="42.140625" style="170" customWidth="1"/>
    <col min="10757" max="10757" width="0" style="170" hidden="1" customWidth="1"/>
    <col min="10758" max="10758" width="12.7109375" style="170" customWidth="1"/>
    <col min="10759" max="10759" width="13.5703125" style="170" customWidth="1"/>
    <col min="10760" max="10760" width="14" style="170" customWidth="1"/>
    <col min="10761" max="10761" width="13.85546875" style="170" customWidth="1"/>
    <col min="10762" max="10762" width="12.5703125" style="170" customWidth="1"/>
    <col min="10763" max="10765" width="12.7109375" style="170" customWidth="1"/>
    <col min="10766" max="10771" width="0" style="170" hidden="1" customWidth="1"/>
    <col min="10772" max="10772" width="12.140625" style="170" customWidth="1"/>
    <col min="10773" max="10773" width="15.140625" style="170" customWidth="1"/>
    <col min="10774" max="10800" width="8" style="170" customWidth="1"/>
    <col min="10801" max="11008" width="8" style="170"/>
    <col min="11009" max="11009" width="19" style="170" customWidth="1"/>
    <col min="11010" max="11010" width="0" style="170" hidden="1" customWidth="1"/>
    <col min="11011" max="11011" width="6" style="170" customWidth="1"/>
    <col min="11012" max="11012" width="42.140625" style="170" customWidth="1"/>
    <col min="11013" max="11013" width="0" style="170" hidden="1" customWidth="1"/>
    <col min="11014" max="11014" width="12.7109375" style="170" customWidth="1"/>
    <col min="11015" max="11015" width="13.5703125" style="170" customWidth="1"/>
    <col min="11016" max="11016" width="14" style="170" customWidth="1"/>
    <col min="11017" max="11017" width="13.85546875" style="170" customWidth="1"/>
    <col min="11018" max="11018" width="12.5703125" style="170" customWidth="1"/>
    <col min="11019" max="11021" width="12.7109375" style="170" customWidth="1"/>
    <col min="11022" max="11027" width="0" style="170" hidden="1" customWidth="1"/>
    <col min="11028" max="11028" width="12.140625" style="170" customWidth="1"/>
    <col min="11029" max="11029" width="15.140625" style="170" customWidth="1"/>
    <col min="11030" max="11056" width="8" style="170" customWidth="1"/>
    <col min="11057" max="11264" width="8" style="170"/>
    <col min="11265" max="11265" width="19" style="170" customWidth="1"/>
    <col min="11266" max="11266" width="0" style="170" hidden="1" customWidth="1"/>
    <col min="11267" max="11267" width="6" style="170" customWidth="1"/>
    <col min="11268" max="11268" width="42.140625" style="170" customWidth="1"/>
    <col min="11269" max="11269" width="0" style="170" hidden="1" customWidth="1"/>
    <col min="11270" max="11270" width="12.7109375" style="170" customWidth="1"/>
    <col min="11271" max="11271" width="13.5703125" style="170" customWidth="1"/>
    <col min="11272" max="11272" width="14" style="170" customWidth="1"/>
    <col min="11273" max="11273" width="13.85546875" style="170" customWidth="1"/>
    <col min="11274" max="11274" width="12.5703125" style="170" customWidth="1"/>
    <col min="11275" max="11277" width="12.7109375" style="170" customWidth="1"/>
    <col min="11278" max="11283" width="0" style="170" hidden="1" customWidth="1"/>
    <col min="11284" max="11284" width="12.140625" style="170" customWidth="1"/>
    <col min="11285" max="11285" width="15.140625" style="170" customWidth="1"/>
    <col min="11286" max="11312" width="8" style="170" customWidth="1"/>
    <col min="11313" max="11520" width="8" style="170"/>
    <col min="11521" max="11521" width="19" style="170" customWidth="1"/>
    <col min="11522" max="11522" width="0" style="170" hidden="1" customWidth="1"/>
    <col min="11523" max="11523" width="6" style="170" customWidth="1"/>
    <col min="11524" max="11524" width="42.140625" style="170" customWidth="1"/>
    <col min="11525" max="11525" width="0" style="170" hidden="1" customWidth="1"/>
    <col min="11526" max="11526" width="12.7109375" style="170" customWidth="1"/>
    <col min="11527" max="11527" width="13.5703125" style="170" customWidth="1"/>
    <col min="11528" max="11528" width="14" style="170" customWidth="1"/>
    <col min="11529" max="11529" width="13.85546875" style="170" customWidth="1"/>
    <col min="11530" max="11530" width="12.5703125" style="170" customWidth="1"/>
    <col min="11531" max="11533" width="12.7109375" style="170" customWidth="1"/>
    <col min="11534" max="11539" width="0" style="170" hidden="1" customWidth="1"/>
    <col min="11540" max="11540" width="12.140625" style="170" customWidth="1"/>
    <col min="11541" max="11541" width="15.140625" style="170" customWidth="1"/>
    <col min="11542" max="11568" width="8" style="170" customWidth="1"/>
    <col min="11569" max="11776" width="8" style="170"/>
    <col min="11777" max="11777" width="19" style="170" customWidth="1"/>
    <col min="11778" max="11778" width="0" style="170" hidden="1" customWidth="1"/>
    <col min="11779" max="11779" width="6" style="170" customWidth="1"/>
    <col min="11780" max="11780" width="42.140625" style="170" customWidth="1"/>
    <col min="11781" max="11781" width="0" style="170" hidden="1" customWidth="1"/>
    <col min="11782" max="11782" width="12.7109375" style="170" customWidth="1"/>
    <col min="11783" max="11783" width="13.5703125" style="170" customWidth="1"/>
    <col min="11784" max="11784" width="14" style="170" customWidth="1"/>
    <col min="11785" max="11785" width="13.85546875" style="170" customWidth="1"/>
    <col min="11786" max="11786" width="12.5703125" style="170" customWidth="1"/>
    <col min="11787" max="11789" width="12.7109375" style="170" customWidth="1"/>
    <col min="11790" max="11795" width="0" style="170" hidden="1" customWidth="1"/>
    <col min="11796" max="11796" width="12.140625" style="170" customWidth="1"/>
    <col min="11797" max="11797" width="15.140625" style="170" customWidth="1"/>
    <col min="11798" max="11824" width="8" style="170" customWidth="1"/>
    <col min="11825" max="12032" width="8" style="170"/>
    <col min="12033" max="12033" width="19" style="170" customWidth="1"/>
    <col min="12034" max="12034" width="0" style="170" hidden="1" customWidth="1"/>
    <col min="12035" max="12035" width="6" style="170" customWidth="1"/>
    <col min="12036" max="12036" width="42.140625" style="170" customWidth="1"/>
    <col min="12037" max="12037" width="0" style="170" hidden="1" customWidth="1"/>
    <col min="12038" max="12038" width="12.7109375" style="170" customWidth="1"/>
    <col min="12039" max="12039" width="13.5703125" style="170" customWidth="1"/>
    <col min="12040" max="12040" width="14" style="170" customWidth="1"/>
    <col min="12041" max="12041" width="13.85546875" style="170" customWidth="1"/>
    <col min="12042" max="12042" width="12.5703125" style="170" customWidth="1"/>
    <col min="12043" max="12045" width="12.7109375" style="170" customWidth="1"/>
    <col min="12046" max="12051" width="0" style="170" hidden="1" customWidth="1"/>
    <col min="12052" max="12052" width="12.140625" style="170" customWidth="1"/>
    <col min="12053" max="12053" width="15.140625" style="170" customWidth="1"/>
    <col min="12054" max="12080" width="8" style="170" customWidth="1"/>
    <col min="12081" max="12288" width="8" style="170"/>
    <col min="12289" max="12289" width="19" style="170" customWidth="1"/>
    <col min="12290" max="12290" width="0" style="170" hidden="1" customWidth="1"/>
    <col min="12291" max="12291" width="6" style="170" customWidth="1"/>
    <col min="12292" max="12292" width="42.140625" style="170" customWidth="1"/>
    <col min="12293" max="12293" width="0" style="170" hidden="1" customWidth="1"/>
    <col min="12294" max="12294" width="12.7109375" style="170" customWidth="1"/>
    <col min="12295" max="12295" width="13.5703125" style="170" customWidth="1"/>
    <col min="12296" max="12296" width="14" style="170" customWidth="1"/>
    <col min="12297" max="12297" width="13.85546875" style="170" customWidth="1"/>
    <col min="12298" max="12298" width="12.5703125" style="170" customWidth="1"/>
    <col min="12299" max="12301" width="12.7109375" style="170" customWidth="1"/>
    <col min="12302" max="12307" width="0" style="170" hidden="1" customWidth="1"/>
    <col min="12308" max="12308" width="12.140625" style="170" customWidth="1"/>
    <col min="12309" max="12309" width="15.140625" style="170" customWidth="1"/>
    <col min="12310" max="12336" width="8" style="170" customWidth="1"/>
    <col min="12337" max="12544" width="8" style="170"/>
    <col min="12545" max="12545" width="19" style="170" customWidth="1"/>
    <col min="12546" max="12546" width="0" style="170" hidden="1" customWidth="1"/>
    <col min="12547" max="12547" width="6" style="170" customWidth="1"/>
    <col min="12548" max="12548" width="42.140625" style="170" customWidth="1"/>
    <col min="12549" max="12549" width="0" style="170" hidden="1" customWidth="1"/>
    <col min="12550" max="12550" width="12.7109375" style="170" customWidth="1"/>
    <col min="12551" max="12551" width="13.5703125" style="170" customWidth="1"/>
    <col min="12552" max="12552" width="14" style="170" customWidth="1"/>
    <col min="12553" max="12553" width="13.85546875" style="170" customWidth="1"/>
    <col min="12554" max="12554" width="12.5703125" style="170" customWidth="1"/>
    <col min="12555" max="12557" width="12.7109375" style="170" customWidth="1"/>
    <col min="12558" max="12563" width="0" style="170" hidden="1" customWidth="1"/>
    <col min="12564" max="12564" width="12.140625" style="170" customWidth="1"/>
    <col min="12565" max="12565" width="15.140625" style="170" customWidth="1"/>
    <col min="12566" max="12592" width="8" style="170" customWidth="1"/>
    <col min="12593" max="12800" width="8" style="170"/>
    <col min="12801" max="12801" width="19" style="170" customWidth="1"/>
    <col min="12802" max="12802" width="0" style="170" hidden="1" customWidth="1"/>
    <col min="12803" max="12803" width="6" style="170" customWidth="1"/>
    <col min="12804" max="12804" width="42.140625" style="170" customWidth="1"/>
    <col min="12805" max="12805" width="0" style="170" hidden="1" customWidth="1"/>
    <col min="12806" max="12806" width="12.7109375" style="170" customWidth="1"/>
    <col min="12807" max="12807" width="13.5703125" style="170" customWidth="1"/>
    <col min="12808" max="12808" width="14" style="170" customWidth="1"/>
    <col min="12809" max="12809" width="13.85546875" style="170" customWidth="1"/>
    <col min="12810" max="12810" width="12.5703125" style="170" customWidth="1"/>
    <col min="12811" max="12813" width="12.7109375" style="170" customWidth="1"/>
    <col min="12814" max="12819" width="0" style="170" hidden="1" customWidth="1"/>
    <col min="12820" max="12820" width="12.140625" style="170" customWidth="1"/>
    <col min="12821" max="12821" width="15.140625" style="170" customWidth="1"/>
    <col min="12822" max="12848" width="8" style="170" customWidth="1"/>
    <col min="12849" max="13056" width="8" style="170"/>
    <col min="13057" max="13057" width="19" style="170" customWidth="1"/>
    <col min="13058" max="13058" width="0" style="170" hidden="1" customWidth="1"/>
    <col min="13059" max="13059" width="6" style="170" customWidth="1"/>
    <col min="13060" max="13060" width="42.140625" style="170" customWidth="1"/>
    <col min="13061" max="13061" width="0" style="170" hidden="1" customWidth="1"/>
    <col min="13062" max="13062" width="12.7109375" style="170" customWidth="1"/>
    <col min="13063" max="13063" width="13.5703125" style="170" customWidth="1"/>
    <col min="13064" max="13064" width="14" style="170" customWidth="1"/>
    <col min="13065" max="13065" width="13.85546875" style="170" customWidth="1"/>
    <col min="13066" max="13066" width="12.5703125" style="170" customWidth="1"/>
    <col min="13067" max="13069" width="12.7109375" style="170" customWidth="1"/>
    <col min="13070" max="13075" width="0" style="170" hidden="1" customWidth="1"/>
    <col min="13076" max="13076" width="12.140625" style="170" customWidth="1"/>
    <col min="13077" max="13077" width="15.140625" style="170" customWidth="1"/>
    <col min="13078" max="13104" width="8" style="170" customWidth="1"/>
    <col min="13105" max="13312" width="8" style="170"/>
    <col min="13313" max="13313" width="19" style="170" customWidth="1"/>
    <col min="13314" max="13314" width="0" style="170" hidden="1" customWidth="1"/>
    <col min="13315" max="13315" width="6" style="170" customWidth="1"/>
    <col min="13316" max="13316" width="42.140625" style="170" customWidth="1"/>
    <col min="13317" max="13317" width="0" style="170" hidden="1" customWidth="1"/>
    <col min="13318" max="13318" width="12.7109375" style="170" customWidth="1"/>
    <col min="13319" max="13319" width="13.5703125" style="170" customWidth="1"/>
    <col min="13320" max="13320" width="14" style="170" customWidth="1"/>
    <col min="13321" max="13321" width="13.85546875" style="170" customWidth="1"/>
    <col min="13322" max="13322" width="12.5703125" style="170" customWidth="1"/>
    <col min="13323" max="13325" width="12.7109375" style="170" customWidth="1"/>
    <col min="13326" max="13331" width="0" style="170" hidden="1" customWidth="1"/>
    <col min="13332" max="13332" width="12.140625" style="170" customWidth="1"/>
    <col min="13333" max="13333" width="15.140625" style="170" customWidth="1"/>
    <col min="13334" max="13360" width="8" style="170" customWidth="1"/>
    <col min="13361" max="13568" width="8" style="170"/>
    <col min="13569" max="13569" width="19" style="170" customWidth="1"/>
    <col min="13570" max="13570" width="0" style="170" hidden="1" customWidth="1"/>
    <col min="13571" max="13571" width="6" style="170" customWidth="1"/>
    <col min="13572" max="13572" width="42.140625" style="170" customWidth="1"/>
    <col min="13573" max="13573" width="0" style="170" hidden="1" customWidth="1"/>
    <col min="13574" max="13574" width="12.7109375" style="170" customWidth="1"/>
    <col min="13575" max="13575" width="13.5703125" style="170" customWidth="1"/>
    <col min="13576" max="13576" width="14" style="170" customWidth="1"/>
    <col min="13577" max="13577" width="13.85546875" style="170" customWidth="1"/>
    <col min="13578" max="13578" width="12.5703125" style="170" customWidth="1"/>
    <col min="13579" max="13581" width="12.7109375" style="170" customWidth="1"/>
    <col min="13582" max="13587" width="0" style="170" hidden="1" customWidth="1"/>
    <col min="13588" max="13588" width="12.140625" style="170" customWidth="1"/>
    <col min="13589" max="13589" width="15.140625" style="170" customWidth="1"/>
    <col min="13590" max="13616" width="8" style="170" customWidth="1"/>
    <col min="13617" max="13824" width="8" style="170"/>
    <col min="13825" max="13825" width="19" style="170" customWidth="1"/>
    <col min="13826" max="13826" width="0" style="170" hidden="1" customWidth="1"/>
    <col min="13827" max="13827" width="6" style="170" customWidth="1"/>
    <col min="13828" max="13828" width="42.140625" style="170" customWidth="1"/>
    <col min="13829" max="13829" width="0" style="170" hidden="1" customWidth="1"/>
    <col min="13830" max="13830" width="12.7109375" style="170" customWidth="1"/>
    <col min="13831" max="13831" width="13.5703125" style="170" customWidth="1"/>
    <col min="13832" max="13832" width="14" style="170" customWidth="1"/>
    <col min="13833" max="13833" width="13.85546875" style="170" customWidth="1"/>
    <col min="13834" max="13834" width="12.5703125" style="170" customWidth="1"/>
    <col min="13835" max="13837" width="12.7109375" style="170" customWidth="1"/>
    <col min="13838" max="13843" width="0" style="170" hidden="1" customWidth="1"/>
    <col min="13844" max="13844" width="12.140625" style="170" customWidth="1"/>
    <col min="13845" max="13845" width="15.140625" style="170" customWidth="1"/>
    <col min="13846" max="13872" width="8" style="170" customWidth="1"/>
    <col min="13873" max="14080" width="8" style="170"/>
    <col min="14081" max="14081" width="19" style="170" customWidth="1"/>
    <col min="14082" max="14082" width="0" style="170" hidden="1" customWidth="1"/>
    <col min="14083" max="14083" width="6" style="170" customWidth="1"/>
    <col min="14084" max="14084" width="42.140625" style="170" customWidth="1"/>
    <col min="14085" max="14085" width="0" style="170" hidden="1" customWidth="1"/>
    <col min="14086" max="14086" width="12.7109375" style="170" customWidth="1"/>
    <col min="14087" max="14087" width="13.5703125" style="170" customWidth="1"/>
    <col min="14088" max="14088" width="14" style="170" customWidth="1"/>
    <col min="14089" max="14089" width="13.85546875" style="170" customWidth="1"/>
    <col min="14090" max="14090" width="12.5703125" style="170" customWidth="1"/>
    <col min="14091" max="14093" width="12.7109375" style="170" customWidth="1"/>
    <col min="14094" max="14099" width="0" style="170" hidden="1" customWidth="1"/>
    <col min="14100" max="14100" width="12.140625" style="170" customWidth="1"/>
    <col min="14101" max="14101" width="15.140625" style="170" customWidth="1"/>
    <col min="14102" max="14128" width="8" style="170" customWidth="1"/>
    <col min="14129" max="14336" width="8" style="170"/>
    <col min="14337" max="14337" width="19" style="170" customWidth="1"/>
    <col min="14338" max="14338" width="0" style="170" hidden="1" customWidth="1"/>
    <col min="14339" max="14339" width="6" style="170" customWidth="1"/>
    <col min="14340" max="14340" width="42.140625" style="170" customWidth="1"/>
    <col min="14341" max="14341" width="0" style="170" hidden="1" customWidth="1"/>
    <col min="14342" max="14342" width="12.7109375" style="170" customWidth="1"/>
    <col min="14343" max="14343" width="13.5703125" style="170" customWidth="1"/>
    <col min="14344" max="14344" width="14" style="170" customWidth="1"/>
    <col min="14345" max="14345" width="13.85546875" style="170" customWidth="1"/>
    <col min="14346" max="14346" width="12.5703125" style="170" customWidth="1"/>
    <col min="14347" max="14349" width="12.7109375" style="170" customWidth="1"/>
    <col min="14350" max="14355" width="0" style="170" hidden="1" customWidth="1"/>
    <col min="14356" max="14356" width="12.140625" style="170" customWidth="1"/>
    <col min="14357" max="14357" width="15.140625" style="170" customWidth="1"/>
    <col min="14358" max="14384" width="8" style="170" customWidth="1"/>
    <col min="14385" max="14592" width="8" style="170"/>
    <col min="14593" max="14593" width="19" style="170" customWidth="1"/>
    <col min="14594" max="14594" width="0" style="170" hidden="1" customWidth="1"/>
    <col min="14595" max="14595" width="6" style="170" customWidth="1"/>
    <col min="14596" max="14596" width="42.140625" style="170" customWidth="1"/>
    <col min="14597" max="14597" width="0" style="170" hidden="1" customWidth="1"/>
    <col min="14598" max="14598" width="12.7109375" style="170" customWidth="1"/>
    <col min="14599" max="14599" width="13.5703125" style="170" customWidth="1"/>
    <col min="14600" max="14600" width="14" style="170" customWidth="1"/>
    <col min="14601" max="14601" width="13.85546875" style="170" customWidth="1"/>
    <col min="14602" max="14602" width="12.5703125" style="170" customWidth="1"/>
    <col min="14603" max="14605" width="12.7109375" style="170" customWidth="1"/>
    <col min="14606" max="14611" width="0" style="170" hidden="1" customWidth="1"/>
    <col min="14612" max="14612" width="12.140625" style="170" customWidth="1"/>
    <col min="14613" max="14613" width="15.140625" style="170" customWidth="1"/>
    <col min="14614" max="14640" width="8" style="170" customWidth="1"/>
    <col min="14641" max="14848" width="8" style="170"/>
    <col min="14849" max="14849" width="19" style="170" customWidth="1"/>
    <col min="14850" max="14850" width="0" style="170" hidden="1" customWidth="1"/>
    <col min="14851" max="14851" width="6" style="170" customWidth="1"/>
    <col min="14852" max="14852" width="42.140625" style="170" customWidth="1"/>
    <col min="14853" max="14853" width="0" style="170" hidden="1" customWidth="1"/>
    <col min="14854" max="14854" width="12.7109375" style="170" customWidth="1"/>
    <col min="14855" max="14855" width="13.5703125" style="170" customWidth="1"/>
    <col min="14856" max="14856" width="14" style="170" customWidth="1"/>
    <col min="14857" max="14857" width="13.85546875" style="170" customWidth="1"/>
    <col min="14858" max="14858" width="12.5703125" style="170" customWidth="1"/>
    <col min="14859" max="14861" width="12.7109375" style="170" customWidth="1"/>
    <col min="14862" max="14867" width="0" style="170" hidden="1" customWidth="1"/>
    <col min="14868" max="14868" width="12.140625" style="170" customWidth="1"/>
    <col min="14869" max="14869" width="15.140625" style="170" customWidth="1"/>
    <col min="14870" max="14896" width="8" style="170" customWidth="1"/>
    <col min="14897" max="15104" width="8" style="170"/>
    <col min="15105" max="15105" width="19" style="170" customWidth="1"/>
    <col min="15106" max="15106" width="0" style="170" hidden="1" customWidth="1"/>
    <col min="15107" max="15107" width="6" style="170" customWidth="1"/>
    <col min="15108" max="15108" width="42.140625" style="170" customWidth="1"/>
    <col min="15109" max="15109" width="0" style="170" hidden="1" customWidth="1"/>
    <col min="15110" max="15110" width="12.7109375" style="170" customWidth="1"/>
    <col min="15111" max="15111" width="13.5703125" style="170" customWidth="1"/>
    <col min="15112" max="15112" width="14" style="170" customWidth="1"/>
    <col min="15113" max="15113" width="13.85546875" style="170" customWidth="1"/>
    <col min="15114" max="15114" width="12.5703125" style="170" customWidth="1"/>
    <col min="15115" max="15117" width="12.7109375" style="170" customWidth="1"/>
    <col min="15118" max="15123" width="0" style="170" hidden="1" customWidth="1"/>
    <col min="15124" max="15124" width="12.140625" style="170" customWidth="1"/>
    <col min="15125" max="15125" width="15.140625" style="170" customWidth="1"/>
    <col min="15126" max="15152" width="8" style="170" customWidth="1"/>
    <col min="15153" max="15360" width="8" style="170"/>
    <col min="15361" max="15361" width="19" style="170" customWidth="1"/>
    <col min="15362" max="15362" width="0" style="170" hidden="1" customWidth="1"/>
    <col min="15363" max="15363" width="6" style="170" customWidth="1"/>
    <col min="15364" max="15364" width="42.140625" style="170" customWidth="1"/>
    <col min="15365" max="15365" width="0" style="170" hidden="1" customWidth="1"/>
    <col min="15366" max="15366" width="12.7109375" style="170" customWidth="1"/>
    <col min="15367" max="15367" width="13.5703125" style="170" customWidth="1"/>
    <col min="15368" max="15368" width="14" style="170" customWidth="1"/>
    <col min="15369" max="15369" width="13.85546875" style="170" customWidth="1"/>
    <col min="15370" max="15370" width="12.5703125" style="170" customWidth="1"/>
    <col min="15371" max="15373" width="12.7109375" style="170" customWidth="1"/>
    <col min="15374" max="15379" width="0" style="170" hidden="1" customWidth="1"/>
    <col min="15380" max="15380" width="12.140625" style="170" customWidth="1"/>
    <col min="15381" max="15381" width="15.140625" style="170" customWidth="1"/>
    <col min="15382" max="15408" width="8" style="170" customWidth="1"/>
    <col min="15409" max="15616" width="8" style="170"/>
    <col min="15617" max="15617" width="19" style="170" customWidth="1"/>
    <col min="15618" max="15618" width="0" style="170" hidden="1" customWidth="1"/>
    <col min="15619" max="15619" width="6" style="170" customWidth="1"/>
    <col min="15620" max="15620" width="42.140625" style="170" customWidth="1"/>
    <col min="15621" max="15621" width="0" style="170" hidden="1" customWidth="1"/>
    <col min="15622" max="15622" width="12.7109375" style="170" customWidth="1"/>
    <col min="15623" max="15623" width="13.5703125" style="170" customWidth="1"/>
    <col min="15624" max="15624" width="14" style="170" customWidth="1"/>
    <col min="15625" max="15625" width="13.85546875" style="170" customWidth="1"/>
    <col min="15626" max="15626" width="12.5703125" style="170" customWidth="1"/>
    <col min="15627" max="15629" width="12.7109375" style="170" customWidth="1"/>
    <col min="15630" max="15635" width="0" style="170" hidden="1" customWidth="1"/>
    <col min="15636" max="15636" width="12.140625" style="170" customWidth="1"/>
    <col min="15637" max="15637" width="15.140625" style="170" customWidth="1"/>
    <col min="15638" max="15664" width="8" style="170" customWidth="1"/>
    <col min="15665" max="15872" width="8" style="170"/>
    <col min="15873" max="15873" width="19" style="170" customWidth="1"/>
    <col min="15874" max="15874" width="0" style="170" hidden="1" customWidth="1"/>
    <col min="15875" max="15875" width="6" style="170" customWidth="1"/>
    <col min="15876" max="15876" width="42.140625" style="170" customWidth="1"/>
    <col min="15877" max="15877" width="0" style="170" hidden="1" customWidth="1"/>
    <col min="15878" max="15878" width="12.7109375" style="170" customWidth="1"/>
    <col min="15879" max="15879" width="13.5703125" style="170" customWidth="1"/>
    <col min="15880" max="15880" width="14" style="170" customWidth="1"/>
    <col min="15881" max="15881" width="13.85546875" style="170" customWidth="1"/>
    <col min="15882" max="15882" width="12.5703125" style="170" customWidth="1"/>
    <col min="15883" max="15885" width="12.7109375" style="170" customWidth="1"/>
    <col min="15886" max="15891" width="0" style="170" hidden="1" customWidth="1"/>
    <col min="15892" max="15892" width="12.140625" style="170" customWidth="1"/>
    <col min="15893" max="15893" width="15.140625" style="170" customWidth="1"/>
    <col min="15894" max="15920" width="8" style="170" customWidth="1"/>
    <col min="15921" max="16128" width="8" style="170"/>
    <col min="16129" max="16129" width="19" style="170" customWidth="1"/>
    <col min="16130" max="16130" width="0" style="170" hidden="1" customWidth="1"/>
    <col min="16131" max="16131" width="6" style="170" customWidth="1"/>
    <col min="16132" max="16132" width="42.140625" style="170" customWidth="1"/>
    <col min="16133" max="16133" width="0" style="170" hidden="1" customWidth="1"/>
    <col min="16134" max="16134" width="12.7109375" style="170" customWidth="1"/>
    <col min="16135" max="16135" width="13.5703125" style="170" customWidth="1"/>
    <col min="16136" max="16136" width="14" style="170" customWidth="1"/>
    <col min="16137" max="16137" width="13.85546875" style="170" customWidth="1"/>
    <col min="16138" max="16138" width="12.5703125" style="170" customWidth="1"/>
    <col min="16139" max="16141" width="12.7109375" style="170" customWidth="1"/>
    <col min="16142" max="16147" width="0" style="170" hidden="1" customWidth="1"/>
    <col min="16148" max="16148" width="12.140625" style="170" customWidth="1"/>
    <col min="16149" max="16149" width="15.140625" style="170" customWidth="1"/>
    <col min="16150" max="16176" width="8" style="170" customWidth="1"/>
    <col min="16177" max="16384" width="8" style="170"/>
  </cols>
  <sheetData>
    <row r="1" spans="1:48" s="80" customFormat="1" ht="81" customHeight="1" x14ac:dyDescent="0.25">
      <c r="C1" s="81"/>
      <c r="D1" s="82"/>
      <c r="E1" s="83"/>
      <c r="F1" s="82"/>
      <c r="G1" s="82"/>
      <c r="H1" s="82"/>
      <c r="I1" s="82"/>
      <c r="J1" s="84"/>
      <c r="K1" s="412"/>
      <c r="L1" s="412"/>
      <c r="M1" s="412"/>
      <c r="N1" s="413" t="s">
        <v>976</v>
      </c>
      <c r="O1" s="413"/>
      <c r="P1" s="413"/>
    </row>
    <row r="2" spans="1:48" s="80" customFormat="1" ht="43.5" customHeight="1" x14ac:dyDescent="0.25">
      <c r="B2" s="85"/>
      <c r="C2" s="414" t="s">
        <v>503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5"/>
      <c r="O2" s="86"/>
      <c r="P2" s="86"/>
    </row>
    <row r="3" spans="1:48" s="80" customFormat="1" ht="16.5" thickBot="1" x14ac:dyDescent="0.3">
      <c r="C3" s="87"/>
      <c r="D3" s="88"/>
      <c r="E3" s="89"/>
      <c r="F3" s="90"/>
      <c r="G3" s="90"/>
      <c r="H3" s="90"/>
      <c r="I3" s="90"/>
      <c r="J3" s="90"/>
      <c r="K3" s="90"/>
      <c r="L3" s="90"/>
      <c r="M3" s="91"/>
      <c r="N3" s="92"/>
      <c r="O3" s="92"/>
      <c r="P3" s="92" t="s">
        <v>351</v>
      </c>
    </row>
    <row r="4" spans="1:48" s="99" customFormat="1" ht="19.5" thickBot="1" x14ac:dyDescent="0.35">
      <c r="A4" s="93"/>
      <c r="B4" s="94"/>
      <c r="C4" s="95"/>
      <c r="D4" s="416" t="s">
        <v>462</v>
      </c>
      <c r="E4" s="418" t="s">
        <v>463</v>
      </c>
      <c r="F4" s="419" t="s">
        <v>352</v>
      </c>
      <c r="G4" s="421" t="s">
        <v>464</v>
      </c>
      <c r="H4" s="422"/>
      <c r="I4" s="422"/>
      <c r="J4" s="422"/>
      <c r="K4" s="422"/>
      <c r="L4" s="422"/>
      <c r="M4" s="422"/>
      <c r="N4" s="422"/>
      <c r="O4" s="422"/>
      <c r="P4" s="423"/>
      <c r="Q4" s="96"/>
      <c r="R4" s="97"/>
      <c r="S4" s="94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</row>
    <row r="5" spans="1:48" s="111" customFormat="1" ht="42" customHeight="1" thickBot="1" x14ac:dyDescent="0.3">
      <c r="A5" s="100"/>
      <c r="B5" s="101"/>
      <c r="C5" s="102"/>
      <c r="D5" s="417"/>
      <c r="E5" s="418"/>
      <c r="F5" s="420"/>
      <c r="G5" s="103" t="s">
        <v>465</v>
      </c>
      <c r="H5" s="104" t="s">
        <v>466</v>
      </c>
      <c r="I5" s="105" t="s">
        <v>467</v>
      </c>
      <c r="J5" s="105" t="s">
        <v>468</v>
      </c>
      <c r="K5" s="105" t="s">
        <v>469</v>
      </c>
      <c r="L5" s="105" t="s">
        <v>470</v>
      </c>
      <c r="M5" s="105" t="s">
        <v>471</v>
      </c>
      <c r="N5" s="105" t="s">
        <v>472</v>
      </c>
      <c r="O5" s="106" t="s">
        <v>473</v>
      </c>
      <c r="P5" s="107" t="s">
        <v>474</v>
      </c>
      <c r="Q5" s="108"/>
      <c r="R5" s="109"/>
      <c r="S5" s="101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</row>
    <row r="6" spans="1:48" s="117" customFormat="1" ht="18.75" x14ac:dyDescent="0.3">
      <c r="A6" s="112"/>
      <c r="B6" s="113"/>
      <c r="C6" s="114" t="s">
        <v>475</v>
      </c>
      <c r="D6" s="115" t="s">
        <v>476</v>
      </c>
      <c r="E6" s="116"/>
      <c r="F6" s="115">
        <v>1</v>
      </c>
      <c r="G6" s="115">
        <v>2</v>
      </c>
      <c r="H6" s="115">
        <f>G6+1</f>
        <v>3</v>
      </c>
      <c r="I6" s="115">
        <f t="shared" ref="I6:O6" si="0">H6+1</f>
        <v>4</v>
      </c>
      <c r="J6" s="115">
        <f t="shared" si="0"/>
        <v>5</v>
      </c>
      <c r="K6" s="115">
        <f t="shared" si="0"/>
        <v>6</v>
      </c>
      <c r="L6" s="115">
        <f t="shared" si="0"/>
        <v>7</v>
      </c>
      <c r="M6" s="115">
        <f t="shared" si="0"/>
        <v>8</v>
      </c>
      <c r="N6" s="115">
        <f t="shared" si="0"/>
        <v>9</v>
      </c>
      <c r="O6" s="115">
        <f t="shared" si="0"/>
        <v>10</v>
      </c>
      <c r="P6" s="115">
        <v>11</v>
      </c>
      <c r="S6" s="113"/>
      <c r="T6" s="118"/>
      <c r="U6" s="11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</row>
    <row r="7" spans="1:48" s="130" customFormat="1" ht="15.75" hidden="1" x14ac:dyDescent="0.25">
      <c r="A7" s="119"/>
      <c r="B7" s="120"/>
      <c r="C7" s="121" t="s">
        <v>477</v>
      </c>
      <c r="D7" s="122" t="s">
        <v>478</v>
      </c>
      <c r="E7" s="123"/>
      <c r="F7" s="124">
        <f>SUM(G7:P7)</f>
        <v>0</v>
      </c>
      <c r="G7" s="125">
        <f>G8</f>
        <v>0</v>
      </c>
      <c r="H7" s="126">
        <f t="shared" ref="H7:P8" si="1">H8</f>
        <v>0</v>
      </c>
      <c r="I7" s="126">
        <f t="shared" si="1"/>
        <v>0</v>
      </c>
      <c r="J7" s="126">
        <f t="shared" si="1"/>
        <v>0</v>
      </c>
      <c r="K7" s="126">
        <f t="shared" si="1"/>
        <v>0</v>
      </c>
      <c r="L7" s="126">
        <f t="shared" si="1"/>
        <v>0</v>
      </c>
      <c r="M7" s="126">
        <f t="shared" si="1"/>
        <v>0</v>
      </c>
      <c r="N7" s="126">
        <f t="shared" si="1"/>
        <v>0</v>
      </c>
      <c r="O7" s="126">
        <f t="shared" si="1"/>
        <v>0</v>
      </c>
      <c r="P7" s="126">
        <f t="shared" si="1"/>
        <v>0</v>
      </c>
      <c r="Q7" s="127"/>
      <c r="R7" s="127"/>
      <c r="S7" s="128"/>
      <c r="T7" s="129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</row>
    <row r="8" spans="1:48" s="130" customFormat="1" ht="38.25" hidden="1" customHeight="1" thickBot="1" x14ac:dyDescent="0.3">
      <c r="A8" s="119"/>
      <c r="B8" s="120"/>
      <c r="C8" s="121" t="s">
        <v>479</v>
      </c>
      <c r="D8" s="122" t="s">
        <v>480</v>
      </c>
      <c r="E8" s="123"/>
      <c r="F8" s="124">
        <f>SUM(G8:P8)</f>
        <v>0</v>
      </c>
      <c r="G8" s="125">
        <f>G9</f>
        <v>0</v>
      </c>
      <c r="H8" s="126">
        <f t="shared" si="1"/>
        <v>0</v>
      </c>
      <c r="I8" s="126">
        <f t="shared" si="1"/>
        <v>0</v>
      </c>
      <c r="J8" s="126">
        <f t="shared" si="1"/>
        <v>0</v>
      </c>
      <c r="K8" s="126">
        <f t="shared" si="1"/>
        <v>0</v>
      </c>
      <c r="L8" s="126">
        <f t="shared" si="1"/>
        <v>0</v>
      </c>
      <c r="M8" s="126">
        <f t="shared" si="1"/>
        <v>0</v>
      </c>
      <c r="N8" s="126">
        <f t="shared" si="1"/>
        <v>0</v>
      </c>
      <c r="O8" s="126">
        <f t="shared" si="1"/>
        <v>0</v>
      </c>
      <c r="P8" s="126">
        <f t="shared" si="1"/>
        <v>0</v>
      </c>
      <c r="Q8" s="131" t="e">
        <f>#REF!+Q9</f>
        <v>#REF!</v>
      </c>
      <c r="R8" s="131" t="e">
        <f>#REF!+R9</f>
        <v>#REF!</v>
      </c>
      <c r="S8" s="128"/>
      <c r="T8" s="129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</row>
    <row r="9" spans="1:48" s="137" customFormat="1" ht="38.25" hidden="1" customHeight="1" thickBot="1" x14ac:dyDescent="0.35">
      <c r="A9" s="132"/>
      <c r="B9" s="133"/>
      <c r="C9" s="121" t="s">
        <v>481</v>
      </c>
      <c r="D9" s="134" t="s">
        <v>482</v>
      </c>
      <c r="E9" s="116"/>
      <c r="F9" s="199">
        <f>SUM(G9:P9)</f>
        <v>0</v>
      </c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6"/>
      <c r="R9" s="136"/>
      <c r="S9" s="98"/>
      <c r="T9" s="11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</row>
    <row r="10" spans="1:48" s="130" customFormat="1" ht="38.25" customHeight="1" x14ac:dyDescent="0.25">
      <c r="A10" s="119"/>
      <c r="B10" s="120"/>
      <c r="C10" s="138" t="s">
        <v>483</v>
      </c>
      <c r="D10" s="122" t="s">
        <v>20</v>
      </c>
      <c r="E10" s="139"/>
      <c r="F10" s="162">
        <f>SUM(G10:P10)+F24</f>
        <v>42188.783430000003</v>
      </c>
      <c r="G10" s="140">
        <f>G11+G14+G18</f>
        <v>4216.3599999999997</v>
      </c>
      <c r="H10" s="140">
        <f t="shared" ref="H10:S10" si="2">H11+H14+H18</f>
        <v>6200.8364299999994</v>
      </c>
      <c r="I10" s="140">
        <f t="shared" si="2"/>
        <v>3255.5810000000001</v>
      </c>
      <c r="J10" s="140">
        <f t="shared" si="2"/>
        <v>4404.4219999999996</v>
      </c>
      <c r="K10" s="140">
        <f t="shared" si="2"/>
        <v>2717.0380000000005</v>
      </c>
      <c r="L10" s="140">
        <f t="shared" si="2"/>
        <v>3191.5080000000003</v>
      </c>
      <c r="M10" s="140">
        <f t="shared" si="2"/>
        <v>3251.7450000000003</v>
      </c>
      <c r="N10" s="140">
        <f t="shared" si="2"/>
        <v>4261.0329999999994</v>
      </c>
      <c r="O10" s="140">
        <f t="shared" si="2"/>
        <v>7141.83</v>
      </c>
      <c r="P10" s="140">
        <f t="shared" si="2"/>
        <v>3548.43</v>
      </c>
      <c r="Q10" s="140">
        <f t="shared" si="2"/>
        <v>0</v>
      </c>
      <c r="R10" s="140">
        <f t="shared" si="2"/>
        <v>0</v>
      </c>
      <c r="S10" s="140">
        <f t="shared" si="2"/>
        <v>0</v>
      </c>
      <c r="T10" s="129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</row>
    <row r="11" spans="1:48" s="148" customFormat="1" ht="38.25" customHeight="1" x14ac:dyDescent="0.2">
      <c r="A11" s="141"/>
      <c r="B11" s="142"/>
      <c r="C11" s="138" t="s">
        <v>484</v>
      </c>
      <c r="D11" s="143" t="s">
        <v>485</v>
      </c>
      <c r="E11" s="144"/>
      <c r="F11" s="259">
        <f t="shared" ref="F11:F18" si="3">SUM(G11:P11)</f>
        <v>25963.499999999996</v>
      </c>
      <c r="G11" s="260">
        <f>SUM(G12:G13)</f>
        <v>2957.2699999999995</v>
      </c>
      <c r="H11" s="260">
        <f t="shared" ref="H11:P11" si="4">SUM(H12:H13)</f>
        <v>3253.87</v>
      </c>
      <c r="I11" s="260">
        <f t="shared" si="4"/>
        <v>2178.8000000000002</v>
      </c>
      <c r="J11" s="260">
        <f t="shared" si="4"/>
        <v>2566.8300000000004</v>
      </c>
      <c r="K11" s="260">
        <f t="shared" si="4"/>
        <v>1838.0900000000001</v>
      </c>
      <c r="L11" s="260">
        <f t="shared" si="4"/>
        <v>2233.87</v>
      </c>
      <c r="M11" s="260">
        <f t="shared" si="4"/>
        <v>2291.96</v>
      </c>
      <c r="N11" s="260">
        <f t="shared" si="4"/>
        <v>2595.91</v>
      </c>
      <c r="O11" s="260">
        <f t="shared" si="4"/>
        <v>4940.78</v>
      </c>
      <c r="P11" s="260">
        <f t="shared" si="4"/>
        <v>1106.1199999999999</v>
      </c>
      <c r="Q11" s="145"/>
      <c r="R11" s="145"/>
      <c r="S11" s="146"/>
      <c r="T11" s="147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</row>
    <row r="12" spans="1:48" s="130" customFormat="1" ht="38.25" customHeight="1" thickBot="1" x14ac:dyDescent="0.3">
      <c r="A12" s="119"/>
      <c r="B12" s="120"/>
      <c r="C12" s="121" t="s">
        <v>486</v>
      </c>
      <c r="D12" s="149" t="s">
        <v>487</v>
      </c>
      <c r="E12" s="150">
        <v>20857.12</v>
      </c>
      <c r="F12" s="261">
        <f t="shared" si="3"/>
        <v>20106.999999999996</v>
      </c>
      <c r="G12" s="262">
        <v>2273.9699999999998</v>
      </c>
      <c r="H12" s="262">
        <v>3253.87</v>
      </c>
      <c r="I12" s="262">
        <v>1632.3</v>
      </c>
      <c r="J12" s="262">
        <v>2109.0300000000002</v>
      </c>
      <c r="K12" s="262">
        <v>1492.99</v>
      </c>
      <c r="L12" s="262">
        <v>1908.47</v>
      </c>
      <c r="M12" s="262">
        <v>1609.56</v>
      </c>
      <c r="N12" s="263">
        <v>1683.11</v>
      </c>
      <c r="O12" s="263">
        <v>3037.58</v>
      </c>
      <c r="P12" s="263">
        <v>1106.1199999999999</v>
      </c>
      <c r="Q12" s="151"/>
      <c r="R12" s="151"/>
      <c r="S12" s="152"/>
      <c r="T12" s="129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</row>
    <row r="13" spans="1:48" s="130" customFormat="1" ht="38.25" customHeight="1" x14ac:dyDescent="0.25">
      <c r="A13" s="119"/>
      <c r="B13" s="120"/>
      <c r="C13" s="121" t="s">
        <v>488</v>
      </c>
      <c r="D13" s="153" t="s">
        <v>489</v>
      </c>
      <c r="E13" s="123"/>
      <c r="F13" s="264">
        <f t="shared" si="3"/>
        <v>5856.5</v>
      </c>
      <c r="G13" s="265">
        <v>683.3</v>
      </c>
      <c r="H13" s="266">
        <v>0</v>
      </c>
      <c r="I13" s="266">
        <v>546.5</v>
      </c>
      <c r="J13" s="266">
        <v>457.8</v>
      </c>
      <c r="K13" s="266">
        <v>345.1</v>
      </c>
      <c r="L13" s="267">
        <v>325.39999999999998</v>
      </c>
      <c r="M13" s="267">
        <v>682.4</v>
      </c>
      <c r="N13" s="267">
        <v>912.8</v>
      </c>
      <c r="O13" s="267">
        <v>1903.2</v>
      </c>
      <c r="P13" s="266"/>
      <c r="Q13" s="154"/>
      <c r="R13" s="155"/>
      <c r="S13" s="128"/>
      <c r="T13" s="129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</row>
    <row r="14" spans="1:48" s="148" customFormat="1" ht="76.5" customHeight="1" thickBot="1" x14ac:dyDescent="0.25">
      <c r="A14" s="141"/>
      <c r="B14" s="142"/>
      <c r="C14" s="121" t="s">
        <v>490</v>
      </c>
      <c r="D14" s="157" t="s">
        <v>491</v>
      </c>
      <c r="E14" s="158"/>
      <c r="F14" s="268">
        <f t="shared" si="3"/>
        <v>15171.42643</v>
      </c>
      <c r="G14" s="269">
        <f>SUM(G15:G17)</f>
        <v>1230.97</v>
      </c>
      <c r="H14" s="269">
        <f t="shared" ref="H14:P14" si="5">SUM(H15:H17)</f>
        <v>2907.1464299999998</v>
      </c>
      <c r="I14" s="269">
        <f t="shared" si="5"/>
        <v>1051.0409999999999</v>
      </c>
      <c r="J14" s="269">
        <f t="shared" si="5"/>
        <v>1745.5</v>
      </c>
      <c r="K14" s="269">
        <f t="shared" si="5"/>
        <v>878.94800000000009</v>
      </c>
      <c r="L14" s="269">
        <f t="shared" si="5"/>
        <v>920.05</v>
      </c>
      <c r="M14" s="269">
        <f t="shared" si="5"/>
        <v>945.2650000000001</v>
      </c>
      <c r="N14" s="269">
        <f t="shared" si="5"/>
        <v>1647.703</v>
      </c>
      <c r="O14" s="269">
        <f t="shared" si="5"/>
        <v>2112.33</v>
      </c>
      <c r="P14" s="269">
        <f t="shared" si="5"/>
        <v>1732.473</v>
      </c>
      <c r="Q14" s="159"/>
      <c r="R14" s="145"/>
      <c r="S14" s="160"/>
      <c r="T14" s="147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</row>
    <row r="15" spans="1:48" s="146" customFormat="1" ht="38.25" x14ac:dyDescent="0.2">
      <c r="C15" s="121" t="s">
        <v>574</v>
      </c>
      <c r="D15" s="198" t="s">
        <v>566</v>
      </c>
      <c r="E15" s="158"/>
      <c r="F15" s="270">
        <f t="shared" si="3"/>
        <v>10790.104000000001</v>
      </c>
      <c r="G15" s="271">
        <v>1186.97</v>
      </c>
      <c r="H15" s="271">
        <v>1812.86</v>
      </c>
      <c r="I15" s="271">
        <v>854.85</v>
      </c>
      <c r="J15" s="271">
        <v>1506.5</v>
      </c>
      <c r="K15" s="271">
        <v>739.46</v>
      </c>
      <c r="L15" s="271">
        <v>775.06</v>
      </c>
      <c r="M15" s="271">
        <v>777.32</v>
      </c>
      <c r="N15" s="272">
        <v>1046.97</v>
      </c>
      <c r="O15" s="272">
        <v>1664.53</v>
      </c>
      <c r="P15" s="272">
        <f>425.584</f>
        <v>425.584</v>
      </c>
      <c r="Q15" s="163"/>
      <c r="R15" s="163"/>
      <c r="S15" s="160"/>
      <c r="T15" s="147"/>
    </row>
    <row r="16" spans="1:48" s="146" customFormat="1" ht="51" x14ac:dyDescent="0.2">
      <c r="C16" s="121" t="s">
        <v>575</v>
      </c>
      <c r="D16" s="198" t="s">
        <v>567</v>
      </c>
      <c r="E16" s="158"/>
      <c r="F16" s="270">
        <f t="shared" si="3"/>
        <v>1150</v>
      </c>
      <c r="G16" s="271"/>
      <c r="H16" s="271"/>
      <c r="I16" s="271"/>
      <c r="J16" s="271"/>
      <c r="K16" s="271"/>
      <c r="L16" s="271"/>
      <c r="M16" s="271"/>
      <c r="N16" s="272"/>
      <c r="O16" s="272"/>
      <c r="P16" s="272">
        <v>1150</v>
      </c>
      <c r="Q16" s="163"/>
      <c r="R16" s="163"/>
      <c r="S16" s="160"/>
      <c r="T16" s="147"/>
    </row>
    <row r="17" spans="3:48" s="146" customFormat="1" ht="25.5" x14ac:dyDescent="0.2">
      <c r="C17" s="121" t="s">
        <v>592</v>
      </c>
      <c r="D17" s="198" t="s">
        <v>593</v>
      </c>
      <c r="E17" s="158"/>
      <c r="F17" s="270">
        <f t="shared" si="3"/>
        <v>3231.3224300000002</v>
      </c>
      <c r="G17" s="271">
        <v>44</v>
      </c>
      <c r="H17" s="271">
        <f>458.57143+635.715</f>
        <v>1094.2864300000001</v>
      </c>
      <c r="I17" s="271">
        <f>25+2+169.191</f>
        <v>196.191</v>
      </c>
      <c r="J17" s="271">
        <f>211-2+30</f>
        <v>239</v>
      </c>
      <c r="K17" s="271">
        <f>10+129.488</f>
        <v>139.488</v>
      </c>
      <c r="L17" s="271">
        <f>15+129.99</f>
        <v>144.99</v>
      </c>
      <c r="M17" s="271">
        <f>12+130.945+25</f>
        <v>167.94499999999999</v>
      </c>
      <c r="N17" s="272">
        <f>468+132.733</f>
        <v>600.73299999999995</v>
      </c>
      <c r="O17" s="272">
        <f>32+415.8</f>
        <v>447.8</v>
      </c>
      <c r="P17" s="272">
        <v>156.88900000000001</v>
      </c>
      <c r="Q17" s="163"/>
      <c r="R17" s="163"/>
      <c r="S17" s="160"/>
      <c r="T17" s="147"/>
    </row>
    <row r="18" spans="3:48" s="146" customFormat="1" ht="52.5" customHeight="1" x14ac:dyDescent="0.2">
      <c r="C18" s="156" t="s">
        <v>492</v>
      </c>
      <c r="D18" s="161" t="s">
        <v>493</v>
      </c>
      <c r="E18" s="158"/>
      <c r="F18" s="259">
        <f t="shared" si="3"/>
        <v>1053.857</v>
      </c>
      <c r="G18" s="269">
        <f>G19+G20+G21+G22</f>
        <v>28.12</v>
      </c>
      <c r="H18" s="269">
        <f t="shared" ref="H18:P18" si="6">H19+H20+H21+H22</f>
        <v>39.82</v>
      </c>
      <c r="I18" s="269">
        <f t="shared" si="6"/>
        <v>25.74</v>
      </c>
      <c r="J18" s="269">
        <f t="shared" si="6"/>
        <v>92.091999999999999</v>
      </c>
      <c r="K18" s="269">
        <f t="shared" si="6"/>
        <v>0</v>
      </c>
      <c r="L18" s="269">
        <f t="shared" si="6"/>
        <v>37.588000000000001</v>
      </c>
      <c r="M18" s="269">
        <f t="shared" si="6"/>
        <v>14.52</v>
      </c>
      <c r="N18" s="269">
        <f t="shared" si="6"/>
        <v>17.420000000000002</v>
      </c>
      <c r="O18" s="269">
        <f t="shared" si="6"/>
        <v>88.72</v>
      </c>
      <c r="P18" s="269">
        <f t="shared" si="6"/>
        <v>709.83699999999999</v>
      </c>
      <c r="Q18" s="163"/>
      <c r="R18" s="163"/>
      <c r="S18" s="160"/>
      <c r="T18" s="147"/>
    </row>
    <row r="19" spans="3:48" s="128" customFormat="1" ht="42.75" customHeight="1" x14ac:dyDescent="0.25">
      <c r="C19" s="121" t="s">
        <v>494</v>
      </c>
      <c r="D19" s="164" t="s">
        <v>495</v>
      </c>
      <c r="E19" s="123"/>
      <c r="F19" s="273">
        <f t="shared" ref="F19:F24" si="7">SUM(G19:P19)</f>
        <v>272.46899999999999</v>
      </c>
      <c r="G19" s="271"/>
      <c r="H19" s="271"/>
      <c r="I19" s="271"/>
      <c r="J19" s="271">
        <v>69.671999999999997</v>
      </c>
      <c r="K19" s="271"/>
      <c r="L19" s="271">
        <f>21.76+5.2</f>
        <v>26.96</v>
      </c>
      <c r="M19" s="271"/>
      <c r="N19" s="272"/>
      <c r="O19" s="272"/>
      <c r="P19" s="274">
        <v>175.83699999999999</v>
      </c>
      <c r="Q19" s="165"/>
      <c r="R19" s="165"/>
      <c r="S19" s="152"/>
      <c r="T19" s="129"/>
    </row>
    <row r="20" spans="3:48" s="128" customFormat="1" ht="61.5" customHeight="1" x14ac:dyDescent="0.25">
      <c r="C20" s="121" t="s">
        <v>496</v>
      </c>
      <c r="D20" s="164" t="s">
        <v>620</v>
      </c>
      <c r="E20" s="123"/>
      <c r="F20" s="273">
        <f>SUM(G20:P20)</f>
        <v>197.38800000000001</v>
      </c>
      <c r="G20" s="271">
        <v>28.12</v>
      </c>
      <c r="H20" s="271">
        <v>39.82</v>
      </c>
      <c r="I20" s="271">
        <f>19.74+6</f>
        <v>25.74</v>
      </c>
      <c r="J20" s="271">
        <v>22.42</v>
      </c>
      <c r="K20" s="271"/>
      <c r="L20" s="271">
        <v>10.628</v>
      </c>
      <c r="M20" s="271">
        <v>14.52</v>
      </c>
      <c r="N20" s="272">
        <v>17.420000000000002</v>
      </c>
      <c r="O20" s="272">
        <v>38.72</v>
      </c>
      <c r="P20" s="274"/>
      <c r="Q20" s="165"/>
      <c r="R20" s="165"/>
      <c r="S20" s="152"/>
      <c r="T20" s="129"/>
    </row>
    <row r="21" spans="3:48" s="128" customFormat="1" ht="51" customHeight="1" x14ac:dyDescent="0.25">
      <c r="C21" s="121" t="s">
        <v>497</v>
      </c>
      <c r="D21" s="166" t="s">
        <v>649</v>
      </c>
      <c r="E21" s="123"/>
      <c r="F21" s="273">
        <f t="shared" si="7"/>
        <v>584</v>
      </c>
      <c r="G21" s="271"/>
      <c r="H21" s="271"/>
      <c r="I21" s="271"/>
      <c r="J21" s="271"/>
      <c r="K21" s="271"/>
      <c r="L21" s="271"/>
      <c r="M21" s="271"/>
      <c r="N21" s="272"/>
      <c r="O21" s="272">
        <v>50</v>
      </c>
      <c r="P21" s="274">
        <f>70+464</f>
        <v>534</v>
      </c>
      <c r="Q21" s="165"/>
      <c r="R21" s="165"/>
      <c r="S21" s="152"/>
      <c r="T21" s="129"/>
    </row>
    <row r="22" spans="3:48" s="128" customFormat="1" ht="26.25" hidden="1" x14ac:dyDescent="0.25">
      <c r="C22" s="121" t="s">
        <v>498</v>
      </c>
      <c r="D22" s="167" t="s">
        <v>499</v>
      </c>
      <c r="E22" s="123"/>
      <c r="F22" s="273">
        <f t="shared" si="7"/>
        <v>0</v>
      </c>
      <c r="G22" s="271"/>
      <c r="H22" s="271"/>
      <c r="I22" s="271"/>
      <c r="J22" s="271"/>
      <c r="K22" s="271"/>
      <c r="L22" s="271"/>
      <c r="M22" s="271"/>
      <c r="N22" s="272"/>
      <c r="O22" s="272"/>
      <c r="P22" s="274"/>
      <c r="Q22" s="165"/>
      <c r="R22" s="165"/>
      <c r="S22" s="152"/>
      <c r="T22" s="129"/>
    </row>
    <row r="23" spans="3:48" s="128" customFormat="1" ht="15.75" hidden="1" x14ac:dyDescent="0.25">
      <c r="C23" s="121"/>
      <c r="D23" s="167"/>
      <c r="E23" s="123"/>
      <c r="F23" s="275">
        <f t="shared" si="7"/>
        <v>0</v>
      </c>
      <c r="G23" s="271"/>
      <c r="H23" s="271"/>
      <c r="I23" s="271"/>
      <c r="J23" s="271"/>
      <c r="K23" s="271"/>
      <c r="L23" s="271"/>
      <c r="M23" s="271"/>
      <c r="N23" s="272"/>
      <c r="O23" s="272"/>
      <c r="P23" s="274"/>
      <c r="Q23" s="165"/>
      <c r="R23" s="165"/>
      <c r="S23" s="152"/>
      <c r="T23" s="129"/>
    </row>
    <row r="24" spans="3:48" s="128" customFormat="1" ht="15.75" hidden="1" x14ac:dyDescent="0.25">
      <c r="C24" s="121" t="s">
        <v>500</v>
      </c>
      <c r="D24" s="164" t="s">
        <v>501</v>
      </c>
      <c r="E24" s="123"/>
      <c r="F24" s="275">
        <f t="shared" si="7"/>
        <v>0</v>
      </c>
      <c r="G24" s="271"/>
      <c r="H24" s="271"/>
      <c r="I24" s="271"/>
      <c r="J24" s="271"/>
      <c r="K24" s="271"/>
      <c r="L24" s="271"/>
      <c r="M24" s="271"/>
      <c r="N24" s="272"/>
      <c r="O24" s="272"/>
      <c r="P24" s="274"/>
      <c r="Q24" s="165"/>
      <c r="R24" s="165"/>
      <c r="S24" s="152"/>
      <c r="T24" s="129"/>
    </row>
    <row r="25" spans="3:48" s="169" customFormat="1" ht="27.75" customHeight="1" x14ac:dyDescent="0.2">
      <c r="C25" s="168"/>
      <c r="D25" s="168" t="s">
        <v>502</v>
      </c>
      <c r="E25" s="168"/>
      <c r="F25" s="276">
        <f>F7+F10</f>
        <v>42188.783430000003</v>
      </c>
      <c r="G25" s="277">
        <f t="shared" ref="G25:P25" si="8">G7+G10</f>
        <v>4216.3599999999997</v>
      </c>
      <c r="H25" s="277">
        <f t="shared" si="8"/>
        <v>6200.8364299999994</v>
      </c>
      <c r="I25" s="277">
        <f t="shared" si="8"/>
        <v>3255.5810000000001</v>
      </c>
      <c r="J25" s="277">
        <f t="shared" si="8"/>
        <v>4404.4219999999996</v>
      </c>
      <c r="K25" s="277">
        <f t="shared" si="8"/>
        <v>2717.0380000000005</v>
      </c>
      <c r="L25" s="277">
        <f t="shared" si="8"/>
        <v>3191.5080000000003</v>
      </c>
      <c r="M25" s="277">
        <f t="shared" si="8"/>
        <v>3251.7450000000003</v>
      </c>
      <c r="N25" s="277">
        <f t="shared" si="8"/>
        <v>4261.0329999999994</v>
      </c>
      <c r="O25" s="277">
        <f t="shared" si="8"/>
        <v>7141.83</v>
      </c>
      <c r="P25" s="277">
        <f t="shared" si="8"/>
        <v>3548.43</v>
      </c>
    </row>
    <row r="26" spans="3:48" x14ac:dyDescent="0.2">
      <c r="C26" s="170"/>
      <c r="D26" s="170"/>
      <c r="E26" s="170"/>
      <c r="F26" s="171"/>
      <c r="G26" s="171"/>
      <c r="H26" s="170"/>
      <c r="I26" s="170"/>
      <c r="J26" s="170"/>
      <c r="K26" s="170"/>
      <c r="L26" s="170"/>
      <c r="M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</row>
    <row r="27" spans="3:48" x14ac:dyDescent="0.2">
      <c r="F27" s="171"/>
    </row>
    <row r="29" spans="3:48" x14ac:dyDescent="0.2">
      <c r="F29" s="171"/>
    </row>
  </sheetData>
  <mergeCells count="7">
    <mergeCell ref="K1:M1"/>
    <mergeCell ref="N1:P1"/>
    <mergeCell ref="C2:N2"/>
    <mergeCell ref="D4:D5"/>
    <mergeCell ref="E4:E5"/>
    <mergeCell ref="F4:F5"/>
    <mergeCell ref="G4:P4"/>
  </mergeCells>
  <pageMargins left="0" right="0" top="0.94488188976377963" bottom="0.15748031496062992" header="0" footer="0"/>
  <pageSetup paperSize="9" scale="61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1" sqref="M31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 6 дох</vt:lpstr>
      <vt:lpstr>прил 10 МП 19г</vt:lpstr>
      <vt:lpstr>прил 12 разд-19г</vt:lpstr>
      <vt:lpstr>прил 14 КЦСР 19</vt:lpstr>
      <vt:lpstr>прил 16  вед стр 19г</vt:lpstr>
      <vt:lpstr>прил 20 дор фонд (19г)</vt:lpstr>
      <vt:lpstr>22 СП-2019</vt:lpstr>
      <vt:lpstr>Лист1</vt:lpstr>
      <vt:lpstr>'прил 14 КЦСР 19'!Заголовки_для_печати</vt:lpstr>
      <vt:lpstr>'прил 16  вед стр 19г'!Заголовки_для_печати</vt:lpstr>
      <vt:lpstr>'прил 6 дох'!Заголовки_для_печати</vt:lpstr>
      <vt:lpstr>'22 СП-2019'!Область_печати</vt:lpstr>
      <vt:lpstr>'прил 10 МП 19г'!Область_печати</vt:lpstr>
      <vt:lpstr>'прил 12 разд-19г'!Область_печати</vt:lpstr>
      <vt:lpstr>'прил 14 КЦСР 19'!Область_печати</vt:lpstr>
      <vt:lpstr>'прил 16  вед стр 19г'!Область_печати</vt:lpstr>
      <vt:lpstr>'прил 20 дор фонд (19г)'!Область_печати</vt:lpstr>
      <vt:lpstr>'прил 6 дох'!Область_печати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finOtdeL</dc:creator>
  <cp:lastModifiedBy>finOtdeL</cp:lastModifiedBy>
  <cp:lastPrinted>2019-06-26T08:45:13Z</cp:lastPrinted>
  <dcterms:created xsi:type="dcterms:W3CDTF">2016-11-07T08:50:55Z</dcterms:created>
  <dcterms:modified xsi:type="dcterms:W3CDTF">2019-07-08T07:24:32Z</dcterms:modified>
</cp:coreProperties>
</file>