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200" windowHeight="11025" activeTab="3"/>
  </bookViews>
  <sheets>
    <sheet name="прил 1 источн" sheetId="16" r:id="rId1"/>
    <sheet name="прил 2 дох" sheetId="17" r:id="rId2"/>
    <sheet name="прил 3 разд подр 2018г " sheetId="12" r:id="rId3"/>
    <sheet name="прил 4 вед стр 2018г" sheetId="4" r:id="rId4"/>
    <sheet name="Лист1" sheetId="15" r:id="rId5"/>
  </sheets>
  <definedNames>
    <definedName name="_xlnm._FilterDatabase" localSheetId="1" hidden="1">'прил 2 дох'!$A$7:$WVM$209</definedName>
    <definedName name="_xlnm._FilterDatabase" localSheetId="3" hidden="1">'прил 4 вед стр 2018г'!$A$7:$L$651</definedName>
    <definedName name="В11" localSheetId="2">#REF!</definedName>
    <definedName name="В11">#REF!</definedName>
    <definedName name="_xlnm.Print_Titles" localSheetId="1">'прил 2 дох'!$7:$7</definedName>
    <definedName name="_xlnm.Print_Titles" localSheetId="3">'прил 4 вед стр 2018г'!$8:$8</definedName>
    <definedName name="_xlnm.Print_Area" localSheetId="1">'прил 2 дох'!$A$1:$E$209</definedName>
    <definedName name="_xlnm.Print_Area" localSheetId="2">'прил 3 разд подр 2018г '!$A$1:$F$66</definedName>
    <definedName name="_xlnm.Print_Area" localSheetId="3">'прил 4 вед стр 2018г'!$A$1:$I$587</definedName>
    <definedName name="_xlnm.Print_Area">#REF!</definedName>
    <definedName name="п" localSheetId="2">#REF!</definedName>
    <definedName name="п">#REF!</definedName>
    <definedName name="Прил16дляраб" localSheetId="2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C12" i="17" l="1"/>
  <c r="C11" i="17" s="1"/>
  <c r="D12" i="17"/>
  <c r="D11" i="17" s="1"/>
  <c r="E12" i="17"/>
  <c r="E13" i="17"/>
  <c r="E14" i="17"/>
  <c r="E15" i="17"/>
  <c r="E16" i="17"/>
  <c r="C18" i="17"/>
  <c r="C17" i="17" s="1"/>
  <c r="D18" i="17"/>
  <c r="D17" i="17" s="1"/>
  <c r="E17" i="17" s="1"/>
  <c r="E18" i="17"/>
  <c r="E19" i="17"/>
  <c r="E20" i="17"/>
  <c r="E21" i="17"/>
  <c r="C25" i="17"/>
  <c r="C24" i="17" s="1"/>
  <c r="C23" i="17" s="1"/>
  <c r="D25" i="17"/>
  <c r="D24" i="17" s="1"/>
  <c r="E25" i="17"/>
  <c r="E26" i="17"/>
  <c r="C28" i="17"/>
  <c r="D28" i="17"/>
  <c r="E28" i="17"/>
  <c r="E29" i="17"/>
  <c r="C32" i="17"/>
  <c r="D32" i="17"/>
  <c r="E32" i="17"/>
  <c r="E33" i="17"/>
  <c r="C34" i="17"/>
  <c r="D34" i="17"/>
  <c r="E34" i="17"/>
  <c r="E35" i="17"/>
  <c r="C36" i="17"/>
  <c r="D36" i="17"/>
  <c r="E36" i="17"/>
  <c r="E37" i="17"/>
  <c r="C39" i="17"/>
  <c r="C38" i="17" s="1"/>
  <c r="D39" i="17"/>
  <c r="D38" i="17" s="1"/>
  <c r="E38" i="17" s="1"/>
  <c r="E39" i="17"/>
  <c r="E40" i="17"/>
  <c r="E41" i="17"/>
  <c r="C43" i="17"/>
  <c r="C42" i="17" s="1"/>
  <c r="D43" i="17"/>
  <c r="D42" i="17" s="1"/>
  <c r="E42" i="17" s="1"/>
  <c r="E43" i="17"/>
  <c r="E44" i="17"/>
  <c r="C46" i="17"/>
  <c r="D46" i="17"/>
  <c r="E46" i="17"/>
  <c r="E47" i="17"/>
  <c r="C49" i="17"/>
  <c r="C48" i="17" s="1"/>
  <c r="D49" i="17"/>
  <c r="D48" i="17" s="1"/>
  <c r="E48" i="17" s="1"/>
  <c r="E49" i="17"/>
  <c r="E50" i="17"/>
  <c r="E51" i="17"/>
  <c r="C54" i="17"/>
  <c r="E54" i="17"/>
  <c r="E55" i="17"/>
  <c r="C58" i="17"/>
  <c r="D58" i="17"/>
  <c r="D56" i="17" s="1"/>
  <c r="E58" i="17"/>
  <c r="E59" i="17"/>
  <c r="C60" i="17"/>
  <c r="C56" i="17" s="1"/>
  <c r="D60" i="17"/>
  <c r="E60" i="17"/>
  <c r="E61" i="17"/>
  <c r="C63" i="17"/>
  <c r="C62" i="17" s="1"/>
  <c r="D63" i="17"/>
  <c r="D62" i="17" s="1"/>
  <c r="E62" i="17" s="1"/>
  <c r="E63" i="17"/>
  <c r="E64" i="17"/>
  <c r="E65" i="17"/>
  <c r="E66" i="17"/>
  <c r="E67" i="17"/>
  <c r="C69" i="17"/>
  <c r="C68" i="17" s="1"/>
  <c r="E68" i="17" s="1"/>
  <c r="E69" i="17"/>
  <c r="C70" i="17"/>
  <c r="E70" i="17"/>
  <c r="E71" i="17"/>
  <c r="E72" i="17"/>
  <c r="E73" i="17"/>
  <c r="C75" i="17"/>
  <c r="C74" i="17" s="1"/>
  <c r="D75" i="17"/>
  <c r="D74" i="17" s="1"/>
  <c r="E74" i="17" s="1"/>
  <c r="E75" i="17"/>
  <c r="E76" i="17"/>
  <c r="C77" i="17"/>
  <c r="D77" i="17"/>
  <c r="E77" i="17"/>
  <c r="E78" i="17"/>
  <c r="C81" i="17"/>
  <c r="C80" i="17" s="1"/>
  <c r="E80" i="17" s="1"/>
  <c r="E81" i="17"/>
  <c r="E82" i="17"/>
  <c r="C84" i="17"/>
  <c r="C83" i="17" s="1"/>
  <c r="C79" i="17" s="1"/>
  <c r="E84" i="17"/>
  <c r="E85" i="17"/>
  <c r="C86" i="17"/>
  <c r="D86" i="17"/>
  <c r="D83" i="17" s="1"/>
  <c r="E86" i="17"/>
  <c r="E87" i="17"/>
  <c r="C89" i="17"/>
  <c r="C88" i="17" s="1"/>
  <c r="E88" i="17" s="1"/>
  <c r="E89" i="17"/>
  <c r="E90" i="17"/>
  <c r="C92" i="17"/>
  <c r="C91" i="17" s="1"/>
  <c r="D92" i="17"/>
  <c r="D91" i="17" s="1"/>
  <c r="E91" i="17" s="1"/>
  <c r="E92" i="17"/>
  <c r="E93" i="17"/>
  <c r="E94" i="17"/>
  <c r="E95" i="17"/>
  <c r="C97" i="17"/>
  <c r="D97" i="17"/>
  <c r="E97" i="17"/>
  <c r="E98" i="17"/>
  <c r="E99" i="17"/>
  <c r="C100" i="17"/>
  <c r="D100" i="17"/>
  <c r="E100" i="17"/>
  <c r="E102" i="17"/>
  <c r="E103" i="17"/>
  <c r="E104" i="17"/>
  <c r="E108" i="17"/>
  <c r="E109" i="17"/>
  <c r="C110" i="17"/>
  <c r="E110" i="17"/>
  <c r="E111" i="17"/>
  <c r="C112" i="17"/>
  <c r="D112" i="17"/>
  <c r="E112" i="17"/>
  <c r="E114" i="17"/>
  <c r="D118" i="17"/>
  <c r="D117" i="17" s="1"/>
  <c r="C119" i="17"/>
  <c r="C118" i="17" s="1"/>
  <c r="E119" i="17"/>
  <c r="C120" i="17"/>
  <c r="D120" i="17"/>
  <c r="E120" i="17"/>
  <c r="E121" i="17"/>
  <c r="C122" i="17"/>
  <c r="E122" i="17"/>
  <c r="E123" i="17"/>
  <c r="C126" i="17"/>
  <c r="C125" i="17" s="1"/>
  <c r="D126" i="17"/>
  <c r="D125" i="17" s="1"/>
  <c r="E125" i="17" s="1"/>
  <c r="E126" i="17"/>
  <c r="E127" i="17"/>
  <c r="C128" i="17"/>
  <c r="D128" i="17"/>
  <c r="E128" i="17"/>
  <c r="E129" i="17"/>
  <c r="C130" i="17"/>
  <c r="D130" i="17"/>
  <c r="E130" i="17"/>
  <c r="E131" i="17"/>
  <c r="C132" i="17"/>
  <c r="D132" i="17"/>
  <c r="E132" i="17"/>
  <c r="E133" i="17"/>
  <c r="C134" i="17"/>
  <c r="D134" i="17"/>
  <c r="E134" i="17"/>
  <c r="E135" i="17"/>
  <c r="C136" i="17"/>
  <c r="D136" i="17"/>
  <c r="E136" i="17"/>
  <c r="E137" i="17"/>
  <c r="C139" i="17"/>
  <c r="C138" i="17" s="1"/>
  <c r="D139" i="17"/>
  <c r="D138" i="17" s="1"/>
  <c r="E138" i="17" s="1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C159" i="17"/>
  <c r="E159" i="17"/>
  <c r="E160" i="17"/>
  <c r="C161" i="17"/>
  <c r="E161" i="17"/>
  <c r="E162" i="17"/>
  <c r="C163" i="17"/>
  <c r="E163" i="17"/>
  <c r="E164" i="17"/>
  <c r="C165" i="17"/>
  <c r="E165" i="17"/>
  <c r="E166" i="17"/>
  <c r="C167" i="17"/>
  <c r="E167" i="17"/>
  <c r="E168" i="17"/>
  <c r="C169" i="17"/>
  <c r="E169" i="17"/>
  <c r="E170" i="17"/>
  <c r="C171" i="17"/>
  <c r="E171" i="17"/>
  <c r="E172" i="17"/>
  <c r="C174" i="17"/>
  <c r="C173" i="17" s="1"/>
  <c r="C158" i="17" s="1"/>
  <c r="D174" i="17"/>
  <c r="D173" i="17" s="1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C188" i="17"/>
  <c r="D188" i="17"/>
  <c r="E188" i="17"/>
  <c r="E189" i="17"/>
  <c r="C190" i="17"/>
  <c r="D190" i="17"/>
  <c r="E190" i="17"/>
  <c r="E191" i="17"/>
  <c r="C192" i="17"/>
  <c r="D192" i="17"/>
  <c r="E192" i="17"/>
  <c r="E193" i="17"/>
  <c r="C194" i="17"/>
  <c r="D194" i="17"/>
  <c r="E194" i="17"/>
  <c r="E195" i="17"/>
  <c r="C196" i="17"/>
  <c r="D196" i="17"/>
  <c r="E196" i="17"/>
  <c r="E197" i="17"/>
  <c r="C199" i="17"/>
  <c r="C198" i="17" s="1"/>
  <c r="D199" i="17"/>
  <c r="D198" i="17" s="1"/>
  <c r="E198" i="17" s="1"/>
  <c r="E199" i="17"/>
  <c r="E200" i="17"/>
  <c r="E201" i="17"/>
  <c r="E202" i="17"/>
  <c r="C204" i="17"/>
  <c r="C203" i="17" s="1"/>
  <c r="D204" i="17"/>
  <c r="D203" i="17" s="1"/>
  <c r="E203" i="17" s="1"/>
  <c r="E204" i="17"/>
  <c r="C205" i="17"/>
  <c r="D205" i="17"/>
  <c r="E205" i="17"/>
  <c r="E206" i="17"/>
  <c r="E207" i="17"/>
  <c r="C208" i="17"/>
  <c r="D208" i="17"/>
  <c r="E208" i="17"/>
  <c r="E209" i="17"/>
  <c r="D158" i="17" l="1"/>
  <c r="E158" i="17" s="1"/>
  <c r="E173" i="17"/>
  <c r="D124" i="17"/>
  <c r="C124" i="17"/>
  <c r="C117" i="17"/>
  <c r="C116" i="17" s="1"/>
  <c r="C115" i="17" s="1"/>
  <c r="E118" i="17"/>
  <c r="D116" i="17"/>
  <c r="E117" i="17"/>
  <c r="D79" i="17"/>
  <c r="E79" i="17" s="1"/>
  <c r="E83" i="17"/>
  <c r="D53" i="17"/>
  <c r="E56" i="17"/>
  <c r="C53" i="17"/>
  <c r="C52" i="17" s="1"/>
  <c r="D45" i="17"/>
  <c r="C45" i="17"/>
  <c r="D23" i="17"/>
  <c r="E23" i="17" s="1"/>
  <c r="E24" i="17"/>
  <c r="D10" i="17"/>
  <c r="E11" i="17"/>
  <c r="C10" i="17"/>
  <c r="C9" i="17" s="1"/>
  <c r="C8" i="17" s="1"/>
  <c r="E10" i="17" l="1"/>
  <c r="E45" i="17"/>
  <c r="D52" i="17"/>
  <c r="E52" i="17" s="1"/>
  <c r="E53" i="17"/>
  <c r="D115" i="17"/>
  <c r="E115" i="17" s="1"/>
  <c r="E116" i="17"/>
  <c r="E124" i="17"/>
  <c r="D9" i="17" l="1"/>
  <c r="D8" i="17" l="1"/>
  <c r="E8" i="17" s="1"/>
  <c r="E9" i="17"/>
  <c r="D10" i="16"/>
  <c r="E10" i="16"/>
  <c r="F10" i="16"/>
  <c r="G10" i="16"/>
  <c r="H10" i="16"/>
  <c r="I10" i="16"/>
  <c r="C11" i="16"/>
  <c r="C10" i="16" s="1"/>
  <c r="J11" i="16"/>
  <c r="J10" i="16" s="1"/>
  <c r="C13" i="16"/>
  <c r="J13" i="16"/>
  <c r="D14" i="16"/>
  <c r="E14" i="16"/>
  <c r="F14" i="16"/>
  <c r="G14" i="16"/>
  <c r="H14" i="16"/>
  <c r="I14" i="16"/>
  <c r="C16" i="16"/>
  <c r="C15" i="16" s="1"/>
  <c r="J16" i="16"/>
  <c r="J15" i="16" s="1"/>
  <c r="D17" i="16"/>
  <c r="E17" i="16"/>
  <c r="F17" i="16"/>
  <c r="G17" i="16"/>
  <c r="H17" i="16"/>
  <c r="I17" i="16"/>
  <c r="C18" i="16"/>
  <c r="J18" i="16"/>
  <c r="C21" i="16"/>
  <c r="C20" i="16" s="1"/>
  <c r="J21" i="16"/>
  <c r="J20" i="16" s="1"/>
  <c r="D22" i="16"/>
  <c r="D21" i="16" s="1"/>
  <c r="D20" i="16" s="1"/>
  <c r="E22" i="16"/>
  <c r="E21" i="16" s="1"/>
  <c r="E20" i="16" s="1"/>
  <c r="F22" i="16"/>
  <c r="F21" i="16" s="1"/>
  <c r="F20" i="16" s="1"/>
  <c r="G22" i="16"/>
  <c r="G21" i="16" s="1"/>
  <c r="G20" i="16" s="1"/>
  <c r="H22" i="16"/>
  <c r="H21" i="16" s="1"/>
  <c r="H20" i="16" s="1"/>
  <c r="I22" i="16"/>
  <c r="I21" i="16" s="1"/>
  <c r="I20" i="16" s="1"/>
  <c r="C24" i="16"/>
  <c r="D24" i="16"/>
  <c r="E24" i="16"/>
  <c r="F24" i="16"/>
  <c r="G24" i="16"/>
  <c r="H24" i="16"/>
  <c r="I24" i="16"/>
  <c r="J24" i="16"/>
  <c r="C28" i="16"/>
  <c r="J28" i="16"/>
  <c r="C31" i="16"/>
  <c r="C30" i="16" s="1"/>
  <c r="J31" i="16"/>
  <c r="J30" i="16" s="1"/>
  <c r="I13" i="16" l="1"/>
  <c r="I12" i="16" s="1"/>
  <c r="I11" i="16" s="1"/>
  <c r="I19" i="16"/>
  <c r="H13" i="16"/>
  <c r="H12" i="16" s="1"/>
  <c r="H11" i="16" s="1"/>
  <c r="H19" i="16"/>
  <c r="G13" i="16"/>
  <c r="G12" i="16" s="1"/>
  <c r="G11" i="16" s="1"/>
  <c r="G19" i="16"/>
  <c r="F13" i="16"/>
  <c r="F12" i="16" s="1"/>
  <c r="F11" i="16" s="1"/>
  <c r="F19" i="16"/>
  <c r="E13" i="16"/>
  <c r="E12" i="16" s="1"/>
  <c r="E11" i="16" s="1"/>
  <c r="E19" i="16"/>
  <c r="D13" i="16"/>
  <c r="D12" i="16" s="1"/>
  <c r="D11" i="16" s="1"/>
  <c r="D19" i="16"/>
  <c r="I16" i="16"/>
  <c r="H16" i="16"/>
  <c r="G16" i="16"/>
  <c r="F16" i="16"/>
  <c r="E16" i="16"/>
  <c r="D16" i="16"/>
  <c r="J9" i="16"/>
  <c r="J8" i="16" s="1"/>
  <c r="C9" i="16"/>
  <c r="C8" i="16" s="1"/>
  <c r="D23" i="12"/>
  <c r="E26" i="12"/>
  <c r="D26" i="12"/>
  <c r="E25" i="12"/>
  <c r="D25" i="12"/>
  <c r="F26" i="12"/>
  <c r="D8" i="16" l="1"/>
  <c r="E8" i="16"/>
  <c r="F8" i="16"/>
  <c r="G8" i="16"/>
  <c r="H8" i="16"/>
  <c r="I8" i="16"/>
  <c r="F25" i="12"/>
  <c r="F46" i="12"/>
  <c r="F47" i="12"/>
  <c r="H94" i="4" l="1"/>
  <c r="H563" i="4"/>
  <c r="H561" i="4"/>
  <c r="H565" i="4"/>
  <c r="H557" i="4"/>
  <c r="H555" i="4"/>
  <c r="H548" i="4"/>
  <c r="H535" i="4"/>
  <c r="H516" i="4"/>
  <c r="H472" i="4"/>
  <c r="H422" i="4"/>
  <c r="H368" i="4"/>
  <c r="H366" i="4"/>
  <c r="H363" i="4"/>
  <c r="H318" i="4"/>
  <c r="H316" i="4"/>
  <c r="H313" i="4"/>
  <c r="H298" i="4"/>
  <c r="G291" i="4"/>
  <c r="H291" i="4"/>
  <c r="H277" i="4"/>
  <c r="H263" i="4"/>
  <c r="H255" i="4"/>
  <c r="H253" i="4"/>
  <c r="H250" i="4"/>
  <c r="H245" i="4"/>
  <c r="H242" i="4"/>
  <c r="H239" i="4"/>
  <c r="H126" i="4"/>
  <c r="H124" i="4"/>
  <c r="H121" i="4"/>
  <c r="H116" i="4"/>
  <c r="G96" i="4"/>
  <c r="H100" i="4" l="1"/>
  <c r="H98" i="4"/>
  <c r="H90" i="4"/>
  <c r="H88" i="4"/>
  <c r="H85" i="4"/>
  <c r="H81" i="4"/>
  <c r="H79" i="4"/>
  <c r="H59" i="4"/>
  <c r="H61" i="4"/>
  <c r="H57" i="4"/>
  <c r="H55" i="4"/>
  <c r="H48" i="4"/>
  <c r="H30" i="4"/>
  <c r="H25" i="4"/>
  <c r="H19" i="4"/>
  <c r="H21" i="4"/>
  <c r="H17" i="4"/>
  <c r="I15" i="4"/>
  <c r="I17" i="4"/>
  <c r="I19" i="4"/>
  <c r="I21" i="4"/>
  <c r="I23" i="4"/>
  <c r="I25" i="4"/>
  <c r="I30" i="4"/>
  <c r="I32" i="4"/>
  <c r="I34" i="4"/>
  <c r="I36" i="4"/>
  <c r="I38" i="4"/>
  <c r="I40" i="4"/>
  <c r="I42" i="4"/>
  <c r="I44" i="4"/>
  <c r="I46" i="4"/>
  <c r="I48" i="4"/>
  <c r="I50" i="4"/>
  <c r="I55" i="4"/>
  <c r="I57" i="4"/>
  <c r="I59" i="4"/>
  <c r="I61" i="4"/>
  <c r="I66" i="4"/>
  <c r="I71" i="4"/>
  <c r="I72" i="4"/>
  <c r="I74" i="4"/>
  <c r="I79" i="4"/>
  <c r="I81" i="4"/>
  <c r="I85" i="4"/>
  <c r="I87" i="4"/>
  <c r="I88" i="4"/>
  <c r="I90" i="4"/>
  <c r="I94" i="4"/>
  <c r="I96" i="4"/>
  <c r="I98" i="4"/>
  <c r="I100" i="4"/>
  <c r="I102" i="4"/>
  <c r="I108" i="4"/>
  <c r="I109" i="4"/>
  <c r="I116" i="4"/>
  <c r="I121" i="4"/>
  <c r="I123" i="4"/>
  <c r="I124" i="4"/>
  <c r="I126" i="4"/>
  <c r="I130" i="4"/>
  <c r="I134" i="4"/>
  <c r="I136" i="4"/>
  <c r="I142" i="4"/>
  <c r="I148" i="4"/>
  <c r="I155" i="4"/>
  <c r="I161" i="4"/>
  <c r="I167" i="4"/>
  <c r="I170" i="4"/>
  <c r="I172" i="4"/>
  <c r="I177" i="4"/>
  <c r="I179" i="4"/>
  <c r="I185" i="4"/>
  <c r="I188" i="4"/>
  <c r="I193" i="4"/>
  <c r="I197" i="4"/>
  <c r="I200" i="4"/>
  <c r="I206" i="4"/>
  <c r="I210" i="4"/>
  <c r="I216" i="4"/>
  <c r="I222" i="4"/>
  <c r="I224" i="4"/>
  <c r="I229" i="4"/>
  <c r="I231" i="4"/>
  <c r="I234" i="4"/>
  <c r="I239" i="4"/>
  <c r="I242" i="4"/>
  <c r="I245" i="4"/>
  <c r="I250" i="4"/>
  <c r="I252" i="4"/>
  <c r="I253" i="4"/>
  <c r="I255" i="4"/>
  <c r="I259" i="4"/>
  <c r="I263" i="4"/>
  <c r="I264" i="4"/>
  <c r="I268" i="4"/>
  <c r="I273" i="4"/>
  <c r="I277" i="4"/>
  <c r="I279" i="4"/>
  <c r="I282" i="4"/>
  <c r="I287" i="4"/>
  <c r="I291" i="4"/>
  <c r="I292" i="4"/>
  <c r="I296" i="4"/>
  <c r="I298" i="4"/>
  <c r="I302" i="4"/>
  <c r="I307" i="4"/>
  <c r="I313" i="4"/>
  <c r="I315" i="4"/>
  <c r="I316" i="4"/>
  <c r="I318" i="4"/>
  <c r="I322" i="4"/>
  <c r="I324" i="4"/>
  <c r="I329" i="4"/>
  <c r="I332" i="4"/>
  <c r="I338" i="4"/>
  <c r="I340" i="4"/>
  <c r="I342" i="4"/>
  <c r="I347" i="4"/>
  <c r="I349" i="4"/>
  <c r="I351" i="4"/>
  <c r="I353" i="4"/>
  <c r="I358" i="4"/>
  <c r="I363" i="4"/>
  <c r="I365" i="4"/>
  <c r="I366" i="4"/>
  <c r="I368" i="4"/>
  <c r="I372" i="4"/>
  <c r="I373" i="4"/>
  <c r="I376" i="4"/>
  <c r="I380" i="4"/>
  <c r="I381" i="4"/>
  <c r="I385" i="4"/>
  <c r="I387" i="4"/>
  <c r="I390" i="4"/>
  <c r="I392" i="4"/>
  <c r="I398" i="4"/>
  <c r="I403" i="4"/>
  <c r="I407" i="4"/>
  <c r="I411" i="4"/>
  <c r="I412" i="4"/>
  <c r="I416" i="4"/>
  <c r="I417" i="4"/>
  <c r="I420" i="4"/>
  <c r="I422" i="4"/>
  <c r="I424" i="4"/>
  <c r="I426" i="4"/>
  <c r="I428" i="4"/>
  <c r="I433" i="4"/>
  <c r="I434" i="4"/>
  <c r="I440" i="4"/>
  <c r="I445" i="4"/>
  <c r="I447" i="4"/>
  <c r="I452" i="4"/>
  <c r="I453" i="4"/>
  <c r="I459" i="4"/>
  <c r="I461" i="4"/>
  <c r="I467" i="4"/>
  <c r="I472" i="4"/>
  <c r="I476" i="4"/>
  <c r="I478" i="4"/>
  <c r="I482" i="4"/>
  <c r="I484" i="4"/>
  <c r="I487" i="4"/>
  <c r="I489" i="4"/>
  <c r="I495" i="4"/>
  <c r="I497" i="4"/>
  <c r="I503" i="4"/>
  <c r="I510" i="4"/>
  <c r="I512" i="4"/>
  <c r="I516" i="4"/>
  <c r="I518" i="4"/>
  <c r="I523" i="4"/>
  <c r="I524" i="4"/>
  <c r="I529" i="4"/>
  <c r="I535" i="4"/>
  <c r="I537" i="4"/>
  <c r="I539" i="4"/>
  <c r="I541" i="4"/>
  <c r="I543" i="4"/>
  <c r="I545" i="4"/>
  <c r="I548" i="4"/>
  <c r="I550" i="4"/>
  <c r="I555" i="4"/>
  <c r="I557" i="4"/>
  <c r="I561" i="4"/>
  <c r="I562" i="4"/>
  <c r="I563" i="4"/>
  <c r="I565" i="4"/>
  <c r="I567" i="4"/>
  <c r="I573" i="4"/>
  <c r="I575" i="4"/>
  <c r="I576" i="4"/>
  <c r="I582" i="4"/>
  <c r="I583" i="4"/>
  <c r="I585" i="4"/>
  <c r="I586" i="4"/>
  <c r="H15" i="4"/>
  <c r="H281" i="4" l="1"/>
  <c r="G281" i="4"/>
  <c r="H301" i="4"/>
  <c r="G301" i="4"/>
  <c r="H337" i="4"/>
  <c r="G337" i="4"/>
  <c r="H406" i="4"/>
  <c r="G406" i="4"/>
  <c r="H425" i="4"/>
  <c r="G425" i="4"/>
  <c r="G534" i="4"/>
  <c r="I425" i="4" l="1"/>
  <c r="I406" i="4"/>
  <c r="I337" i="4"/>
  <c r="I301" i="4"/>
  <c r="I281" i="4"/>
  <c r="H460" i="4"/>
  <c r="G460" i="4"/>
  <c r="I460" i="4" l="1"/>
  <c r="J535" i="4"/>
  <c r="J548" i="4"/>
  <c r="J516" i="4"/>
  <c r="J263" i="4"/>
  <c r="J259" i="4"/>
  <c r="J255" i="4"/>
  <c r="J253" i="4"/>
  <c r="J250" i="4"/>
  <c r="J242" i="4"/>
  <c r="J239" i="4"/>
  <c r="J19" i="4"/>
  <c r="J17" i="4"/>
  <c r="J15" i="4"/>
  <c r="H439" i="4" l="1"/>
  <c r="G439" i="4"/>
  <c r="G438" i="4" s="1"/>
  <c r="G437" i="4" s="1"/>
  <c r="G436" i="4" s="1"/>
  <c r="H350" i="4"/>
  <c r="G350" i="4"/>
  <c r="H352" i="4"/>
  <c r="G352" i="4"/>
  <c r="H346" i="4"/>
  <c r="G346" i="4"/>
  <c r="I346" i="4" l="1"/>
  <c r="I352" i="4"/>
  <c r="I350" i="4"/>
  <c r="H438" i="4"/>
  <c r="I439" i="4"/>
  <c r="H534" i="4"/>
  <c r="I534" i="4" s="1"/>
  <c r="G45" i="4"/>
  <c r="H49" i="4"/>
  <c r="G49" i="4"/>
  <c r="I49" i="4" l="1"/>
  <c r="H437" i="4"/>
  <c r="I438" i="4"/>
  <c r="H436" i="4" l="1"/>
  <c r="I436" i="4" s="1"/>
  <c r="I437" i="4"/>
  <c r="H178" i="4" l="1"/>
  <c r="G178" i="4"/>
  <c r="I178" i="4" l="1"/>
  <c r="J381" i="4"/>
  <c r="J565" i="4"/>
  <c r="J563" i="4"/>
  <c r="J562" i="4"/>
  <c r="J561" i="4"/>
  <c r="J557" i="4"/>
  <c r="J555" i="4"/>
  <c r="J524" i="4"/>
  <c r="J426" i="4"/>
  <c r="J368" i="4"/>
  <c r="J366" i="4"/>
  <c r="J363" i="4"/>
  <c r="J318" i="4"/>
  <c r="J313" i="4"/>
  <c r="J298" i="4"/>
  <c r="J277" i="4"/>
  <c r="J245" i="4"/>
  <c r="J126" i="4"/>
  <c r="J121" i="4"/>
  <c r="J116" i="4"/>
  <c r="J100" i="4"/>
  <c r="J94" i="4"/>
  <c r="J98" i="4"/>
  <c r="J90" i="4"/>
  <c r="J87" i="4"/>
  <c r="J59" i="4"/>
  <c r="J61" i="4"/>
  <c r="J57" i="4"/>
  <c r="J55" i="4"/>
  <c r="J48" i="4"/>
  <c r="J46" i="4"/>
  <c r="J36" i="4"/>
  <c r="J38" i="4"/>
  <c r="J32" i="4" l="1"/>
  <c r="J30" i="4"/>
  <c r="J25" i="4"/>
  <c r="J21" i="4"/>
  <c r="K576" i="4"/>
  <c r="K575" i="4"/>
  <c r="H574" i="4"/>
  <c r="G574" i="4"/>
  <c r="K484" i="4"/>
  <c r="H483" i="4"/>
  <c r="G483" i="4"/>
  <c r="H458" i="4"/>
  <c r="G458" i="4"/>
  <c r="G457" i="4" s="1"/>
  <c r="K447" i="4"/>
  <c r="H446" i="4"/>
  <c r="G446" i="4"/>
  <c r="H421" i="4"/>
  <c r="G421" i="4"/>
  <c r="I421" i="4" l="1"/>
  <c r="I446" i="4"/>
  <c r="I483" i="4"/>
  <c r="I574" i="4"/>
  <c r="H457" i="4"/>
  <c r="I457" i="4" s="1"/>
  <c r="I458" i="4"/>
  <c r="K422" i="4"/>
  <c r="K461" i="4"/>
  <c r="K459" i="4"/>
  <c r="G456" i="4"/>
  <c r="G455" i="4" s="1"/>
  <c r="H456" i="4"/>
  <c r="H455" i="4" l="1"/>
  <c r="I455" i="4" s="1"/>
  <c r="I456" i="4"/>
  <c r="G496" i="4"/>
  <c r="K282" i="4" l="1"/>
  <c r="H584" i="4"/>
  <c r="G584" i="4"/>
  <c r="K585" i="4"/>
  <c r="I584" i="4" l="1"/>
  <c r="G321" i="4" l="1"/>
  <c r="G320" i="4" s="1"/>
  <c r="K539" i="4" l="1"/>
  <c r="H538" i="4"/>
  <c r="G538" i="4"/>
  <c r="I538" i="4" l="1"/>
  <c r="J88" i="4"/>
  <c r="J85" i="4"/>
  <c r="J81" i="4"/>
  <c r="J79" i="4"/>
  <c r="J44" i="4"/>
  <c r="J40" i="4"/>
  <c r="H39" i="4"/>
  <c r="K88" i="4"/>
  <c r="H540" i="4"/>
  <c r="G540" i="4"/>
  <c r="H544" i="4"/>
  <c r="G544" i="4"/>
  <c r="I544" i="4" l="1"/>
  <c r="I540" i="4"/>
  <c r="K545" i="4"/>
  <c r="K541" i="4"/>
  <c r="H357" i="4"/>
  <c r="G357" i="4"/>
  <c r="G356" i="4" s="1"/>
  <c r="G355" i="4" s="1"/>
  <c r="G354" i="4" s="1"/>
  <c r="G609" i="4" s="1"/>
  <c r="K61" i="4"/>
  <c r="H60" i="4"/>
  <c r="G60" i="4"/>
  <c r="H321" i="4"/>
  <c r="H73" i="4"/>
  <c r="G73" i="4"/>
  <c r="I73" i="4" l="1"/>
  <c r="I60" i="4"/>
  <c r="H356" i="4"/>
  <c r="I357" i="4"/>
  <c r="H320" i="4"/>
  <c r="I320" i="4" s="1"/>
  <c r="I321" i="4"/>
  <c r="K60" i="4"/>
  <c r="K358" i="4"/>
  <c r="K73" i="4"/>
  <c r="K74" i="4"/>
  <c r="H233" i="4"/>
  <c r="G233" i="4"/>
  <c r="G232" i="4" s="1"/>
  <c r="H205" i="4"/>
  <c r="G205" i="4"/>
  <c r="G204" i="4" s="1"/>
  <c r="H199" i="4"/>
  <c r="G199" i="4"/>
  <c r="G198" i="4" s="1"/>
  <c r="H196" i="4"/>
  <c r="G196" i="4"/>
  <c r="H195" i="4"/>
  <c r="G195" i="4"/>
  <c r="G194" i="4" s="1"/>
  <c r="K188" i="4"/>
  <c r="H187" i="4"/>
  <c r="G187" i="4"/>
  <c r="G186" i="4" s="1"/>
  <c r="H184" i="4"/>
  <c r="G184" i="4"/>
  <c r="G183" i="4"/>
  <c r="G182" i="4"/>
  <c r="G181" i="4" s="1"/>
  <c r="K172" i="4"/>
  <c r="H171" i="4"/>
  <c r="G171" i="4"/>
  <c r="H169" i="4"/>
  <c r="G169" i="4"/>
  <c r="G168" i="4" s="1"/>
  <c r="G216" i="4"/>
  <c r="I171" i="4" l="1"/>
  <c r="I196" i="4"/>
  <c r="H355" i="4"/>
  <c r="I356" i="4"/>
  <c r="H232" i="4"/>
  <c r="I232" i="4" s="1"/>
  <c r="I233" i="4"/>
  <c r="H204" i="4"/>
  <c r="I204" i="4" s="1"/>
  <c r="I205" i="4"/>
  <c r="H198" i="4"/>
  <c r="I198" i="4" s="1"/>
  <c r="I199" i="4"/>
  <c r="H194" i="4"/>
  <c r="I194" i="4" s="1"/>
  <c r="I195" i="4"/>
  <c r="H186" i="4"/>
  <c r="I186" i="4" s="1"/>
  <c r="I187" i="4"/>
  <c r="H183" i="4"/>
  <c r="I184" i="4"/>
  <c r="H168" i="4"/>
  <c r="I168" i="4" s="1"/>
  <c r="I169" i="4"/>
  <c r="K170" i="4"/>
  <c r="K185" i="4"/>
  <c r="K197" i="4"/>
  <c r="K200" i="4"/>
  <c r="K206" i="4"/>
  <c r="K234" i="4"/>
  <c r="H354" i="4" l="1"/>
  <c r="I355" i="4"/>
  <c r="H182" i="4"/>
  <c r="I183" i="4"/>
  <c r="K586" i="4"/>
  <c r="K567" i="4"/>
  <c r="H566" i="4"/>
  <c r="G566" i="4"/>
  <c r="H564" i="4"/>
  <c r="G564" i="4"/>
  <c r="G560" i="4" s="1"/>
  <c r="G559" i="4" s="1"/>
  <c r="I564" i="4" l="1"/>
  <c r="I566" i="4"/>
  <c r="H609" i="4"/>
  <c r="I354" i="4"/>
  <c r="I609" i="4" s="1"/>
  <c r="H181" i="4"/>
  <c r="I181" i="4" s="1"/>
  <c r="I182" i="4"/>
  <c r="K565" i="4"/>
  <c r="H560" i="4"/>
  <c r="K557" i="4"/>
  <c r="H556" i="4"/>
  <c r="G556" i="4"/>
  <c r="K550" i="4"/>
  <c r="H549" i="4"/>
  <c r="G549" i="4"/>
  <c r="K543" i="4"/>
  <c r="H542" i="4"/>
  <c r="G542" i="4"/>
  <c r="H536" i="4"/>
  <c r="G536" i="4"/>
  <c r="G533" i="4" s="1"/>
  <c r="K524" i="4"/>
  <c r="K523" i="4"/>
  <c r="H522" i="4"/>
  <c r="G522" i="4"/>
  <c r="G521" i="4"/>
  <c r="G520" i="4" s="1"/>
  <c r="G519" i="4" s="1"/>
  <c r="K518" i="4"/>
  <c r="H517" i="4"/>
  <c r="G517" i="4"/>
  <c r="K510" i="4"/>
  <c r="H509" i="4"/>
  <c r="G509" i="4"/>
  <c r="H511" i="4"/>
  <c r="G511" i="4"/>
  <c r="H496" i="4"/>
  <c r="I496" i="4" s="1"/>
  <c r="K489" i="4"/>
  <c r="H488" i="4"/>
  <c r="G488" i="4"/>
  <c r="H451" i="4"/>
  <c r="G451" i="4"/>
  <c r="K453" i="4"/>
  <c r="H450" i="4"/>
  <c r="G450" i="4"/>
  <c r="H449" i="4"/>
  <c r="G449" i="4"/>
  <c r="H448" i="4"/>
  <c r="G448" i="4"/>
  <c r="H432" i="4"/>
  <c r="G432" i="4"/>
  <c r="K434" i="4"/>
  <c r="K428" i="4"/>
  <c r="H427" i="4"/>
  <c r="G427" i="4"/>
  <c r="K424" i="4"/>
  <c r="H423" i="4"/>
  <c r="G423" i="4"/>
  <c r="G410" i="4"/>
  <c r="K412" i="4"/>
  <c r="H410" i="4"/>
  <c r="I410" i="4" s="1"/>
  <c r="H391" i="4"/>
  <c r="G391" i="4"/>
  <c r="K387" i="4"/>
  <c r="H386" i="4"/>
  <c r="G386" i="4"/>
  <c r="H367" i="4"/>
  <c r="G367" i="4"/>
  <c r="H371" i="4"/>
  <c r="G371" i="4"/>
  <c r="K372" i="4"/>
  <c r="H323" i="4"/>
  <c r="G323" i="4"/>
  <c r="I323" i="4" l="1"/>
  <c r="I371" i="4"/>
  <c r="I367" i="4"/>
  <c r="I386" i="4"/>
  <c r="I391" i="4"/>
  <c r="I423" i="4"/>
  <c r="I427" i="4"/>
  <c r="I432" i="4"/>
  <c r="I448" i="4"/>
  <c r="I449" i="4"/>
  <c r="I450" i="4"/>
  <c r="I451" i="4"/>
  <c r="I488" i="4"/>
  <c r="I511" i="4"/>
  <c r="I509" i="4"/>
  <c r="I517" i="4"/>
  <c r="I542" i="4"/>
  <c r="I549" i="4"/>
  <c r="I556" i="4"/>
  <c r="H559" i="4"/>
  <c r="I559" i="4" s="1"/>
  <c r="I560" i="4"/>
  <c r="H533" i="4"/>
  <c r="I533" i="4" s="1"/>
  <c r="I536" i="4"/>
  <c r="H521" i="4"/>
  <c r="I522" i="4"/>
  <c r="K324" i="4"/>
  <c r="K368" i="4"/>
  <c r="K392" i="4"/>
  <c r="K452" i="4"/>
  <c r="K497" i="4"/>
  <c r="K512" i="4"/>
  <c r="K537" i="4"/>
  <c r="G508" i="4"/>
  <c r="G507" i="4" s="1"/>
  <c r="H508" i="4"/>
  <c r="H317" i="4"/>
  <c r="G317" i="4"/>
  <c r="H254" i="4"/>
  <c r="G254" i="4"/>
  <c r="I254" i="4" l="1"/>
  <c r="I317" i="4"/>
  <c r="H520" i="4"/>
  <c r="I521" i="4"/>
  <c r="H507" i="4"/>
  <c r="I507" i="4" s="1"/>
  <c r="I508" i="4"/>
  <c r="K255" i="4"/>
  <c r="K318" i="4"/>
  <c r="H230" i="4"/>
  <c r="G230" i="4"/>
  <c r="K216" i="4"/>
  <c r="H215" i="4"/>
  <c r="G215" i="4"/>
  <c r="G214" i="4"/>
  <c r="G213" i="4" s="1"/>
  <c r="G212" i="4" s="1"/>
  <c r="G211" i="4" s="1"/>
  <c r="K210" i="4"/>
  <c r="H209" i="4"/>
  <c r="G209" i="4"/>
  <c r="G208" i="4" s="1"/>
  <c r="G207" i="4" s="1"/>
  <c r="K193" i="4"/>
  <c r="H192" i="4"/>
  <c r="G192" i="4"/>
  <c r="G191" i="4"/>
  <c r="G190" i="4" s="1"/>
  <c r="G189" i="4" s="1"/>
  <c r="G180" i="4" s="1"/>
  <c r="H176" i="4"/>
  <c r="G176" i="4"/>
  <c r="K167" i="4"/>
  <c r="H166" i="4"/>
  <c r="G166" i="4"/>
  <c r="G165" i="4"/>
  <c r="G164" i="4" s="1"/>
  <c r="G163" i="4" s="1"/>
  <c r="H160" i="4"/>
  <c r="G160" i="4"/>
  <c r="G159" i="4" s="1"/>
  <c r="G158" i="4" s="1"/>
  <c r="G157" i="4" s="1"/>
  <c r="K161" i="4"/>
  <c r="H125" i="4"/>
  <c r="G125" i="4"/>
  <c r="K142" i="4"/>
  <c r="H141" i="4"/>
  <c r="G141" i="4"/>
  <c r="G140" i="4"/>
  <c r="G139" i="4" s="1"/>
  <c r="G138" i="4" s="1"/>
  <c r="G137" i="4" s="1"/>
  <c r="H99" i="4"/>
  <c r="G99" i="4"/>
  <c r="H89" i="4"/>
  <c r="G89" i="4"/>
  <c r="K81" i="4"/>
  <c r="H80" i="4"/>
  <c r="G80" i="4"/>
  <c r="H65" i="4"/>
  <c r="G65" i="4"/>
  <c r="G64" i="4" s="1"/>
  <c r="G63" i="4" s="1"/>
  <c r="G62" i="4" s="1"/>
  <c r="K59" i="4"/>
  <c r="H58" i="4"/>
  <c r="G58" i="4"/>
  <c r="K48" i="4"/>
  <c r="H47" i="4"/>
  <c r="G47" i="4"/>
  <c r="H45" i="4"/>
  <c r="I45" i="4" s="1"/>
  <c r="K44" i="4"/>
  <c r="H43" i="4"/>
  <c r="G43" i="4"/>
  <c r="K42" i="4"/>
  <c r="H41" i="4"/>
  <c r="G41" i="4"/>
  <c r="H24" i="4"/>
  <c r="G24" i="4"/>
  <c r="I24" i="4" l="1"/>
  <c r="I41" i="4"/>
  <c r="I43" i="4"/>
  <c r="I47" i="4"/>
  <c r="I58" i="4"/>
  <c r="I80" i="4"/>
  <c r="K80" i="4" s="1"/>
  <c r="I89" i="4"/>
  <c r="I99" i="4"/>
  <c r="I125" i="4"/>
  <c r="I176" i="4"/>
  <c r="I230" i="4"/>
  <c r="H519" i="4"/>
  <c r="I519" i="4" s="1"/>
  <c r="I520" i="4"/>
  <c r="H214" i="4"/>
  <c r="I215" i="4"/>
  <c r="H208" i="4"/>
  <c r="I209" i="4"/>
  <c r="H191" i="4"/>
  <c r="I192" i="4"/>
  <c r="H165" i="4"/>
  <c r="I166" i="4"/>
  <c r="H159" i="4"/>
  <c r="I160" i="4"/>
  <c r="H140" i="4"/>
  <c r="I141" i="4"/>
  <c r="H64" i="4"/>
  <c r="I65" i="4"/>
  <c r="G622" i="4"/>
  <c r="K41" i="4"/>
  <c r="K43" i="4"/>
  <c r="K47" i="4"/>
  <c r="K58" i="4"/>
  <c r="G175" i="4"/>
  <c r="G174" i="4" s="1"/>
  <c r="G173" i="4" s="1"/>
  <c r="G162" i="4" s="1"/>
  <c r="H175" i="4"/>
  <c r="K126" i="4"/>
  <c r="K177" i="4"/>
  <c r="K231" i="4"/>
  <c r="K24" i="4"/>
  <c r="K25" i="4"/>
  <c r="K45" i="4"/>
  <c r="K46" i="4"/>
  <c r="K66" i="4"/>
  <c r="K89" i="4"/>
  <c r="K90" i="4"/>
  <c r="K99" i="4"/>
  <c r="K100" i="4"/>
  <c r="K65" i="4"/>
  <c r="H203" i="4"/>
  <c r="G156" i="4"/>
  <c r="G603" i="4"/>
  <c r="G203" i="4"/>
  <c r="K109" i="4"/>
  <c r="K108" i="4"/>
  <c r="H213" i="4" l="1"/>
  <c r="I214" i="4"/>
  <c r="H207" i="4"/>
  <c r="I207" i="4" s="1"/>
  <c r="I208" i="4"/>
  <c r="H202" i="4"/>
  <c r="I203" i="4"/>
  <c r="H190" i="4"/>
  <c r="I191" i="4"/>
  <c r="H174" i="4"/>
  <c r="I175" i="4"/>
  <c r="H164" i="4"/>
  <c r="I165" i="4"/>
  <c r="H158" i="4"/>
  <c r="I159" i="4"/>
  <c r="H139" i="4"/>
  <c r="I140" i="4"/>
  <c r="H63" i="4"/>
  <c r="I64" i="4"/>
  <c r="K64" i="4"/>
  <c r="D21" i="12"/>
  <c r="G202" i="4"/>
  <c r="H389" i="4"/>
  <c r="G389" i="4"/>
  <c r="G388" i="4" s="1"/>
  <c r="G39" i="4"/>
  <c r="I39" i="4" s="1"/>
  <c r="H388" i="4" l="1"/>
  <c r="I388" i="4" s="1"/>
  <c r="I389" i="4"/>
  <c r="H212" i="4"/>
  <c r="I213" i="4"/>
  <c r="H201" i="4"/>
  <c r="I202" i="4"/>
  <c r="H189" i="4"/>
  <c r="I190" i="4"/>
  <c r="H173" i="4"/>
  <c r="I173" i="4" s="1"/>
  <c r="I174" i="4"/>
  <c r="H163" i="4"/>
  <c r="I164" i="4"/>
  <c r="H157" i="4"/>
  <c r="I158" i="4"/>
  <c r="H138" i="4"/>
  <c r="I139" i="4"/>
  <c r="H62" i="4"/>
  <c r="I63" i="4"/>
  <c r="K390" i="4"/>
  <c r="K63" i="4"/>
  <c r="K39" i="4"/>
  <c r="K40" i="4"/>
  <c r="G201" i="4"/>
  <c r="I201" i="4" l="1"/>
  <c r="H211" i="4"/>
  <c r="I211" i="4" s="1"/>
  <c r="I212" i="4"/>
  <c r="H180" i="4"/>
  <c r="I180" i="4" s="1"/>
  <c r="I189" i="4"/>
  <c r="I163" i="4"/>
  <c r="H162" i="4"/>
  <c r="I162" i="4" s="1"/>
  <c r="I157" i="4"/>
  <c r="I603" i="4" s="1"/>
  <c r="H156" i="4"/>
  <c r="I156" i="4" s="1"/>
  <c r="H603" i="4"/>
  <c r="E21" i="12" s="1"/>
  <c r="F21" i="12" s="1"/>
  <c r="I138" i="4"/>
  <c r="H137" i="4"/>
  <c r="I137" i="4" s="1"/>
  <c r="I62" i="4"/>
  <c r="H622" i="4"/>
  <c r="I622" i="4"/>
  <c r="K62" i="4"/>
  <c r="H101" i="4" l="1"/>
  <c r="G101" i="4"/>
  <c r="I101" i="4" l="1"/>
  <c r="K101" i="4"/>
  <c r="K102" i="4"/>
  <c r="H93" i="4" l="1"/>
  <c r="K94" i="4" l="1"/>
  <c r="E51" i="12"/>
  <c r="E38" i="12"/>
  <c r="H95" i="4"/>
  <c r="H92" i="4" l="1"/>
  <c r="H135" i="4"/>
  <c r="K136" i="4" l="1"/>
  <c r="G135" i="4"/>
  <c r="I135" i="4" s="1"/>
  <c r="G312" i="4" l="1"/>
  <c r="H314" i="4"/>
  <c r="G314" i="4"/>
  <c r="K316" i="4"/>
  <c r="H328" i="4"/>
  <c r="I314" i="4" l="1"/>
  <c r="H327" i="4"/>
  <c r="E65" i="12"/>
  <c r="H581" i="4" l="1"/>
  <c r="G581" i="4"/>
  <c r="G580" i="4" s="1"/>
  <c r="G579" i="4" s="1"/>
  <c r="H572" i="4"/>
  <c r="G572" i="4"/>
  <c r="G571" i="4" s="1"/>
  <c r="G570" i="4" s="1"/>
  <c r="H547" i="4"/>
  <c r="G547" i="4"/>
  <c r="G546" i="4" s="1"/>
  <c r="H528" i="4"/>
  <c r="G528" i="4"/>
  <c r="G527" i="4" s="1"/>
  <c r="G526" i="4" s="1"/>
  <c r="G525" i="4" s="1"/>
  <c r="H502" i="4"/>
  <c r="G502" i="4"/>
  <c r="G501" i="4" s="1"/>
  <c r="G500" i="4" s="1"/>
  <c r="G499" i="4" s="1"/>
  <c r="H494" i="4"/>
  <c r="H486" i="4"/>
  <c r="G486" i="4"/>
  <c r="G485" i="4" s="1"/>
  <c r="H475" i="4"/>
  <c r="G475" i="4"/>
  <c r="K467" i="4"/>
  <c r="H466" i="4"/>
  <c r="G466" i="4"/>
  <c r="G465" i="4" s="1"/>
  <c r="G464" i="4" s="1"/>
  <c r="G463" i="4" s="1"/>
  <c r="H444" i="4"/>
  <c r="G444" i="4"/>
  <c r="H431" i="4"/>
  <c r="G431" i="4"/>
  <c r="G430" i="4" s="1"/>
  <c r="G429" i="4" s="1"/>
  <c r="G615" i="4" s="1"/>
  <c r="H419" i="4"/>
  <c r="G419" i="4"/>
  <c r="G418" i="4" s="1"/>
  <c r="H415" i="4"/>
  <c r="G415" i="4"/>
  <c r="G414" i="4" s="1"/>
  <c r="H409" i="4"/>
  <c r="G409" i="4"/>
  <c r="G408" i="4" s="1"/>
  <c r="H405" i="4"/>
  <c r="H397" i="4"/>
  <c r="H384" i="4"/>
  <c r="G384" i="4"/>
  <c r="G383" i="4" s="1"/>
  <c r="H379" i="4"/>
  <c r="K366" i="4"/>
  <c r="K365" i="4"/>
  <c r="H364" i="4"/>
  <c r="G364" i="4"/>
  <c r="H362" i="4"/>
  <c r="G362" i="4"/>
  <c r="H375" i="4"/>
  <c r="H370" i="4"/>
  <c r="H348" i="4"/>
  <c r="G348" i="4"/>
  <c r="G345" i="4" s="1"/>
  <c r="H331" i="4"/>
  <c r="G328" i="4"/>
  <c r="H319" i="4"/>
  <c r="G319" i="4"/>
  <c r="K322" i="4"/>
  <c r="H306" i="4"/>
  <c r="G306" i="4"/>
  <c r="G305" i="4" s="1"/>
  <c r="G304" i="4" s="1"/>
  <c r="G672" i="4" s="1"/>
  <c r="G673" i="4" s="1"/>
  <c r="H305" i="4" l="1"/>
  <c r="I306" i="4"/>
  <c r="I319" i="4"/>
  <c r="G327" i="4"/>
  <c r="I327" i="4" s="1"/>
  <c r="I328" i="4"/>
  <c r="H374" i="4"/>
  <c r="I362" i="4"/>
  <c r="I364" i="4"/>
  <c r="H383" i="4"/>
  <c r="I383" i="4" s="1"/>
  <c r="I384" i="4"/>
  <c r="I444" i="4"/>
  <c r="I475" i="4"/>
  <c r="H580" i="4"/>
  <c r="I581" i="4"/>
  <c r="H571" i="4"/>
  <c r="I572" i="4"/>
  <c r="H546" i="4"/>
  <c r="I547" i="4"/>
  <c r="H527" i="4"/>
  <c r="I528" i="4"/>
  <c r="H501" i="4"/>
  <c r="I502" i="4"/>
  <c r="H485" i="4"/>
  <c r="I485" i="4" s="1"/>
  <c r="I486" i="4"/>
  <c r="H465" i="4"/>
  <c r="I466" i="4"/>
  <c r="H430" i="4"/>
  <c r="I431" i="4"/>
  <c r="H418" i="4"/>
  <c r="I418" i="4" s="1"/>
  <c r="I419" i="4"/>
  <c r="H414" i="4"/>
  <c r="I414" i="4" s="1"/>
  <c r="I415" i="4"/>
  <c r="H408" i="4"/>
  <c r="I408" i="4" s="1"/>
  <c r="I409" i="4"/>
  <c r="H404" i="4"/>
  <c r="H396" i="4"/>
  <c r="H378" i="4"/>
  <c r="H345" i="4"/>
  <c r="I345" i="4" s="1"/>
  <c r="I348" i="4"/>
  <c r="H330" i="4"/>
  <c r="K376" i="4"/>
  <c r="K363" i="4"/>
  <c r="K385" i="4"/>
  <c r="K420" i="4"/>
  <c r="K487" i="4"/>
  <c r="G569" i="4"/>
  <c r="G638" i="4" s="1"/>
  <c r="G443" i="4"/>
  <c r="G442" i="4" s="1"/>
  <c r="G454" i="4"/>
  <c r="E48" i="12"/>
  <c r="H454" i="4"/>
  <c r="I454" i="4" s="1"/>
  <c r="H443" i="4"/>
  <c r="G344" i="4"/>
  <c r="G343" i="4" s="1"/>
  <c r="G610" i="4" s="1"/>
  <c r="G382" i="4"/>
  <c r="G578" i="4"/>
  <c r="H558" i="4"/>
  <c r="H493" i="4"/>
  <c r="E32" i="12"/>
  <c r="E33" i="12"/>
  <c r="G532" i="4"/>
  <c r="H382" i="4"/>
  <c r="I382" i="4" s="1"/>
  <c r="H361" i="4"/>
  <c r="G361" i="4"/>
  <c r="G360" i="4" s="1"/>
  <c r="H369" i="4"/>
  <c r="G375" i="4"/>
  <c r="I375" i="4" s="1"/>
  <c r="G374" i="4"/>
  <c r="H286" i="4"/>
  <c r="E44" i="12" l="1"/>
  <c r="H285" i="4"/>
  <c r="I374" i="4"/>
  <c r="H304" i="4"/>
  <c r="I305" i="4"/>
  <c r="H579" i="4"/>
  <c r="I580" i="4"/>
  <c r="H570" i="4"/>
  <c r="I571" i="4"/>
  <c r="H532" i="4"/>
  <c r="I546" i="4"/>
  <c r="H526" i="4"/>
  <c r="I527" i="4"/>
  <c r="H500" i="4"/>
  <c r="I501" i="4"/>
  <c r="H492" i="4"/>
  <c r="H464" i="4"/>
  <c r="I465" i="4"/>
  <c r="H442" i="4"/>
  <c r="I442" i="4" s="1"/>
  <c r="I443" i="4"/>
  <c r="H429" i="4"/>
  <c r="I430" i="4"/>
  <c r="H395" i="4"/>
  <c r="H377" i="4"/>
  <c r="H656" i="4"/>
  <c r="H360" i="4"/>
  <c r="I360" i="4" s="1"/>
  <c r="I361" i="4"/>
  <c r="H441" i="4"/>
  <c r="G441" i="4"/>
  <c r="G435" i="4" s="1"/>
  <c r="G531" i="4"/>
  <c r="G626" i="4" s="1"/>
  <c r="G577" i="4"/>
  <c r="G640" i="4"/>
  <c r="G639" i="4" s="1"/>
  <c r="H359" i="4"/>
  <c r="H238" i="4"/>
  <c r="H129" i="4"/>
  <c r="G129" i="4"/>
  <c r="G128" i="4" s="1"/>
  <c r="G107" i="4"/>
  <c r="G106" i="4" s="1"/>
  <c r="G105" i="4" s="1"/>
  <c r="G104" i="4" s="1"/>
  <c r="H14" i="4"/>
  <c r="G14" i="4"/>
  <c r="D51" i="12"/>
  <c r="F51" i="12" s="1"/>
  <c r="I14" i="4" l="1"/>
  <c r="H672" i="4"/>
  <c r="H673" i="4" s="1"/>
  <c r="I304" i="4"/>
  <c r="H284" i="4"/>
  <c r="H578" i="4"/>
  <c r="I579" i="4"/>
  <c r="I570" i="4"/>
  <c r="H569" i="4"/>
  <c r="H531" i="4"/>
  <c r="I532" i="4"/>
  <c r="H525" i="4"/>
  <c r="I525" i="4" s="1"/>
  <c r="I526" i="4"/>
  <c r="H499" i="4"/>
  <c r="I499" i="4" s="1"/>
  <c r="I500" i="4"/>
  <c r="H491" i="4"/>
  <c r="H463" i="4"/>
  <c r="I463" i="4" s="1"/>
  <c r="I464" i="4"/>
  <c r="H435" i="4"/>
  <c r="I435" i="4" s="1"/>
  <c r="I441" i="4"/>
  <c r="I429" i="4"/>
  <c r="H615" i="4"/>
  <c r="E31" i="12" s="1"/>
  <c r="H394" i="4"/>
  <c r="H666" i="4"/>
  <c r="H611" i="4"/>
  <c r="E27" i="12" s="1"/>
  <c r="H128" i="4"/>
  <c r="I128" i="4" s="1"/>
  <c r="I129" i="4"/>
  <c r="H272" i="4"/>
  <c r="G272" i="4"/>
  <c r="G271" i="4" s="1"/>
  <c r="G270" i="4" s="1"/>
  <c r="G269" i="4" s="1"/>
  <c r="G594" i="4" s="1"/>
  <c r="D12" i="12" s="1"/>
  <c r="H655" i="4" l="1"/>
  <c r="H640" i="4"/>
  <c r="I578" i="4"/>
  <c r="H577" i="4"/>
  <c r="I577" i="4" s="1"/>
  <c r="H638" i="4"/>
  <c r="E54" i="12" s="1"/>
  <c r="I569" i="4"/>
  <c r="I531" i="4"/>
  <c r="H626" i="4"/>
  <c r="E42" i="12" s="1"/>
  <c r="H643" i="4"/>
  <c r="E59" i="12" s="1"/>
  <c r="H613" i="4"/>
  <c r="E29" i="12" s="1"/>
  <c r="H271" i="4"/>
  <c r="I272" i="4"/>
  <c r="K273" i="4"/>
  <c r="K482" i="4"/>
  <c r="K403" i="4"/>
  <c r="K229" i="4"/>
  <c r="K224" i="4"/>
  <c r="K36" i="4"/>
  <c r="K583" i="4"/>
  <c r="K582" i="4"/>
  <c r="K563" i="4"/>
  <c r="K562" i="4"/>
  <c r="K555" i="4"/>
  <c r="K478" i="4"/>
  <c r="K472" i="4"/>
  <c r="K433" i="4"/>
  <c r="K417" i="4"/>
  <c r="K416" i="4"/>
  <c r="K411" i="4"/>
  <c r="K342" i="4"/>
  <c r="K340" i="4"/>
  <c r="K298" i="4"/>
  <c r="K296" i="4"/>
  <c r="K292" i="4"/>
  <c r="K279" i="4"/>
  <c r="K268" i="4"/>
  <c r="K264" i="4"/>
  <c r="K263" i="4"/>
  <c r="K259" i="4"/>
  <c r="K253" i="4"/>
  <c r="K245" i="4"/>
  <c r="K242" i="4"/>
  <c r="K222" i="4"/>
  <c r="K155" i="4"/>
  <c r="K148" i="4"/>
  <c r="K124" i="4"/>
  <c r="K121" i="4"/>
  <c r="K116" i="4"/>
  <c r="K98" i="4"/>
  <c r="K79" i="4"/>
  <c r="K72" i="4"/>
  <c r="K71" i="4"/>
  <c r="K57" i="4"/>
  <c r="K55" i="4"/>
  <c r="K34" i="4"/>
  <c r="K32" i="4"/>
  <c r="K19" i="4"/>
  <c r="H639" i="4" l="1"/>
  <c r="E56" i="12"/>
  <c r="H270" i="4"/>
  <c r="I271" i="4"/>
  <c r="K302" i="4"/>
  <c r="K338" i="4"/>
  <c r="K426" i="4"/>
  <c r="K535" i="4"/>
  <c r="K130" i="4"/>
  <c r="K239" i="4"/>
  <c r="K287" i="4"/>
  <c r="I672" i="4"/>
  <c r="I673" i="4" s="1"/>
  <c r="K307" i="4"/>
  <c r="K313" i="4"/>
  <c r="K315" i="4"/>
  <c r="K349" i="4"/>
  <c r="K445" i="4"/>
  <c r="K548" i="4"/>
  <c r="K573" i="4"/>
  <c r="K329" i="4"/>
  <c r="K398" i="4"/>
  <c r="K476" i="4"/>
  <c r="K503" i="4"/>
  <c r="K529" i="4"/>
  <c r="I638" i="4"/>
  <c r="I640" i="4"/>
  <c r="I639" i="4" s="1"/>
  <c r="H16" i="4"/>
  <c r="H18" i="4"/>
  <c r="H20" i="4"/>
  <c r="H22" i="4"/>
  <c r="H29" i="4"/>
  <c r="H31" i="4"/>
  <c r="H33" i="4"/>
  <c r="H35" i="4"/>
  <c r="H37" i="4"/>
  <c r="H54" i="4"/>
  <c r="H56" i="4"/>
  <c r="H70" i="4"/>
  <c r="H78" i="4"/>
  <c r="H84" i="4"/>
  <c r="H86" i="4"/>
  <c r="H97" i="4"/>
  <c r="H107" i="4"/>
  <c r="I107" i="4" s="1"/>
  <c r="K107" i="4" s="1"/>
  <c r="H115" i="4"/>
  <c r="H120" i="4"/>
  <c r="H122" i="4"/>
  <c r="H127" i="4"/>
  <c r="H133" i="4"/>
  <c r="H147" i="4"/>
  <c r="H154" i="4"/>
  <c r="H221" i="4"/>
  <c r="H223" i="4"/>
  <c r="H228" i="4"/>
  <c r="H237" i="4"/>
  <c r="H241" i="4"/>
  <c r="H244" i="4"/>
  <c r="H249" i="4"/>
  <c r="H251" i="4"/>
  <c r="H258" i="4"/>
  <c r="H262" i="4"/>
  <c r="H267" i="4"/>
  <c r="H276" i="4"/>
  <c r="H278" i="4"/>
  <c r="H290" i="4"/>
  <c r="H295" i="4"/>
  <c r="H297" i="4"/>
  <c r="H300" i="4"/>
  <c r="H303" i="4"/>
  <c r="H312" i="4"/>
  <c r="I312" i="4" s="1"/>
  <c r="H326" i="4"/>
  <c r="H339" i="4"/>
  <c r="H341" i="4"/>
  <c r="H344" i="4"/>
  <c r="H402" i="4"/>
  <c r="H471" i="4"/>
  <c r="H477" i="4"/>
  <c r="H481" i="4"/>
  <c r="H490" i="4"/>
  <c r="H498" i="4"/>
  <c r="H515" i="4"/>
  <c r="H554" i="4"/>
  <c r="H568" i="4"/>
  <c r="E57" i="12"/>
  <c r="H474" i="4" l="1"/>
  <c r="H266" i="4"/>
  <c r="H553" i="4"/>
  <c r="H642" i="4"/>
  <c r="H480" i="4"/>
  <c r="H470" i="4"/>
  <c r="H401" i="4"/>
  <c r="H343" i="4"/>
  <c r="I343" i="4" s="1"/>
  <c r="I344" i="4"/>
  <c r="H325" i="4"/>
  <c r="H299" i="4"/>
  <c r="H289" i="4"/>
  <c r="H269" i="4"/>
  <c r="I270" i="4"/>
  <c r="H261" i="4"/>
  <c r="H257" i="4"/>
  <c r="H243" i="4"/>
  <c r="H146" i="4"/>
  <c r="H114" i="4"/>
  <c r="H91" i="4"/>
  <c r="H77" i="4"/>
  <c r="H69" i="4"/>
  <c r="H13" i="4"/>
  <c r="H28" i="4"/>
  <c r="H27" i="4"/>
  <c r="K15" i="4"/>
  <c r="H53" i="4"/>
  <c r="H610" i="4"/>
  <c r="I615" i="4"/>
  <c r="I610" i="4"/>
  <c r="H413" i="4"/>
  <c r="H552" i="4"/>
  <c r="H514" i="4"/>
  <c r="H227" i="4"/>
  <c r="H591" i="4"/>
  <c r="H132" i="4"/>
  <c r="H669" i="4"/>
  <c r="H658" i="4"/>
  <c r="H131" i="4"/>
  <c r="H336" i="4"/>
  <c r="H479" i="4"/>
  <c r="H634" i="4"/>
  <c r="E50" i="12" s="1"/>
  <c r="I634" i="4"/>
  <c r="H400" i="4"/>
  <c r="H605" i="4"/>
  <c r="E22" i="12" s="1"/>
  <c r="H294" i="4"/>
  <c r="H248" i="4"/>
  <c r="H280" i="4"/>
  <c r="H220" i="4"/>
  <c r="H153" i="4"/>
  <c r="H119" i="4"/>
  <c r="H106" i="4"/>
  <c r="H83" i="4"/>
  <c r="H68" i="4"/>
  <c r="H311" i="4"/>
  <c r="H275" i="4"/>
  <c r="H597" i="4" l="1"/>
  <c r="E15" i="12" s="1"/>
  <c r="H265" i="4"/>
  <c r="H473" i="4"/>
  <c r="H551" i="4"/>
  <c r="H513" i="4"/>
  <c r="H469" i="4"/>
  <c r="H670" i="4"/>
  <c r="H335" i="4"/>
  <c r="H310" i="4"/>
  <c r="H293" i="4"/>
  <c r="H288" i="4"/>
  <c r="H596" i="4"/>
  <c r="E14" i="12" s="1"/>
  <c r="H274" i="4"/>
  <c r="H594" i="4"/>
  <c r="E12" i="12" s="1"/>
  <c r="F12" i="12" s="1"/>
  <c r="I269" i="4"/>
  <c r="I594" i="4" s="1"/>
  <c r="H260" i="4"/>
  <c r="H256" i="4"/>
  <c r="H247" i="4"/>
  <c r="H226" i="4"/>
  <c r="H219" i="4"/>
  <c r="H152" i="4"/>
  <c r="H145" i="4"/>
  <c r="H113" i="4"/>
  <c r="H105" i="4"/>
  <c r="I106" i="4"/>
  <c r="H76" i="4"/>
  <c r="H26" i="4"/>
  <c r="K14" i="4"/>
  <c r="H654" i="4"/>
  <c r="H675" i="4"/>
  <c r="E9" i="12"/>
  <c r="K106" i="4"/>
  <c r="H67" i="4"/>
  <c r="H225" i="4"/>
  <c r="H468" i="4"/>
  <c r="H627" i="4"/>
  <c r="I626" i="4"/>
  <c r="H399" i="4"/>
  <c r="H118" i="4"/>
  <c r="H82" i="4"/>
  <c r="H620" i="4"/>
  <c r="E36" i="12"/>
  <c r="H659" i="4"/>
  <c r="H668" i="4"/>
  <c r="H671" i="4" s="1"/>
  <c r="H246" i="4"/>
  <c r="H653" i="4"/>
  <c r="H334" i="4"/>
  <c r="H665" i="4"/>
  <c r="H664" i="4"/>
  <c r="H240" i="4"/>
  <c r="H218" i="4"/>
  <c r="H52" i="4"/>
  <c r="H12" i="4"/>
  <c r="H462" i="4"/>
  <c r="H530" i="4" l="1"/>
  <c r="H506" i="4"/>
  <c r="H614" i="4"/>
  <c r="H612" i="4" s="1"/>
  <c r="H333" i="4"/>
  <c r="H309" i="4"/>
  <c r="H660" i="4"/>
  <c r="H283" i="4"/>
  <c r="H661" i="4"/>
  <c r="H648" i="4"/>
  <c r="E64" i="12" s="1"/>
  <c r="H647" i="4"/>
  <c r="E63" i="12" s="1"/>
  <c r="H151" i="4"/>
  <c r="H144" i="4"/>
  <c r="H117" i="4"/>
  <c r="H112" i="4"/>
  <c r="H104" i="4"/>
  <c r="I105" i="4"/>
  <c r="H75" i="4"/>
  <c r="H623" i="4"/>
  <c r="E39" i="12" s="1"/>
  <c r="H51" i="4"/>
  <c r="H636" i="4"/>
  <c r="E52" i="12" s="1"/>
  <c r="K105" i="4"/>
  <c r="H608" i="4"/>
  <c r="E30" i="12"/>
  <c r="E43" i="12"/>
  <c r="H625" i="4"/>
  <c r="H595" i="4"/>
  <c r="E13" i="12" s="1"/>
  <c r="H111" i="4"/>
  <c r="H624" i="4"/>
  <c r="E40" i="12" s="1"/>
  <c r="H592" i="4"/>
  <c r="H236" i="4"/>
  <c r="H308" i="4"/>
  <c r="H11" i="4"/>
  <c r="H662" i="4"/>
  <c r="H663" i="4" s="1"/>
  <c r="H667" i="4"/>
  <c r="H657" i="4"/>
  <c r="H393" i="4"/>
  <c r="H217" i="4"/>
  <c r="H505" i="4" l="1"/>
  <c r="H604" i="4"/>
  <c r="H598" i="4"/>
  <c r="E16" i="12" s="1"/>
  <c r="H646" i="4"/>
  <c r="H150" i="4"/>
  <c r="H600" i="4"/>
  <c r="E18" i="12" s="1"/>
  <c r="H143" i="4"/>
  <c r="H645" i="4"/>
  <c r="E61" i="12" s="1"/>
  <c r="H593" i="4"/>
  <c r="E11" i="12" s="1"/>
  <c r="H637" i="4"/>
  <c r="E53" i="12" s="1"/>
  <c r="I104" i="4"/>
  <c r="H103" i="4"/>
  <c r="H621" i="4"/>
  <c r="E37" i="12" s="1"/>
  <c r="H235" i="4"/>
  <c r="H149" i="4"/>
  <c r="H619" i="4"/>
  <c r="E35" i="12" s="1"/>
  <c r="E10" i="12"/>
  <c r="H590" i="4"/>
  <c r="E24" i="12"/>
  <c r="H606" i="4"/>
  <c r="K104" i="4"/>
  <c r="I637" i="4"/>
  <c r="H618" i="4"/>
  <c r="H10" i="4"/>
  <c r="H677" i="4"/>
  <c r="E23" i="12" l="1"/>
  <c r="E34" i="12"/>
  <c r="H504" i="4"/>
  <c r="H601" i="4"/>
  <c r="E20" i="12"/>
  <c r="H110" i="4"/>
  <c r="H599" i="4"/>
  <c r="H644" i="4"/>
  <c r="H633" i="4"/>
  <c r="H9" i="4"/>
  <c r="H650" i="4"/>
  <c r="H587" i="4" l="1"/>
  <c r="H651" i="4"/>
  <c r="H589" i="4" l="1"/>
  <c r="H678" i="4"/>
  <c r="K407" i="4" l="1"/>
  <c r="K134" i="4"/>
  <c r="K30" i="4" l="1"/>
  <c r="K250" i="4"/>
  <c r="K381" i="4"/>
  <c r="G397" i="4"/>
  <c r="I397" i="4" s="1"/>
  <c r="K87" i="4"/>
  <c r="G93" i="4"/>
  <c r="I93" i="4" s="1"/>
  <c r="K93" i="4" s="1"/>
  <c r="K516" i="4" l="1"/>
  <c r="K123" i="4"/>
  <c r="K277" i="4"/>
  <c r="K252" i="4"/>
  <c r="K291" i="4"/>
  <c r="K21" i="4"/>
  <c r="K38" i="4"/>
  <c r="K23" i="4"/>
  <c r="K85" i="4"/>
  <c r="G95" i="4"/>
  <c r="K495" i="4"/>
  <c r="G494" i="4"/>
  <c r="I494" i="4" s="1"/>
  <c r="G405" i="4"/>
  <c r="G379" i="4"/>
  <c r="K373" i="4"/>
  <c r="G370" i="4"/>
  <c r="K332" i="4"/>
  <c r="G331" i="4"/>
  <c r="G396" i="4"/>
  <c r="G395" i="4" l="1"/>
  <c r="I396" i="4"/>
  <c r="G330" i="4"/>
  <c r="I330" i="4" s="1"/>
  <c r="I331" i="4"/>
  <c r="G369" i="4"/>
  <c r="I370" i="4"/>
  <c r="G378" i="4"/>
  <c r="I379" i="4"/>
  <c r="G404" i="4"/>
  <c r="I404" i="4" s="1"/>
  <c r="I405" i="4"/>
  <c r="G92" i="4"/>
  <c r="I92" i="4" s="1"/>
  <c r="I95" i="4"/>
  <c r="K380" i="4"/>
  <c r="K17" i="4"/>
  <c r="K96" i="4"/>
  <c r="G493" i="4"/>
  <c r="G656" i="4"/>
  <c r="G492" i="4" l="1"/>
  <c r="I493" i="4"/>
  <c r="G377" i="4"/>
  <c r="I378" i="4"/>
  <c r="G359" i="4"/>
  <c r="I369" i="4"/>
  <c r="G394" i="4"/>
  <c r="I395" i="4"/>
  <c r="K95" i="4"/>
  <c r="I656" i="4"/>
  <c r="G303" i="4"/>
  <c r="I303" i="4" s="1"/>
  <c r="G613" i="4" l="1"/>
  <c r="I394" i="4"/>
  <c r="I613" i="4" s="1"/>
  <c r="G611" i="4"/>
  <c r="I359" i="4"/>
  <c r="I611" i="4" s="1"/>
  <c r="I377" i="4"/>
  <c r="I666" i="4" s="1"/>
  <c r="G666" i="4"/>
  <c r="G491" i="4"/>
  <c r="I491" i="4" s="1"/>
  <c r="I492" i="4"/>
  <c r="K561" i="4"/>
  <c r="K92" i="4"/>
  <c r="I643" i="4"/>
  <c r="D32" i="12"/>
  <c r="F32" i="12" s="1"/>
  <c r="D33" i="12"/>
  <c r="F33" i="12" s="1"/>
  <c r="G300" i="4"/>
  <c r="G299" i="4" l="1"/>
  <c r="I299" i="4" s="1"/>
  <c r="I300" i="4"/>
  <c r="D65" i="12" l="1"/>
  <c r="F65" i="12" s="1"/>
  <c r="G16" i="4" l="1"/>
  <c r="I16" i="4" s="1"/>
  <c r="K16" i="4" s="1"/>
  <c r="G18" i="4"/>
  <c r="I18" i="4" s="1"/>
  <c r="K18" i="4" s="1"/>
  <c r="G20" i="4"/>
  <c r="I20" i="4" s="1"/>
  <c r="K20" i="4" s="1"/>
  <c r="G22" i="4"/>
  <c r="I22" i="4" s="1"/>
  <c r="K22" i="4" s="1"/>
  <c r="G29" i="4"/>
  <c r="I29" i="4" s="1"/>
  <c r="K29" i="4" s="1"/>
  <c r="G31" i="4"/>
  <c r="I31" i="4" s="1"/>
  <c r="K31" i="4" s="1"/>
  <c r="G33" i="4"/>
  <c r="I33" i="4" s="1"/>
  <c r="K33" i="4" s="1"/>
  <c r="G35" i="4"/>
  <c r="I35" i="4" s="1"/>
  <c r="K35" i="4" s="1"/>
  <c r="G37" i="4"/>
  <c r="I37" i="4" s="1"/>
  <c r="K37" i="4" s="1"/>
  <c r="G54" i="4"/>
  <c r="I54" i="4" s="1"/>
  <c r="K54" i="4" s="1"/>
  <c r="G56" i="4"/>
  <c r="I56" i="4" s="1"/>
  <c r="K56" i="4" s="1"/>
  <c r="G70" i="4"/>
  <c r="G78" i="4"/>
  <c r="G84" i="4"/>
  <c r="I84" i="4" s="1"/>
  <c r="K84" i="4" s="1"/>
  <c r="G86" i="4"/>
  <c r="I86" i="4" s="1"/>
  <c r="K86" i="4" s="1"/>
  <c r="G97" i="4"/>
  <c r="G115" i="4"/>
  <c r="G120" i="4"/>
  <c r="I120" i="4" s="1"/>
  <c r="G122" i="4"/>
  <c r="I122" i="4" s="1"/>
  <c r="G133" i="4"/>
  <c r="G147" i="4"/>
  <c r="I147" i="4" s="1"/>
  <c r="G154" i="4"/>
  <c r="G221" i="4"/>
  <c r="I221" i="4" s="1"/>
  <c r="G223" i="4"/>
  <c r="I223" i="4" s="1"/>
  <c r="G228" i="4"/>
  <c r="I228" i="4" s="1"/>
  <c r="G238" i="4"/>
  <c r="G241" i="4"/>
  <c r="I241" i="4" s="1"/>
  <c r="G244" i="4"/>
  <c r="G249" i="4"/>
  <c r="I249" i="4" s="1"/>
  <c r="G251" i="4"/>
  <c r="I251" i="4" s="1"/>
  <c r="G258" i="4"/>
  <c r="G267" i="4"/>
  <c r="G276" i="4"/>
  <c r="I276" i="4" s="1"/>
  <c r="G278" i="4"/>
  <c r="I278" i="4" s="1"/>
  <c r="G280" i="4"/>
  <c r="G286" i="4"/>
  <c r="G290" i="4"/>
  <c r="G295" i="4"/>
  <c r="I295" i="4" s="1"/>
  <c r="G297" i="4"/>
  <c r="I297" i="4" s="1"/>
  <c r="G326" i="4"/>
  <c r="G339" i="4"/>
  <c r="I339" i="4" s="1"/>
  <c r="G341" i="4"/>
  <c r="I341" i="4" s="1"/>
  <c r="G402" i="4"/>
  <c r="G634" i="4"/>
  <c r="G471" i="4"/>
  <c r="G477" i="4"/>
  <c r="G481" i="4"/>
  <c r="I481" i="4" s="1"/>
  <c r="G515" i="4"/>
  <c r="G554" i="4"/>
  <c r="G558" i="4"/>
  <c r="I558" i="4" s="1"/>
  <c r="G553" i="4" l="1"/>
  <c r="I554" i="4"/>
  <c r="G514" i="4"/>
  <c r="I514" i="4" s="1"/>
  <c r="I515" i="4"/>
  <c r="G474" i="4"/>
  <c r="I477" i="4"/>
  <c r="G470" i="4"/>
  <c r="I471" i="4"/>
  <c r="G401" i="4"/>
  <c r="I401" i="4" s="1"/>
  <c r="I402" i="4"/>
  <c r="G325" i="4"/>
  <c r="I325" i="4" s="1"/>
  <c r="I605" i="4" s="1"/>
  <c r="I326" i="4"/>
  <c r="I669" i="4" s="1"/>
  <c r="G285" i="4"/>
  <c r="I286" i="4"/>
  <c r="G596" i="4"/>
  <c r="I280" i="4"/>
  <c r="I596" i="4" s="1"/>
  <c r="G266" i="4"/>
  <c r="I267" i="4"/>
  <c r="G257" i="4"/>
  <c r="I258" i="4"/>
  <c r="G243" i="4"/>
  <c r="I243" i="4" s="1"/>
  <c r="I244" i="4"/>
  <c r="G237" i="4"/>
  <c r="I237" i="4" s="1"/>
  <c r="I591" i="4" s="1"/>
  <c r="I238" i="4"/>
  <c r="G153" i="4"/>
  <c r="I154" i="4"/>
  <c r="G132" i="4"/>
  <c r="I132" i="4" s="1"/>
  <c r="I133" i="4"/>
  <c r="G114" i="4"/>
  <c r="I115" i="4"/>
  <c r="G91" i="4"/>
  <c r="I97" i="4"/>
  <c r="K97" i="4" s="1"/>
  <c r="G77" i="4"/>
  <c r="I78" i="4"/>
  <c r="K78" i="4" s="1"/>
  <c r="G69" i="4"/>
  <c r="I69" i="4" s="1"/>
  <c r="K69" i="4" s="1"/>
  <c r="I70" i="4"/>
  <c r="K70" i="4" s="1"/>
  <c r="G289" i="4"/>
  <c r="I290" i="4"/>
  <c r="I91" i="4"/>
  <c r="G13" i="4"/>
  <c r="I13" i="4" s="1"/>
  <c r="K13" i="4" s="1"/>
  <c r="G28" i="4"/>
  <c r="I28" i="4" s="1"/>
  <c r="K28" i="4" s="1"/>
  <c r="G27" i="4"/>
  <c r="G480" i="4"/>
  <c r="G400" i="4"/>
  <c r="I400" i="4" s="1"/>
  <c r="G53" i="4"/>
  <c r="G413" i="4"/>
  <c r="G248" i="4"/>
  <c r="G227" i="4"/>
  <c r="G83" i="4"/>
  <c r="I83" i="4" s="1"/>
  <c r="K83" i="4" s="1"/>
  <c r="G131" i="4"/>
  <c r="G336" i="4"/>
  <c r="G311" i="4"/>
  <c r="G294" i="4"/>
  <c r="G220" i="4"/>
  <c r="I220" i="4" s="1"/>
  <c r="G119" i="4"/>
  <c r="I119" i="4" s="1"/>
  <c r="G68" i="4"/>
  <c r="I68" i="4" s="1"/>
  <c r="K68" i="4" s="1"/>
  <c r="G513" i="4"/>
  <c r="G146" i="4"/>
  <c r="I146" i="4" s="1"/>
  <c r="G127" i="4"/>
  <c r="I127" i="4" s="1"/>
  <c r="G262" i="4"/>
  <c r="G275" i="4"/>
  <c r="G274" i="4" l="1"/>
  <c r="I274" i="4" s="1"/>
  <c r="I275" i="4"/>
  <c r="G261" i="4"/>
  <c r="I262" i="4"/>
  <c r="G506" i="4"/>
  <c r="I513" i="4"/>
  <c r="G293" i="4"/>
  <c r="I293" i="4" s="1"/>
  <c r="I294" i="4"/>
  <c r="G310" i="4"/>
  <c r="I311" i="4"/>
  <c r="G335" i="4"/>
  <c r="I336" i="4"/>
  <c r="G597" i="4"/>
  <c r="I131" i="4"/>
  <c r="I597" i="4" s="1"/>
  <c r="G226" i="4"/>
  <c r="I226" i="4" s="1"/>
  <c r="I227" i="4"/>
  <c r="G247" i="4"/>
  <c r="I247" i="4" s="1"/>
  <c r="I653" i="4" s="1"/>
  <c r="I248" i="4"/>
  <c r="I413" i="4"/>
  <c r="G52" i="4"/>
  <c r="I53" i="4"/>
  <c r="K53" i="4" s="1"/>
  <c r="G479" i="4"/>
  <c r="I480" i="4"/>
  <c r="G26" i="4"/>
  <c r="I26" i="4" s="1"/>
  <c r="I27" i="4"/>
  <c r="K27" i="4" s="1"/>
  <c r="G76" i="4"/>
  <c r="I77" i="4"/>
  <c r="K77" i="4" s="1"/>
  <c r="G113" i="4"/>
  <c r="I114" i="4"/>
  <c r="I675" i="4"/>
  <c r="K675" i="4" s="1"/>
  <c r="G152" i="4"/>
  <c r="I153" i="4"/>
  <c r="G256" i="4"/>
  <c r="I256" i="4" s="1"/>
  <c r="I257" i="4"/>
  <c r="G265" i="4"/>
  <c r="I265" i="4" s="1"/>
  <c r="I266" i="4"/>
  <c r="G284" i="4"/>
  <c r="I285" i="4"/>
  <c r="G469" i="4"/>
  <c r="I469" i="4" s="1"/>
  <c r="I470" i="4"/>
  <c r="G473" i="4"/>
  <c r="I473" i="4" s="1"/>
  <c r="I474" i="4"/>
  <c r="G552" i="4"/>
  <c r="I553" i="4"/>
  <c r="G288" i="4"/>
  <c r="I289" i="4"/>
  <c r="K91" i="4"/>
  <c r="G675" i="4"/>
  <c r="G399" i="4"/>
  <c r="G468" i="4"/>
  <c r="G82" i="4"/>
  <c r="G67" i="4"/>
  <c r="G225" i="4"/>
  <c r="G118" i="4"/>
  <c r="I118" i="4" s="1"/>
  <c r="G620" i="4"/>
  <c r="G240" i="4"/>
  <c r="G653" i="4"/>
  <c r="G668" i="4"/>
  <c r="G605" i="4"/>
  <c r="G669" i="4"/>
  <c r="G334" i="4"/>
  <c r="I334" i="4" s="1"/>
  <c r="I608" i="4" s="1"/>
  <c r="E17" i="12"/>
  <c r="G12" i="4"/>
  <c r="G145" i="4"/>
  <c r="G219" i="4"/>
  <c r="E58" i="12"/>
  <c r="G218" i="4" l="1"/>
  <c r="I218" i="4" s="1"/>
  <c r="I647" i="4" s="1"/>
  <c r="I219" i="4"/>
  <c r="G144" i="4"/>
  <c r="I145" i="4"/>
  <c r="I12" i="4"/>
  <c r="I606" i="4"/>
  <c r="G592" i="4"/>
  <c r="I240" i="4"/>
  <c r="I592" i="4" s="1"/>
  <c r="G648" i="4"/>
  <c r="D64" i="12" s="1"/>
  <c r="F64" i="12" s="1"/>
  <c r="I225" i="4"/>
  <c r="I648" i="4" s="1"/>
  <c r="G623" i="4"/>
  <c r="I67" i="4"/>
  <c r="I82" i="4"/>
  <c r="K82" i="4" s="1"/>
  <c r="G636" i="4"/>
  <c r="I468" i="4"/>
  <c r="I636" i="4" s="1"/>
  <c r="G614" i="4"/>
  <c r="G612" i="4" s="1"/>
  <c r="I399" i="4"/>
  <c r="I614" i="4" s="1"/>
  <c r="I552" i="4"/>
  <c r="I658" i="4" s="1"/>
  <c r="G551" i="4"/>
  <c r="G658" i="4"/>
  <c r="I284" i="4"/>
  <c r="I655" i="4" s="1"/>
  <c r="G655" i="4"/>
  <c r="G151" i="4"/>
  <c r="I152" i="4"/>
  <c r="I113" i="4"/>
  <c r="I664" i="4" s="1"/>
  <c r="G112" i="4"/>
  <c r="I112" i="4" s="1"/>
  <c r="I76" i="4"/>
  <c r="G75" i="4"/>
  <c r="I75" i="4" s="1"/>
  <c r="J26" i="4"/>
  <c r="K26" i="4"/>
  <c r="I620" i="4"/>
  <c r="G661" i="4"/>
  <c r="I479" i="4"/>
  <c r="I661" i="4" s="1"/>
  <c r="G51" i="4"/>
  <c r="I52" i="4"/>
  <c r="K52" i="4" s="1"/>
  <c r="I670" i="4"/>
  <c r="G670" i="4"/>
  <c r="G654" i="4"/>
  <c r="I335" i="4"/>
  <c r="I654" i="4" s="1"/>
  <c r="G309" i="4"/>
  <c r="I310" i="4"/>
  <c r="I668" i="4" s="1"/>
  <c r="I671" i="4" s="1"/>
  <c r="K671" i="4" s="1"/>
  <c r="G505" i="4"/>
  <c r="I505" i="4" s="1"/>
  <c r="I506" i="4"/>
  <c r="G260" i="4"/>
  <c r="I261" i="4"/>
  <c r="I288" i="4"/>
  <c r="I660" i="4" s="1"/>
  <c r="G660" i="4"/>
  <c r="G283" i="4"/>
  <c r="G659" i="4"/>
  <c r="G664" i="4"/>
  <c r="G117" i="4"/>
  <c r="I117" i="4" s="1"/>
  <c r="I595" i="4" s="1"/>
  <c r="G608" i="4"/>
  <c r="G606" i="4" s="1"/>
  <c r="G333" i="4"/>
  <c r="I333" i="4" s="1"/>
  <c r="G657" i="4"/>
  <c r="G665" i="4"/>
  <c r="G671" i="4"/>
  <c r="G11" i="4"/>
  <c r="I11" i="4" s="1"/>
  <c r="G217" i="4"/>
  <c r="I217" i="4" s="1"/>
  <c r="I646" i="4" s="1"/>
  <c r="G647" i="4"/>
  <c r="G111" i="4"/>
  <c r="I111" i="4" s="1"/>
  <c r="G595" i="4"/>
  <c r="D52" i="12"/>
  <c r="F52" i="12" s="1"/>
  <c r="G308" i="4"/>
  <c r="I308" i="4" s="1"/>
  <c r="G591" i="4"/>
  <c r="E28" i="12"/>
  <c r="E41" i="12"/>
  <c r="E60" i="12"/>
  <c r="E19" i="12"/>
  <c r="E55" i="12"/>
  <c r="I619" i="4" l="1"/>
  <c r="K11" i="4"/>
  <c r="I260" i="4"/>
  <c r="G246" i="4"/>
  <c r="I309" i="4"/>
  <c r="I604" i="4" s="1"/>
  <c r="G604" i="4"/>
  <c r="G601" i="4" s="1"/>
  <c r="I51" i="4"/>
  <c r="G621" i="4"/>
  <c r="K75" i="4"/>
  <c r="I624" i="4"/>
  <c r="K76" i="4"/>
  <c r="I659" i="4"/>
  <c r="I663" i="4" s="1"/>
  <c r="G600" i="4"/>
  <c r="I151" i="4"/>
  <c r="I600" i="4" s="1"/>
  <c r="I657" i="4"/>
  <c r="I551" i="4"/>
  <c r="I627" i="4" s="1"/>
  <c r="G627" i="4"/>
  <c r="G625" i="4" s="1"/>
  <c r="I612" i="4"/>
  <c r="G624" i="4"/>
  <c r="I623" i="4"/>
  <c r="K67" i="4"/>
  <c r="K12" i="4"/>
  <c r="I662" i="4"/>
  <c r="G662" i="4"/>
  <c r="G663" i="4" s="1"/>
  <c r="I665" i="4"/>
  <c r="I667" i="4" s="1"/>
  <c r="K667" i="4" s="1"/>
  <c r="G645" i="4"/>
  <c r="I144" i="4"/>
  <c r="I645" i="4" s="1"/>
  <c r="I283" i="4"/>
  <c r="I598" i="4" s="1"/>
  <c r="G598" i="4"/>
  <c r="G667" i="4"/>
  <c r="G619" i="4"/>
  <c r="G618" i="4" s="1"/>
  <c r="D9" i="12"/>
  <c r="F9" i="12" s="1"/>
  <c r="G677" i="4"/>
  <c r="G10" i="4"/>
  <c r="I10" i="4" s="1"/>
  <c r="E62" i="12"/>
  <c r="G393" i="4"/>
  <c r="I393" i="4" s="1"/>
  <c r="D38" i="12"/>
  <c r="F38" i="12" s="1"/>
  <c r="D15" i="12"/>
  <c r="F15" i="12" s="1"/>
  <c r="E8" i="12"/>
  <c r="D14" i="12"/>
  <c r="F14" i="12" s="1"/>
  <c r="D29" i="12"/>
  <c r="F29" i="12" s="1"/>
  <c r="D50" i="12"/>
  <c r="F50" i="12" s="1"/>
  <c r="G530" i="4"/>
  <c r="I530" i="4" s="1"/>
  <c r="D36" i="12"/>
  <c r="F36" i="12" s="1"/>
  <c r="G103" i="4"/>
  <c r="I103" i="4" s="1"/>
  <c r="G637" i="4"/>
  <c r="G150" i="4"/>
  <c r="G490" i="4"/>
  <c r="I490" i="4" s="1"/>
  <c r="I642" i="4" s="1"/>
  <c r="G643" i="4"/>
  <c r="G568" i="4"/>
  <c r="I568" i="4" s="1"/>
  <c r="G462" i="4"/>
  <c r="I462" i="4" s="1"/>
  <c r="E49" i="12"/>
  <c r="K663" i="4" l="1"/>
  <c r="I677" i="4"/>
  <c r="G149" i="4"/>
  <c r="I149" i="4" s="1"/>
  <c r="I150" i="4"/>
  <c r="I599" i="4" s="1"/>
  <c r="K103" i="4"/>
  <c r="I633" i="4"/>
  <c r="I625" i="4"/>
  <c r="K51" i="4"/>
  <c r="I621" i="4"/>
  <c r="I601" i="4"/>
  <c r="G593" i="4"/>
  <c r="G590" i="4" s="1"/>
  <c r="I246" i="4"/>
  <c r="I593" i="4" s="1"/>
  <c r="G236" i="4"/>
  <c r="I236" i="4" s="1"/>
  <c r="I618" i="4"/>
  <c r="G633" i="4"/>
  <c r="E66" i="12"/>
  <c r="G9" i="4"/>
  <c r="I9" i="4" s="1"/>
  <c r="D30" i="12"/>
  <c r="F30" i="12" s="1"/>
  <c r="D24" i="12"/>
  <c r="F24" i="12" s="1"/>
  <c r="D59" i="12"/>
  <c r="D48" i="12"/>
  <c r="F48" i="12" s="1"/>
  <c r="D45" i="12"/>
  <c r="F45" i="12" s="1"/>
  <c r="D56" i="12"/>
  <c r="F56" i="12" s="1"/>
  <c r="D57" i="12"/>
  <c r="F57" i="12" s="1"/>
  <c r="D13" i="12"/>
  <c r="F13" i="12" s="1"/>
  <c r="D27" i="12"/>
  <c r="F27" i="12" s="1"/>
  <c r="D22" i="12"/>
  <c r="F22" i="12" s="1"/>
  <c r="D31" i="12"/>
  <c r="F31" i="12" s="1"/>
  <c r="D54" i="12"/>
  <c r="F54" i="12" s="1"/>
  <c r="D18" i="12"/>
  <c r="D53" i="12"/>
  <c r="F53" i="12" s="1"/>
  <c r="D39" i="12"/>
  <c r="F39" i="12" s="1"/>
  <c r="D20" i="12"/>
  <c r="D40" i="12"/>
  <c r="F40" i="12" s="1"/>
  <c r="D10" i="12"/>
  <c r="F10" i="12" s="1"/>
  <c r="G642" i="4"/>
  <c r="G498" i="4"/>
  <c r="G599" i="4"/>
  <c r="G143" i="4"/>
  <c r="D19" i="12" l="1"/>
  <c r="F19" i="12" s="1"/>
  <c r="F20" i="12"/>
  <c r="D17" i="12"/>
  <c r="F17" i="12" s="1"/>
  <c r="F18" i="12"/>
  <c r="D58" i="12"/>
  <c r="F58" i="12" s="1"/>
  <c r="F59" i="12"/>
  <c r="G110" i="4"/>
  <c r="I110" i="4" s="1"/>
  <c r="I143" i="4"/>
  <c r="G235" i="4"/>
  <c r="I235" i="4" s="1"/>
  <c r="J236" i="4" s="1"/>
  <c r="I498" i="4"/>
  <c r="I590" i="4"/>
  <c r="J10" i="4"/>
  <c r="K10" i="4" s="1"/>
  <c r="K9" i="4"/>
  <c r="F23" i="12"/>
  <c r="D49" i="12"/>
  <c r="F49" i="12" s="1"/>
  <c r="D28" i="12"/>
  <c r="F28" i="12" s="1"/>
  <c r="D42" i="12"/>
  <c r="F42" i="12" s="1"/>
  <c r="D61" i="12"/>
  <c r="D11" i="12"/>
  <c r="F11" i="12" s="1"/>
  <c r="D55" i="12"/>
  <c r="F55" i="12" s="1"/>
  <c r="D44" i="12"/>
  <c r="F44" i="12" s="1"/>
  <c r="D35" i="12"/>
  <c r="F35" i="12" s="1"/>
  <c r="D43" i="12"/>
  <c r="F43" i="12" s="1"/>
  <c r="D63" i="12"/>
  <c r="F63" i="12" s="1"/>
  <c r="D37" i="12"/>
  <c r="F37" i="12" s="1"/>
  <c r="G644" i="4"/>
  <c r="G646" i="4"/>
  <c r="G504" i="4"/>
  <c r="D60" i="12" l="1"/>
  <c r="F60" i="12" s="1"/>
  <c r="F61" i="12"/>
  <c r="I644" i="4"/>
  <c r="I650" i="4" s="1"/>
  <c r="J111" i="4"/>
  <c r="K110" i="4"/>
  <c r="G587" i="4"/>
  <c r="I587" i="4" s="1"/>
  <c r="I504" i="4"/>
  <c r="J505" i="4" s="1"/>
  <c r="J587" i="4"/>
  <c r="I589" i="4"/>
  <c r="I678" i="4"/>
  <c r="G650" i="4"/>
  <c r="D62" i="12"/>
  <c r="F62" i="12" s="1"/>
  <c r="D34" i="12"/>
  <c r="F34" i="12" s="1"/>
  <c r="D16" i="12"/>
  <c r="D41" i="12"/>
  <c r="F41" i="12" s="1"/>
  <c r="D8" i="12" l="1"/>
  <c r="F8" i="12" s="1"/>
  <c r="F16" i="12"/>
  <c r="I651" i="4"/>
  <c r="D66" i="12"/>
  <c r="F66" i="12" s="1"/>
  <c r="G678" i="4"/>
  <c r="G589" i="4" l="1"/>
  <c r="G651" i="4"/>
</calcChain>
</file>

<file path=xl/sharedStrings.xml><?xml version="1.0" encoding="utf-8"?>
<sst xmlns="http://schemas.openxmlformats.org/spreadsheetml/2006/main" count="3807" uniqueCount="986">
  <si>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</si>
  <si>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</si>
  <si>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</si>
  <si>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</si>
  <si>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</si>
  <si>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</si>
  <si>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</si>
  <si>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</si>
  <si>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</si>
  <si>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</si>
  <si>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</si>
  <si>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</si>
  <si>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</si>
  <si>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</si>
  <si>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</si>
  <si>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</si>
  <si>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</si>
  <si>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</si>
  <si>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</si>
  <si>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</si>
  <si>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</si>
  <si>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</si>
  <si>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</si>
  <si>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</si>
  <si>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</si>
  <si>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</si>
  <si>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</si>
  <si>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</si>
  <si>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</si>
  <si>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</si>
  <si>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</si>
  <si>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</si>
  <si>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</si>
  <si>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</si>
  <si>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</si>
  <si>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</si>
  <si>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</si>
  <si>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</si>
  <si>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</si>
  <si>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</si>
  <si>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</si>
  <si>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</si>
  <si>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</si>
  <si>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</si>
  <si>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</si>
  <si>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</si>
  <si>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</si>
  <si>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</si>
  <si>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</si>
  <si>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</si>
  <si>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</si>
  <si>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</si>
  <si>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</si>
  <si>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</si>
  <si>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</si>
  <si>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</si>
  <si>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</si>
  <si>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</si>
  <si>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</si>
  <si>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</si>
  <si>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</si>
  <si>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</si>
  <si>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</si>
  <si>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</si>
  <si>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</si>
  <si>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</si>
  <si>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</si>
  <si>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</si>
  <si>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</si>
  <si>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</si>
  <si>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</si>
  <si>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</si>
  <si>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</si>
  <si>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</si>
  <si>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</si>
  <si>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</si>
  <si>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</si>
  <si>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</si>
  <si>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</si>
  <si>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</si>
  <si>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</si>
  <si>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</si>
  <si>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</si>
  <si>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</si>
  <si>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</si>
  <si>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</si>
  <si>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</si>
  <si>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</si>
  <si>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</si>
  <si>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</si>
  <si>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</si>
  <si>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</si>
  <si>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</si>
  <si>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</si>
  <si>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</si>
  <si>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</si>
  <si>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</si>
  <si>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</si>
  <si>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</si>
  <si>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</si>
  <si>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</si>
  <si>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</si>
  <si>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0230144300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</si>
  <si>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</si>
  <si>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</si>
  <si>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</si>
  <si>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</si>
  <si>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</si>
  <si>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</si>
  <si>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</si>
  <si>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</si>
  <si>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</si>
  <si>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</si>
  <si>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</si>
  <si>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</si>
  <si>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</si>
  <si>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</si>
  <si>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</si>
  <si>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</si>
  <si>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</si>
  <si>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</si>
  <si>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</si>
  <si>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</si>
  <si>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</si>
  <si>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</si>
  <si>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</si>
  <si>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</si>
  <si>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</si>
  <si>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</si>
  <si>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</si>
  <si>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</si>
  <si>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</si>
  <si>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</si>
  <si>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</si>
  <si>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</si>
  <si>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</si>
  <si>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</si>
  <si>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</si>
  <si>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</si>
  <si>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</si>
  <si>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</si>
  <si>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</si>
  <si>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</si>
  <si>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</si>
  <si>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</si>
  <si>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</si>
  <si>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</si>
  <si>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</si>
  <si>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</si>
  <si>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</si>
  <si>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</si>
  <si>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</si>
  <si>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</si>
  <si>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</si>
  <si>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</si>
  <si>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</si>
  <si>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</si>
  <si>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</si>
  <si>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</si>
  <si>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</si>
  <si>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</si>
  <si>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</si>
  <si>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</si>
  <si>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</si>
  <si>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</si>
  <si>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</si>
  <si>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</si>
  <si>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</si>
  <si>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</si>
  <si>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</si>
  <si>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</si>
  <si>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</si>
  <si>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</si>
  <si>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</si>
  <si>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</si>
  <si>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</si>
  <si>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</si>
  <si>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</si>
  <si>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</si>
  <si>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</si>
  <si>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</si>
  <si>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</si>
  <si>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</si>
  <si>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</si>
  <si>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</si>
  <si>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</si>
  <si>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</si>
  <si>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</si>
  <si>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</si>
  <si>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</si>
  <si>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</si>
  <si>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</si>
  <si>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</si>
  <si>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</si>
  <si>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</si>
  <si>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</si>
  <si>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</si>
  <si>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</si>
  <si>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</si>
  <si>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</si>
  <si>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</si>
  <si>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</si>
  <si>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</si>
  <si>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</si>
  <si>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</si>
  <si>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</si>
  <si>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</si>
  <si>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</si>
  <si>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</si>
  <si>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</si>
  <si>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</si>
  <si>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</si>
  <si>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</si>
  <si>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</si>
  <si>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</si>
  <si>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</si>
  <si>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</si>
  <si>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</si>
  <si>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</si>
  <si>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</si>
  <si>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</si>
  <si>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</si>
  <si>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</si>
  <si>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</si>
  <si>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</si>
  <si>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</si>
  <si>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</si>
  <si>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</si>
  <si>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</si>
  <si>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</si>
  <si>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</si>
  <si>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</si>
  <si>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</si>
  <si>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</si>
  <si>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</si>
  <si>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</si>
  <si>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</si>
  <si>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</si>
  <si>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</si>
  <si>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</si>
  <si>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</si>
  <si>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</si>
  <si>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</si>
  <si>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</si>
  <si>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</si>
  <si>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</si>
  <si>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</si>
  <si>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</si>
  <si>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</si>
  <si>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</si>
  <si>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</si>
  <si>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</si>
  <si>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</si>
  <si>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</si>
  <si>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</si>
  <si>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</si>
  <si>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</si>
  <si>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</si>
  <si>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</si>
  <si>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</si>
  <si>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</si>
  <si>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</si>
  <si>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</si>
  <si>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</si>
  <si>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</si>
  <si>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</si>
  <si>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</si>
  <si>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</si>
  <si>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</si>
  <si>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</si>
  <si>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</si>
  <si>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</si>
  <si>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</si>
  <si>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</si>
  <si>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</si>
  <si>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</si>
  <si>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>Основное мероприятие Развитие библиотечного обслуживания в муниципальном образовании"Онгудайский район"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</si>
  <si>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</si>
  <si>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</si>
  <si>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</si>
  <si>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</si>
  <si>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</si>
  <si>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</si>
  <si>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</si>
  <si>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</si>
  <si>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</si>
  <si>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</si>
  <si>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</si>
  <si>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</si>
  <si>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</si>
  <si>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</si>
  <si>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</si>
  <si>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</si>
  <si>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</si>
  <si>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</si>
  <si>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</si>
  <si>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</si>
  <si>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</si>
  <si>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Основное мероприятие «Организация отдыха, оздоровления детей»</t>
  </si>
  <si>
    <t>0230500000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</si>
  <si>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</si>
  <si>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</si>
  <si>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</si>
  <si>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</si>
  <si>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</si>
  <si>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</si>
  <si>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</si>
  <si>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</si>
  <si>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</si>
  <si>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</si>
  <si>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</si>
  <si>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</si>
  <si>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</si>
  <si>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</si>
  <si>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</si>
  <si>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</si>
  <si>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</si>
  <si>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</si>
  <si>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</si>
  <si>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</si>
  <si>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</si>
  <si>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</si>
  <si>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</si>
  <si>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</si>
  <si>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</si>
  <si>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</si>
  <si>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</si>
  <si>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</si>
  <si>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</si>
  <si>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</si>
  <si>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</si>
  <si>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</si>
  <si>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</si>
  <si>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</si>
  <si>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</si>
  <si>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</si>
  <si>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</si>
  <si>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</si>
  <si>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</si>
  <si>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</si>
  <si>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</si>
  <si>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</si>
  <si>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</si>
  <si>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</si>
  <si>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</si>
  <si>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</si>
  <si>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</si>
  <si>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</si>
  <si>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</si>
  <si>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</si>
  <si>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</si>
  <si>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</si>
  <si>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</si>
  <si>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</si>
  <si>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</si>
  <si>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</si>
  <si>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</si>
  <si>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</si>
  <si>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</si>
  <si>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</si>
  <si>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</si>
  <si>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</si>
  <si>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</si>
  <si>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</si>
  <si>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</si>
  <si>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</si>
  <si>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</si>
  <si>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</si>
  <si>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</si>
  <si>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</si>
  <si>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</si>
  <si>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</si>
  <si>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</si>
  <si>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</si>
  <si>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</si>
  <si>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</si>
  <si>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</si>
  <si>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</si>
  <si>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</si>
  <si>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</si>
  <si>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</si>
  <si>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</si>
  <si>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</si>
  <si>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</si>
  <si>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</si>
  <si>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</si>
  <si>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</si>
  <si>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</si>
  <si>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</si>
  <si>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</si>
  <si>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</si>
  <si>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</si>
  <si>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</si>
  <si>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</si>
  <si>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</si>
  <si>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</si>
  <si>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</si>
  <si>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</si>
  <si>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</si>
  <si>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</si>
  <si>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</si>
  <si>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</si>
  <si>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</si>
  <si>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</si>
  <si>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</si>
  <si>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</si>
  <si>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</si>
  <si>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</si>
  <si>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</si>
  <si>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</si>
  <si>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</si>
  <si>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</si>
  <si>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</si>
  <si>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</si>
  <si>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</si>
  <si>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</si>
  <si>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</si>
  <si>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>УУР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</si>
  <si>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</si>
  <si>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</si>
  <si>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</si>
  <si>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</si>
  <si>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</si>
  <si>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</si>
  <si>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</si>
  <si>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</si>
  <si>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</si>
  <si>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</si>
  <si>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</si>
  <si>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</si>
  <si>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</si>
  <si>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</si>
  <si>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</si>
  <si>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</si>
  <si>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</si>
  <si>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</si>
  <si>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</si>
  <si>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</si>
  <si>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</si>
  <si>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</si>
  <si>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990000П000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</si>
  <si>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</si>
  <si>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</si>
  <si>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</si>
  <si>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</si>
  <si>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</si>
  <si>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</si>
  <si>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02107L0200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</si>
  <si>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</si>
  <si>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</si>
  <si>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</si>
  <si>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</si>
  <si>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</si>
  <si>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</si>
  <si>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</si>
  <si>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</si>
  <si>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</si>
  <si>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</si>
  <si>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</si>
  <si>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</si>
  <si>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</si>
  <si>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</si>
  <si>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</si>
  <si>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</si>
  <si>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</si>
  <si>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</si>
  <si>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</si>
  <si>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</si>
  <si>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</si>
  <si>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</si>
  <si>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</si>
  <si>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</si>
  <si>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</si>
  <si>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</si>
  <si>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</si>
  <si>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</si>
  <si>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</si>
  <si>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</si>
  <si>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</si>
  <si>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</si>
  <si>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</si>
  <si>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</si>
  <si>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</si>
  <si>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</si>
  <si>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</si>
  <si>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</si>
  <si>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</si>
  <si>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</si>
  <si>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</si>
  <si>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</si>
  <si>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</si>
  <si>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</si>
  <si>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</si>
  <si>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</si>
  <si>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</si>
  <si>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</si>
  <si>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</si>
  <si>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</si>
  <si>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</si>
  <si>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</si>
  <si>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</si>
  <si>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</si>
  <si>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</si>
  <si>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</si>
  <si>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</si>
  <si>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</si>
  <si>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</si>
  <si>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</si>
  <si>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</si>
  <si>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</si>
  <si>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</si>
  <si>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</si>
  <si>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>Подготовка к отопительному периоду объектов теплоснабжения</t>
  </si>
  <si>
    <t>0420230000</t>
  </si>
  <si>
    <t>02301S48П0</t>
  </si>
  <si>
    <t>Капитальные вложения в объекты муниципальной собственности в части содействия созданию в Республике Алтай новых мест в общеобразовательных учреждениях</t>
  </si>
  <si>
    <t>0210140000</t>
  </si>
  <si>
    <t>0220151760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</si>
  <si>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</si>
  <si>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02101L666R</t>
  </si>
  <si>
    <t>04209S8000</t>
  </si>
  <si>
    <t>Софинансироваие  мероприятий по внесению изменений в документы территориального планирования муниципальных образований в Республике Алтай</t>
  </si>
  <si>
    <t>9900000900</t>
  </si>
  <si>
    <t>02101S5000</t>
  </si>
  <si>
    <t>Субсидии на поддержку и развитие сферы культуры</t>
  </si>
  <si>
    <t>0420310000</t>
  </si>
  <si>
    <t>04203L3900</t>
  </si>
  <si>
    <t>04203S22Д0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</si>
  <si>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</si>
  <si>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0230220000</t>
  </si>
  <si>
    <t>Обеспечениедорожной деятельности</t>
  </si>
  <si>
    <t xml:space="preserve">Проведение  капитального ремонта и ремонта автомобильных дорог </t>
  </si>
  <si>
    <t xml:space="preserve">Финансовое обеспечение  дорожной деятельности </t>
  </si>
  <si>
    <t xml:space="preserve">  Обеспечение доступности объектами культуры и спорта 
</t>
  </si>
  <si>
    <t>Расходы по уплате иных платежей, штрафов ( в т.ч. Административных)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</si>
  <si>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</si>
  <si>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99000SШ100</t>
  </si>
  <si>
    <t>% исполнения</t>
  </si>
  <si>
    <t>Кассовое исполнение</t>
  </si>
  <si>
    <t xml:space="preserve">Уточненный план </t>
  </si>
  <si>
    <t>Приложение 4</t>
  </si>
  <si>
    <t>Приложение 3</t>
  </si>
  <si>
    <t xml:space="preserve">Исполнение </t>
  </si>
  <si>
    <t>бюджетных ассигнований по разделам и подразделам   классификации расходов  бюджета муниципального образования  "Онгудайский район" за 2018 год</t>
  </si>
  <si>
    <t>Исполнение по ведомственной структуре  расходов бюджета муниципального образования "Онгудайский район"                       за 2018 год</t>
  </si>
  <si>
    <t xml:space="preserve">Утвержденный план </t>
  </si>
  <si>
    <t>Исполнено</t>
  </si>
  <si>
    <t>Процент исполнения</t>
  </si>
  <si>
    <t>09201 05 02 01 05 0000 610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</si>
  <si>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</si>
  <si>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</si>
  <si>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</si>
  <si>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</si>
  <si>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</si>
  <si>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</si>
  <si>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</si>
  <si>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</si>
  <si>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</si>
  <si>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</si>
  <si>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</si>
  <si>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</si>
  <si>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</si>
  <si>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</si>
  <si>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</si>
  <si>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</si>
  <si>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</si>
  <si>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</si>
  <si>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</si>
  <si>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</si>
  <si>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</si>
  <si>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</si>
  <si>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</si>
  <si>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</si>
  <si>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092 01 02 00 00 05 0000 810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</si>
  <si>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</si>
  <si>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092 01 02 00 00 00 0000 800</t>
  </si>
  <si>
    <t>Погашение кредитов, предоставленных кредитными организациями в валюте Российской Федерации</t>
  </si>
  <si>
    <t>092 01 02 00 00 05 0000 710</t>
  </si>
  <si>
    <t>Получение кредитов  от кредитных организаций бюджетами  муниципальных районов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</si>
  <si>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</si>
  <si>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</si>
  <si>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</si>
  <si>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</si>
  <si>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092 01 0200 00 05 0000 810</t>
  </si>
  <si>
    <t>Погашение бюджетами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</si>
  <si>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</si>
  <si>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092 01 02 00 00 00 0000 700</t>
  </si>
  <si>
    <t>092 01 02 00 00 00 0000 000</t>
  </si>
  <si>
    <t>Источники внутреннего финансирования дефицита бюджета:</t>
  </si>
  <si>
    <t>Дефицит  (-), профицит(+ ) бюджета</t>
  </si>
  <si>
    <t>Утвержденный план</t>
  </si>
  <si>
    <t>Код бюджетной классификации</t>
  </si>
  <si>
    <t>Наименование источника</t>
  </si>
  <si>
    <t>тыс.руб</t>
  </si>
  <si>
    <t>источников финансирования дефицита бюджета муниципального образования "Онгудайский район"                                                                                         за  2018 год</t>
  </si>
  <si>
    <t>ИСПОЛНЕНИЕ</t>
  </si>
  <si>
    <t>Приложение 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</si>
  <si>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</si>
  <si>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092  2  19  60010  05  0000  151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</si>
  <si>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</si>
  <si>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</si>
  <si>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</si>
  <si>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000  2  18  60010  05  0000  151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</si>
  <si>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</si>
  <si>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</si>
  <si>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муниципальных районов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</si>
  <si>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</si>
  <si>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</si>
  <si>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</si>
  <si>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</si>
  <si>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</si>
  <si>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Прочие межбюджетные трансферты, передаваемые бюджетам муниципальных районов</t>
  </si>
  <si>
    <t>092  2  02  49999  05  0000  151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</si>
  <si>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</si>
  <si>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092  2  02  49000  05  0000  151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</si>
  <si>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</si>
  <si>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</si>
  <si>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</si>
  <si>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</si>
  <si>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Иные межбюджетные трансферты</t>
  </si>
  <si>
    <t>000  2  02  40000  00  0000  151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</si>
  <si>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</si>
  <si>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092  2  02 35176  05  0000  151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</si>
  <si>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</si>
  <si>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000  2  02 35176  00  0000  151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</si>
  <si>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</si>
  <si>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092  2  02 35135  05  0000  151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</si>
  <si>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</si>
  <si>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000  2  02 35135  00  0000  151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</si>
  <si>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</si>
  <si>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</si>
  <si>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</si>
  <si>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000  2  02 35120  00  0000  151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</si>
  <si>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</si>
  <si>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</si>
  <si>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</si>
  <si>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</si>
  <si>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</si>
  <si>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092  2  02  30029  05  0000  151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</si>
  <si>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</si>
  <si>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000  2  02  30029  00  0000  151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</si>
  <si>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</si>
  <si>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</si>
  <si>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</si>
  <si>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</si>
  <si>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</si>
  <si>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(2942)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</si>
  <si>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</si>
  <si>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</si>
  <si>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</si>
  <si>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</si>
  <si>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</si>
  <si>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</si>
  <si>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</si>
  <si>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</si>
  <si>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</si>
  <si>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</si>
  <si>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</si>
  <si>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</si>
  <si>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</si>
  <si>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</si>
  <si>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</si>
  <si>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</si>
  <si>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</si>
  <si>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</si>
  <si>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</si>
  <si>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</si>
  <si>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</si>
  <si>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</si>
  <si>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</si>
  <si>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</si>
  <si>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</si>
  <si>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</si>
  <si>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</si>
  <si>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</si>
  <si>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</si>
  <si>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</si>
  <si>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</si>
  <si>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</si>
  <si>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</si>
  <si>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</si>
  <si>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</si>
  <si>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</si>
  <si>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</si>
  <si>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</si>
  <si>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</si>
  <si>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</si>
  <si>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</si>
  <si>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</si>
  <si>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</si>
  <si>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</si>
  <si>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</si>
  <si>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</si>
  <si>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</si>
  <si>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</si>
  <si>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</si>
  <si>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</si>
  <si>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</si>
  <si>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</si>
  <si>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000  2  02  30000  00  0000  151</t>
  </si>
  <si>
    <t>Иные межбюджетные трансфертына финансовое обеспечение дорожной деятельности (Иные межбюджетные трансферты, предоставляемые на достижение целевых показателей региональных программ в сфере дорожного хозяйства, предусматривающих 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 (Т2)</t>
  </si>
  <si>
    <t>18-А37-000Т2</t>
  </si>
  <si>
    <t xml:space="preserve">Субсидии бюджетам на капитальный ремонти ремонт автомобильных дорог общего пользования местного значения и искусственных сооружений на них в рамках подпрограммы "Развитие транспортного комплекса"  государственной программы Республики Алтай </t>
  </si>
  <si>
    <t>(2919)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</si>
  <si>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"Развитие общего образования" государственной программы Республики Алтай "Развитие жилищно-коммунального и транспортного комплекса</t>
  </si>
  <si>
    <t>(2930)</t>
  </si>
  <si>
    <t>Субсидии бюджетам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</t>
  </si>
  <si>
    <t>(2929)</t>
  </si>
  <si>
    <t>Субсидии на выполнение работ по благоустройству территорий в рамках реализации проекта "Инициативы граждан"</t>
  </si>
  <si>
    <t>(2927)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</si>
  <si>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</si>
  <si>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(2922)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</si>
  <si>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</si>
  <si>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 xml:space="preserve">(2921)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</si>
  <si>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</si>
  <si>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(2994)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</si>
  <si>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</si>
  <si>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</si>
  <si>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</si>
  <si>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</si>
  <si>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(2926)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</si>
  <si>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</si>
  <si>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(2966)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</si>
  <si>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</si>
  <si>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</si>
  <si>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(2981)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</si>
  <si>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</si>
  <si>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(2938)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</si>
  <si>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</si>
  <si>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</si>
  <si>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,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</si>
  <si>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</si>
  <si>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(2904)</t>
  </si>
  <si>
    <t>Прочие субсидии бюджетам муниципальных районов</t>
  </si>
  <si>
    <t>092  2  02  29999  05  0000  151</t>
  </si>
  <si>
    <t>Прочие субсидии</t>
  </si>
  <si>
    <t>000  2  02  29999  00  0000  151</t>
  </si>
  <si>
    <t>Субсидии бюджетам  на реализацию мероприятий по устойчивому развитию сельских территорий</t>
  </si>
  <si>
    <t>092  2  02  25567  05  0000  151</t>
  </si>
  <si>
    <t>Субсидии бюджетам муниципальных районов на реализацию мероприятий по устойчивому развитию сельских территорий</t>
  </si>
  <si>
    <t>000  2  02  25567  00  0000  151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</si>
  <si>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</si>
  <si>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092  2  02  25519  05  0000  151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</si>
  <si>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</si>
  <si>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000  2  02  25519  00  0000  151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</si>
  <si>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</si>
  <si>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</si>
  <si>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</si>
  <si>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000  2  02  25467  00  0000  151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</si>
  <si>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</si>
  <si>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</si>
  <si>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</si>
  <si>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000  2  02  25097  00  0000  151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</si>
  <si>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</si>
  <si>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092  2  02  20077  05  0000  151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</si>
  <si>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</si>
  <si>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000  2  02  20077  00  0000  151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</si>
  <si>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</si>
  <si>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бюджетам муниципальных районов на реализацию федеральных целевых программ</t>
  </si>
  <si>
    <t>092    2  02  20051  05  0000  151</t>
  </si>
  <si>
    <t>Субсидии бюджетам на реализацию федеральных целевых программ</t>
  </si>
  <si>
    <t>000  2  02  20051  00  0000  151</t>
  </si>
  <si>
    <t>Субсидии бюджетам субъектов Российской Федерации и муниципальных образований (межбюджетные субсидии)</t>
  </si>
  <si>
    <t>000  2  02  20000  00  0000  151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</si>
  <si>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</si>
  <si>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</si>
  <si>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</si>
  <si>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</si>
  <si>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</si>
  <si>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092  2  02  15002  05  0000  151</t>
  </si>
  <si>
    <t>Дотации бюджетам на поддержку мер по обеспечению сбалансированности бюджетов</t>
  </si>
  <si>
    <t>000  2  02  15002  00  0000  151</t>
  </si>
  <si>
    <t>Дотации бюджетам муниципальных районов на выравнивание бюджетной обеспеченности</t>
  </si>
  <si>
    <t>092  2  02  15001  05  0000  151</t>
  </si>
  <si>
    <t>Дотации на выравнивание бюджетной обеспеченности</t>
  </si>
  <si>
    <t>000  2  02  15001  00  0000  151</t>
  </si>
  <si>
    <t>Дотации бюджетам субъектов Российской Федерации и муниципальных образований</t>
  </si>
  <si>
    <t>000  2  02  10000  00  0000  151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</si>
  <si>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</si>
  <si>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</si>
  <si>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</si>
  <si>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</si>
  <si>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</si>
  <si>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</si>
  <si>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Невыясненные поступления</t>
  </si>
  <si>
    <t>092  1  17  01050  05  0000  180</t>
  </si>
  <si>
    <t>ПРОЧИЕ НЕНАЛОГВЫЕ ДОХОДЫ</t>
  </si>
  <si>
    <t>000  1  17  05000  00  0000  180</t>
  </si>
  <si>
    <t>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</si>
  <si>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</si>
  <si>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</si>
  <si>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</si>
  <si>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</si>
  <si>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</si>
  <si>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</si>
  <si>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</si>
  <si>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000  1  16  33050  05  0000  140</t>
  </si>
  <si>
    <t>Прочие денежные взыскания (штрафы) за правонарушения в области дорожного движения</t>
  </si>
  <si>
    <t>000  1  16  30030  01  0000  140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</si>
  <si>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</si>
  <si>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</si>
  <si>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</si>
  <si>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000  1 16  25060  01  0000  140</t>
  </si>
  <si>
    <t>Денежные взыскания (штрафы) за нарушение законодательства в области охраны окружающей среды</t>
  </si>
  <si>
    <t>000  1 16  25050  01  0000  140</t>
  </si>
  <si>
    <t>Денежные взыскания (штрафы) за нарушение законодательства Российской Федерации о недрах</t>
  </si>
  <si>
    <t>000  1 16  25010  01  0000  140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</si>
  <si>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</si>
  <si>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</si>
  <si>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</si>
  <si>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</si>
  <si>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</si>
  <si>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</si>
  <si>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</si>
  <si>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000  1  16  08000  00  0000  140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</si>
  <si>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</si>
  <si>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</si>
  <si>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</si>
  <si>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</si>
  <si>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</si>
  <si>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</si>
  <si>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</si>
  <si>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</si>
  <si>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</si>
  <si>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</si>
  <si>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</si>
  <si>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</si>
  <si>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</si>
  <si>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</si>
  <si>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</si>
  <si>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</si>
  <si>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</si>
  <si>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</si>
  <si>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</si>
  <si>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</si>
  <si>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</si>
  <si>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</si>
  <si>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</si>
  <si>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</si>
  <si>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</si>
  <si>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</si>
  <si>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</si>
  <si>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</si>
  <si>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</si>
  <si>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</si>
  <si>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</si>
  <si>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</si>
  <si>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</si>
  <si>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</si>
  <si>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компенсации затрат бюджетов муниципальных районов</t>
  </si>
  <si>
    <t>000  1  13  02995  05  0000  130</t>
  </si>
  <si>
    <t>Прочие доходы от компенсации затрат государств</t>
  </si>
  <si>
    <t>000  1  13  02995  00  0000  130</t>
  </si>
  <si>
    <t>Прочие доходы от оказания платных услуг (работ) получателями средств  бюджетов муниципальных районов</t>
  </si>
  <si>
    <t>000  1  13  01995  00  0000  130</t>
  </si>
  <si>
    <t>Прочие доходы от оказания платных услуг (работ) получателями средств бюджетов муниципальных районов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</si>
  <si>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</si>
  <si>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</si>
  <si>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</si>
  <si>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000 1  13  02995  05  0000  130</t>
  </si>
  <si>
    <t>Прочие доходы от компенсации затрат бюджетов</t>
  </si>
  <si>
    <t>000 1  13  02995  00  0000  130</t>
  </si>
  <si>
    <t>800 1  13  01995  05  0000  130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</si>
  <si>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</si>
  <si>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</si>
  <si>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</si>
  <si>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</si>
  <si>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</si>
  <si>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</si>
  <si>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</si>
  <si>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</si>
  <si>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</si>
  <si>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</si>
  <si>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</si>
  <si>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</si>
  <si>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</si>
  <si>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</si>
  <si>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</si>
  <si>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</si>
  <si>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</si>
  <si>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</si>
  <si>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</si>
  <si>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</si>
  <si>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</si>
  <si>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</si>
  <si>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</si>
  <si>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</si>
  <si>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</si>
  <si>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</si>
  <si>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</si>
  <si>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</si>
  <si>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</si>
  <si>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</si>
  <si>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</si>
  <si>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</si>
  <si>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</si>
  <si>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</si>
  <si>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</si>
  <si>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</si>
  <si>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</si>
  <si>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</si>
  <si>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</si>
  <si>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</si>
  <si>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</si>
  <si>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</si>
  <si>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</si>
  <si>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</si>
  <si>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</si>
  <si>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</si>
  <si>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</si>
  <si>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</si>
  <si>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</si>
  <si>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</si>
  <si>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</si>
  <si>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</si>
  <si>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</si>
  <si>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</si>
  <si>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</si>
  <si>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</si>
  <si>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</si>
  <si>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</si>
  <si>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</si>
  <si>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</si>
  <si>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</si>
  <si>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</si>
  <si>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</si>
  <si>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</si>
  <si>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</si>
  <si>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</si>
  <si>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</si>
  <si>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</si>
  <si>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</si>
  <si>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</si>
  <si>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</si>
  <si>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</si>
  <si>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</si>
  <si>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182 1  05  01022  01  0000  110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</si>
  <si>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</si>
  <si>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</si>
  <si>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</si>
  <si>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</si>
  <si>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</si>
  <si>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182  1  05  01012  01  0000  110</t>
  </si>
  <si>
    <t>182  1  05  01011  01  0000  110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</si>
  <si>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</si>
  <si>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</si>
  <si>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</si>
  <si>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</si>
  <si>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</si>
  <si>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</si>
  <si>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</si>
  <si>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</si>
  <si>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</si>
  <si>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</si>
  <si>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</si>
  <si>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</si>
  <si>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</si>
  <si>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000 1  03  02230  01 0000 110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</si>
  <si>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</si>
  <si>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</si>
  <si>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</si>
  <si>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</si>
  <si>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</si>
  <si>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</si>
  <si>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</si>
  <si>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</si>
  <si>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</si>
  <si>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</si>
  <si>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</si>
  <si>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</si>
  <si>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</si>
  <si>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</si>
  <si>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</si>
  <si>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</si>
  <si>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</si>
  <si>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</si>
  <si>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</si>
  <si>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</si>
  <si>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</si>
  <si>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Исполнено </t>
  </si>
  <si>
    <t>тыс.руб.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</si>
  <si>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 2018 год</t>
  </si>
  <si>
    <t>Приложение 2</t>
  </si>
  <si>
    <t>к  решению "Об  исполнении бюджета муниципального образования "Онгудайский район" за 2018год"</t>
  </si>
  <si>
    <t xml:space="preserve">к  решению "Об исполнении бюджета мунициапльного образования "Онгудайский район"  за   2018г "
</t>
  </si>
  <si>
    <t>к  решению "Об  исполнении бюджета мунициапльного образования "Онгудайский район"  за   2018г"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</si>
</sst>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3" fillId="0" borderId="0"/>
    <xf numFmtId="0" fontId="15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244">
    <xf numFmtId="0" fontId="0" fillId="0" borderId="0" xfId="0"/>
    <xf numFmtId="0" fontId="6" fillId="0" borderId="1" xfId="1" applyFont="1" applyFill="1" applyBorder="1" applyAlignment="1">
      <alignment horizontal="left" wrapText="1"/>
    </xf>
    <xf numFmtId="164" fontId="6" fillId="0" borderId="0" xfId="1" applyNumberFormat="1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7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18" fillId="0" borderId="0" xfId="18" applyFont="1" applyAlignment="1">
      <alignment wrapText="1"/>
    </xf>
    <xf numFmtId="164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5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0" fillId="0" borderId="1" xfId="1" applyFont="1" applyFill="1" applyBorder="1" applyAlignment="1">
      <alignment horizontal="left"/>
    </xf>
    <xf numFmtId="0" fontId="8" fillId="0" borderId="0" xfId="1" applyFont="1" applyFill="1"/>
    <xf numFmtId="0" fontId="11" fillId="0" borderId="0" xfId="1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wrapText="1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4" fontId="6" fillId="0" borderId="0" xfId="18" applyNumberFormat="1" applyFont="1" applyFill="1" applyAlignment="1">
      <alignment horizontal="left"/>
    </xf>
    <xf numFmtId="0" fontId="20" fillId="0" borderId="1" xfId="1" applyFont="1" applyFill="1" applyBorder="1" applyAlignment="1">
      <alignment horizontal="left" wrapText="1"/>
    </xf>
    <xf numFmtId="2" fontId="6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0" fontId="20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2" fillId="0" borderId="1" xfId="2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left" vertical="center" wrapText="1"/>
    </xf>
    <xf numFmtId="164" fontId="6" fillId="0" borderId="0" xfId="1" applyNumberFormat="1" applyFont="1" applyFill="1"/>
    <xf numFmtId="2" fontId="8" fillId="0" borderId="0" xfId="1" applyNumberFormat="1" applyFont="1" applyFill="1"/>
    <xf numFmtId="164" fontId="24" fillId="0" borderId="1" xfId="144" applyNumberFormat="1" applyFont="1" applyFill="1" applyBorder="1" applyAlignment="1"/>
    <xf numFmtId="0" fontId="9" fillId="0" borderId="0" xfId="1" applyFont="1" applyFill="1" applyBorder="1" applyAlignment="1">
      <alignment horizontal="left" vertical="top" wrapText="1"/>
    </xf>
    <xf numFmtId="2" fontId="25" fillId="0" borderId="0" xfId="1" applyNumberFormat="1" applyFont="1" applyFill="1" applyAlignment="1"/>
    <xf numFmtId="164" fontId="25" fillId="0" borderId="0" xfId="1" applyNumberFormat="1" applyFont="1" applyFill="1"/>
    <xf numFmtId="0" fontId="6" fillId="0" borderId="0" xfId="0" applyFont="1" applyFill="1"/>
    <xf numFmtId="164" fontId="6" fillId="0" borderId="0" xfId="0" applyNumberFormat="1" applyFont="1" applyFill="1" applyAlignment="1">
      <alignment horizontal="right" vertical="center"/>
    </xf>
    <xf numFmtId="164" fontId="8" fillId="0" borderId="1" xfId="1" applyNumberFormat="1" applyFont="1" applyFill="1" applyBorder="1" applyAlignment="1">
      <alignment horizontal="right"/>
    </xf>
    <xf numFmtId="49" fontId="8" fillId="0" borderId="2" xfId="5" applyNumberFormat="1" applyFont="1" applyFill="1" applyBorder="1" applyAlignment="1">
      <alignment horizontal="center"/>
    </xf>
    <xf numFmtId="164" fontId="6" fillId="0" borderId="0" xfId="1" applyNumberFormat="1" applyFont="1" applyFill="1" applyAlignment="1"/>
    <xf numFmtId="164" fontId="25" fillId="0" borderId="0" xfId="1" applyNumberFormat="1" applyFont="1" applyFill="1" applyAlignment="1"/>
    <xf numFmtId="164" fontId="6" fillId="0" borderId="0" xfId="1" applyNumberFormat="1" applyFont="1" applyFill="1" applyAlignment="1">
      <alignment vertical="top"/>
    </xf>
    <xf numFmtId="49" fontId="6" fillId="0" borderId="1" xfId="1" applyNumberFormat="1" applyFont="1" applyFill="1" applyBorder="1" applyAlignment="1">
      <alignment horizontal="left" vertical="top"/>
    </xf>
    <xf numFmtId="2" fontId="6" fillId="0" borderId="1" xfId="4" applyNumberFormat="1" applyFont="1" applyFill="1" applyBorder="1" applyAlignment="1">
      <alignment horizontal="right"/>
    </xf>
    <xf numFmtId="2" fontId="6" fillId="0" borderId="1" xfId="7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/>
    </xf>
    <xf numFmtId="2" fontId="8" fillId="0" borderId="1" xfId="4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 shrinkToFit="1"/>
    </xf>
    <xf numFmtId="2" fontId="9" fillId="0" borderId="1" xfId="1" applyNumberFormat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right" vertical="top" wrapText="1"/>
    </xf>
    <xf numFmtId="2" fontId="6" fillId="0" borderId="1" xfId="5" applyNumberFormat="1" applyFont="1" applyFill="1" applyBorder="1" applyAlignment="1">
      <alignment horizontal="right" vertical="top" wrapText="1"/>
    </xf>
    <xf numFmtId="2" fontId="6" fillId="0" borderId="1" xfId="1" applyNumberFormat="1" applyFont="1" applyFill="1" applyBorder="1" applyAlignment="1"/>
    <xf numFmtId="2" fontId="6" fillId="0" borderId="3" xfId="2" applyNumberFormat="1" applyFont="1" applyFill="1" applyBorder="1" applyAlignment="1">
      <alignment horizontal="right" wrapText="1"/>
    </xf>
    <xf numFmtId="2" fontId="24" fillId="0" borderId="1" xfId="144" applyNumberFormat="1" applyFont="1" applyFill="1" applyBorder="1" applyAlignment="1"/>
    <xf numFmtId="2" fontId="8" fillId="0" borderId="0" xfId="1" applyNumberFormat="1" applyFont="1" applyFill="1" applyAlignment="1">
      <alignment horizontal="right"/>
    </xf>
    <xf numFmtId="0" fontId="27" fillId="0" borderId="0" xfId="0" applyFont="1" applyFill="1" applyAlignment="1">
      <alignment vertical="top"/>
    </xf>
    <xf numFmtId="43" fontId="27" fillId="0" borderId="0" xfId="144" applyFont="1" applyFill="1" applyAlignment="1">
      <alignment vertical="top"/>
    </xf>
    <xf numFmtId="43" fontId="27" fillId="0" borderId="0" xfId="144" applyFont="1" applyFill="1" applyAlignment="1">
      <alignment horizontal="center" vertical="top"/>
    </xf>
    <xf numFmtId="43" fontId="27" fillId="0" borderId="0" xfId="144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3" fontId="27" fillId="0" borderId="0" xfId="144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vertical="center" wrapText="1"/>
    </xf>
    <xf numFmtId="0" fontId="27" fillId="0" borderId="1" xfId="0" applyFont="1" applyFill="1" applyBorder="1" applyAlignment="1">
      <alignment vertical="top"/>
    </xf>
    <xf numFmtId="4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3" fontId="21" fillId="0" borderId="1" xfId="144" applyNumberFormat="1" applyFont="1" applyFill="1" applyBorder="1" applyAlignment="1">
      <alignment horizontal="center" vertical="top"/>
    </xf>
    <xf numFmtId="4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49" fontId="30" fillId="0" borderId="0" xfId="0" applyNumberFormat="1" applyFont="1" applyAlignment="1">
      <alignment vertical="top" wrapText="1"/>
    </xf>
    <xf numFmtId="0" fontId="31" fillId="0" borderId="0" xfId="0" applyFont="1"/>
    <xf numFmtId="43" fontId="31" fillId="0" borderId="0" xfId="0" applyNumberFormat="1" applyFont="1" applyAlignment="1"/>
    <xf numFmtId="2" fontId="31" fillId="0" borderId="0" xfId="0" applyNumberFormat="1" applyFont="1" applyAlignment="1">
      <alignment horizontal="center"/>
    </xf>
    <xf numFmtId="4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49" fontId="31" fillId="0" borderId="0" xfId="0" applyNumberFormat="1" applyFont="1" applyAlignment="1"/>
    <xf numFmtId="43" fontId="31" fillId="0" borderId="1" xfId="0" applyNumberFormat="1" applyFont="1" applyBorder="1" applyAlignment="1"/>
    <xf numFmtId="2" fontId="31" fillId="2" borderId="1" xfId="133" applyNumberFormat="1" applyFont="1" applyFill="1" applyBorder="1" applyAlignment="1">
      <alignment horizontal="center"/>
    </xf>
    <xf numFmtId="43" fontId="31" fillId="0" borderId="1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/>
    </xf>
    <xf numFmtId="0" fontId="31" fillId="2" borderId="0" xfId="0" applyFont="1" applyFill="1"/>
    <xf numFmtId="2" fontId="31" fillId="2" borderId="1" xfId="0" applyNumberFormat="1" applyFont="1" applyFill="1" applyBorder="1" applyAlignment="1">
      <alignment horizontal="center"/>
    </xf>
    <xf numFmtId="43" fontId="31" fillId="2" borderId="1" xfId="133" applyNumberFormat="1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43" fontId="31" fillId="0" borderId="1" xfId="133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vertical="center" wrapText="1"/>
    </xf>
    <xf numFmtId="0" fontId="31" fillId="0" borderId="0" xfId="0" applyFont="1" applyFill="1"/>
    <xf numFmtId="2" fontId="31" fillId="0" borderId="1" xfId="133" applyNumberFormat="1" applyFont="1" applyFill="1" applyBorder="1" applyAlignment="1">
      <alignment horizontal="center"/>
    </xf>
    <xf numFmtId="0" fontId="32" fillId="0" borderId="0" xfId="0" applyFont="1"/>
    <xf numFmtId="43" fontId="27" fillId="0" borderId="1" xfId="133" applyNumberFormat="1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/>
    </xf>
    <xf numFmtId="0" fontId="33" fillId="0" borderId="0" xfId="0" applyFont="1"/>
    <xf numFmtId="43" fontId="27" fillId="0" borderId="1" xfId="144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justify" vertical="center" wrapText="1"/>
    </xf>
    <xf numFmtId="49" fontId="33" fillId="2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justify" vertical="center" wrapText="1"/>
    </xf>
    <xf numFmtId="43" fontId="33" fillId="0" borderId="0" xfId="0" applyNumberFormat="1" applyFont="1"/>
    <xf numFmtId="43" fontId="31" fillId="0" borderId="0" xfId="0" applyNumberFormat="1" applyFont="1"/>
    <xf numFmtId="43" fontId="31" fillId="0" borderId="0" xfId="0" applyNumberFormat="1" applyFont="1" applyFill="1"/>
    <xf numFmtId="43" fontId="31" fillId="0" borderId="1" xfId="0" applyNumberFormat="1" applyFont="1" applyFill="1" applyBorder="1" applyAlignment="1"/>
    <xf numFmtId="0" fontId="35" fillId="0" borderId="0" xfId="0" applyFont="1"/>
    <xf numFmtId="43" fontId="31" fillId="3" borderId="1" xfId="133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horizontal="center"/>
    </xf>
    <xf numFmtId="0" fontId="35" fillId="0" borderId="0" xfId="0" applyFont="1" applyFill="1"/>
    <xf numFmtId="0" fontId="35" fillId="2" borderId="0" xfId="0" applyFont="1" applyFill="1"/>
    <xf numFmtId="0" fontId="33" fillId="2" borderId="1" xfId="0" applyFont="1" applyFill="1" applyBorder="1" applyAlignment="1">
      <alignment vertical="center" wrapText="1"/>
    </xf>
    <xf numFmtId="0" fontId="31" fillId="3" borderId="0" xfId="0" applyFont="1" applyFill="1"/>
    <xf numFmtId="0" fontId="35" fillId="3" borderId="0" xfId="0" applyFont="1" applyFill="1"/>
    <xf numFmtId="0" fontId="36" fillId="0" borderId="1" xfId="0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vertical="center" wrapText="1"/>
    </xf>
    <xf numFmtId="49" fontId="37" fillId="2" borderId="1" xfId="127" applyNumberFormat="1" applyFont="1" applyFill="1" applyBorder="1" applyAlignment="1">
      <alignment horizontal="left" vertical="center" wrapText="1"/>
    </xf>
    <xf numFmtId="43" fontId="31" fillId="2" borderId="1" xfId="0" applyNumberFormat="1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left" vertical="top" wrapText="1"/>
    </xf>
    <xf numFmtId="49" fontId="31" fillId="2" borderId="1" xfId="0" applyNumberFormat="1" applyFont="1" applyFill="1" applyBorder="1" applyAlignment="1">
      <alignment horizontal="center" vertical="top" wrapText="1"/>
    </xf>
    <xf numFmtId="2" fontId="27" fillId="2" borderId="1" xfId="133" applyNumberFormat="1" applyFont="1" applyFill="1" applyBorder="1" applyAlignment="1">
      <alignment horizontal="center"/>
    </xf>
    <xf numFmtId="43" fontId="27" fillId="2" borderId="1" xfId="133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0" borderId="0" xfId="0" applyFont="1" applyAlignment="1"/>
    <xf numFmtId="43" fontId="41" fillId="2" borderId="1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9" fontId="41" fillId="2" borderId="4" xfId="0" applyNumberFormat="1" applyFont="1" applyFill="1" applyBorder="1" applyAlignment="1">
      <alignment horizontal="center" vertical="center" wrapText="1"/>
    </xf>
    <xf numFmtId="43" fontId="42" fillId="0" borderId="9" xfId="0" applyNumberFormat="1" applyFont="1" applyBorder="1" applyAlignment="1">
      <alignment horizontal="right" wrapText="1"/>
    </xf>
    <xf numFmtId="2" fontId="43" fillId="0" borderId="9" xfId="0" applyNumberFormat="1" applyFont="1" applyBorder="1" applyAlignment="1">
      <alignment horizontal="center" vertical="center" wrapText="1"/>
    </xf>
    <xf numFmtId="43" fontId="43" fillId="0" borderId="9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wrapText="1"/>
    </xf>
    <xf numFmtId="2" fontId="27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31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1" fillId="0" borderId="0" xfId="0" applyFont="1" applyAlignment="1">
      <alignment vertical="top"/>
    </xf>
    <xf numFmtId="0" fontId="27" fillId="0" borderId="0" xfId="0" applyFont="1" applyFill="1" applyAlignment="1">
      <alignment horizontal="right" vertical="top"/>
    </xf>
    <xf numFmtId="0" fontId="27" fillId="0" borderId="0" xfId="0" applyFont="1" applyAlignment="1">
      <alignment horizontal="right" vertical="top" wrapText="1"/>
    </xf>
    <xf numFmtId="49" fontId="30" fillId="0" borderId="0" xfId="0" applyNumberFormat="1" applyFont="1" applyBorder="1" applyAlignment="1">
      <alignment horizontal="center" vertical="top" wrapText="1"/>
    </xf>
    <xf numFmtId="49" fontId="29" fillId="0" borderId="9" xfId="0" applyNumberFormat="1" applyFont="1" applyBorder="1" applyAlignment="1">
      <alignment horizontal="right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3" fontId="21" fillId="0" borderId="4" xfId="144" applyFont="1" applyFill="1" applyBorder="1" applyAlignment="1">
      <alignment horizontal="center" vertical="top" wrapText="1"/>
    </xf>
    <xf numFmtId="43" fontId="21" fillId="0" borderId="6" xfId="144" applyFont="1" applyFill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64" fontId="11" fillId="0" borderId="0" xfId="18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164" fontId="6" fillId="0" borderId="0" xfId="5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0" fontId="0" fillId="0" borderId="0" xfId="0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64" fontId="11" fillId="0" borderId="0" xfId="1" applyNumberFormat="1" applyFont="1" applyFill="1" applyAlignment="1">
      <alignment horizontal="left" vertical="top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view="pageBreakPreview" zoomScale="60" zoomScaleNormal="100" workbookViewId="0">
      <selection activeCell="A2" sqref="A2"/>
    </sheetView>
  </sheetViews>
  <sheetFormatPr defaultRowHeight="66" customHeight="1" x14ac:dyDescent="0.25"/>
  <cols>
    <col min="1" max="1" width="59.42578125" style="103" customWidth="1"/>
    <col min="2" max="2" width="35.7109375" style="103" customWidth="1"/>
    <col min="3" max="3" width="20.140625" style="104" customWidth="1"/>
    <col min="4" max="9" width="0" style="103" hidden="1" customWidth="1"/>
    <col min="10" max="10" width="15.85546875" style="103" customWidth="1"/>
    <col min="11" max="16384" width="9.140625" style="103"/>
  </cols>
  <sheetData>
    <row r="1" spans="1:10" ht="19.5" customHeight="1" x14ac:dyDescent="0.25">
      <c r="C1" s="196" t="s">
        <v>596</v>
      </c>
      <c r="D1" s="196"/>
      <c r="E1" s="196"/>
      <c r="F1" s="196"/>
      <c r="G1" s="196"/>
      <c r="H1" s="196"/>
      <c r="I1" s="196"/>
      <c r="J1" s="196"/>
    </row>
    <row r="2" spans="1:10" ht="82.5" customHeight="1" x14ac:dyDescent="0.25">
      <c r="C2" s="197" t="s">
        <v>984</v>
      </c>
      <c r="D2" s="197"/>
      <c r="E2" s="197"/>
      <c r="F2" s="197"/>
      <c r="G2" s="197"/>
      <c r="H2" s="197"/>
      <c r="I2" s="197"/>
      <c r="J2" s="197"/>
    </row>
    <row r="3" spans="1:10" ht="21" customHeight="1" x14ac:dyDescent="0.25">
      <c r="A3" s="125"/>
      <c r="B3" s="126" t="s">
        <v>595</v>
      </c>
      <c r="C3" s="126"/>
      <c r="D3" s="126"/>
      <c r="E3" s="126"/>
      <c r="F3" s="126"/>
      <c r="G3" s="126"/>
      <c r="H3" s="125"/>
      <c r="I3" s="125"/>
      <c r="J3" s="125"/>
    </row>
    <row r="4" spans="1:10" ht="30.75" customHeight="1" x14ac:dyDescent="0.25">
      <c r="A4" s="198" t="s">
        <v>594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8" customHeight="1" x14ac:dyDescent="0.25">
      <c r="A5" s="199" t="s">
        <v>593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36.75" customHeight="1" x14ac:dyDescent="0.25">
      <c r="A6" s="200" t="s">
        <v>592</v>
      </c>
      <c r="B6" s="202" t="s">
        <v>591</v>
      </c>
      <c r="C6" s="204" t="s">
        <v>590</v>
      </c>
      <c r="D6" s="113"/>
      <c r="E6" s="113"/>
      <c r="F6" s="113"/>
      <c r="G6" s="113"/>
      <c r="H6" s="113"/>
      <c r="I6" s="113"/>
      <c r="J6" s="204" t="s">
        <v>546</v>
      </c>
    </row>
    <row r="7" spans="1:10" ht="66" hidden="1" customHeight="1" x14ac:dyDescent="0.25">
      <c r="A7" s="201"/>
      <c r="B7" s="203"/>
      <c r="C7" s="205"/>
      <c r="D7" s="122">
        <v>395978.2</v>
      </c>
      <c r="E7" s="122">
        <v>395978.2</v>
      </c>
      <c r="F7" s="122">
        <v>395978.2</v>
      </c>
      <c r="G7" s="122">
        <v>395978.2</v>
      </c>
      <c r="H7" s="122">
        <v>395978.2</v>
      </c>
      <c r="I7" s="122">
        <v>395978.2</v>
      </c>
      <c r="J7" s="205"/>
    </row>
    <row r="8" spans="1:10" ht="30" customHeight="1" x14ac:dyDescent="0.25">
      <c r="A8" s="120" t="s">
        <v>589</v>
      </c>
      <c r="B8" s="119"/>
      <c r="C8" s="117">
        <f>C9</f>
        <v>-7710.0116399999997</v>
      </c>
      <c r="D8" s="122" t="e">
        <f t="shared" ref="D8:I8" si="0">D11+D16+D21</f>
        <v>#REF!</v>
      </c>
      <c r="E8" s="122" t="e">
        <f t="shared" si="0"/>
        <v>#REF!</v>
      </c>
      <c r="F8" s="122" t="e">
        <f t="shared" si="0"/>
        <v>#REF!</v>
      </c>
      <c r="G8" s="122" t="e">
        <f t="shared" si="0"/>
        <v>#REF!</v>
      </c>
      <c r="H8" s="122" t="e">
        <f t="shared" si="0"/>
        <v>#REF!</v>
      </c>
      <c r="I8" s="122" t="e">
        <f t="shared" si="0"/>
        <v>#REF!</v>
      </c>
      <c r="J8" s="117">
        <f>J9</f>
        <v>5188.6444700000002</v>
      </c>
    </row>
    <row r="9" spans="1:10" ht="32.25" customHeight="1" x14ac:dyDescent="0.25">
      <c r="A9" s="120" t="s">
        <v>588</v>
      </c>
      <c r="B9" s="119" t="s">
        <v>557</v>
      </c>
      <c r="C9" s="117">
        <f>C15+C20+C28</f>
        <v>-7710.0116399999997</v>
      </c>
      <c r="D9" s="122"/>
      <c r="E9" s="122"/>
      <c r="F9" s="122"/>
      <c r="G9" s="122"/>
      <c r="H9" s="122"/>
      <c r="I9" s="122"/>
      <c r="J9" s="117">
        <f>J15+J20+J28</f>
        <v>5188.6444700000002</v>
      </c>
    </row>
    <row r="10" spans="1:10" ht="32.25" hidden="1" customHeight="1" x14ac:dyDescent="0.25">
      <c r="A10" s="120" t="s">
        <v>582</v>
      </c>
      <c r="B10" s="119" t="s">
        <v>587</v>
      </c>
      <c r="C10" s="117">
        <f>C11+C13</f>
        <v>0</v>
      </c>
      <c r="D10" s="122" t="e">
        <f>#REF!</f>
        <v>#REF!</v>
      </c>
      <c r="E10" s="122" t="e">
        <f>#REF!</f>
        <v>#REF!</v>
      </c>
      <c r="F10" s="122" t="e">
        <f>#REF!</f>
        <v>#REF!</v>
      </c>
      <c r="G10" s="122" t="e">
        <f>#REF!</f>
        <v>#REF!</v>
      </c>
      <c r="H10" s="122" t="e">
        <f>#REF!</f>
        <v>#REF!</v>
      </c>
      <c r="I10" s="122" t="e">
        <f>#REF!</f>
        <v>#REF!</v>
      </c>
      <c r="J10" s="117">
        <f>J11+J13</f>
        <v>0</v>
      </c>
    </row>
    <row r="11" spans="1:10" s="125" customFormat="1" ht="32.25" hidden="1" customHeight="1" x14ac:dyDescent="0.25">
      <c r="A11" s="116" t="s">
        <v>580</v>
      </c>
      <c r="B11" s="115" t="s">
        <v>586</v>
      </c>
      <c r="C11" s="114">
        <f>C12</f>
        <v>0</v>
      </c>
      <c r="D11" s="122" t="e">
        <f t="shared" ref="D11:I11" si="1">D12-D14</f>
        <v>#REF!</v>
      </c>
      <c r="E11" s="122" t="e">
        <f t="shared" si="1"/>
        <v>#REF!</v>
      </c>
      <c r="F11" s="122" t="e">
        <f t="shared" si="1"/>
        <v>#REF!</v>
      </c>
      <c r="G11" s="122" t="e">
        <f t="shared" si="1"/>
        <v>#REF!</v>
      </c>
      <c r="H11" s="122" t="e">
        <f t="shared" si="1"/>
        <v>#REF!</v>
      </c>
      <c r="I11" s="122" t="e">
        <f t="shared" si="1"/>
        <v>#REF!</v>
      </c>
      <c r="J11" s="114">
        <f>J12</f>
        <v>0</v>
      </c>
    </row>
    <row r="12" spans="1:10" ht="32.25" hidden="1" customHeight="1" x14ac:dyDescent="0.25">
      <c r="A12" s="116" t="s">
        <v>585</v>
      </c>
      <c r="B12" s="115" t="s">
        <v>577</v>
      </c>
      <c r="C12" s="114"/>
      <c r="D12" s="122" t="e">
        <f t="shared" ref="D12:I12" si="2">D13</f>
        <v>#REF!</v>
      </c>
      <c r="E12" s="122" t="e">
        <f t="shared" si="2"/>
        <v>#REF!</v>
      </c>
      <c r="F12" s="122" t="e">
        <f t="shared" si="2"/>
        <v>#REF!</v>
      </c>
      <c r="G12" s="122" t="e">
        <f t="shared" si="2"/>
        <v>#REF!</v>
      </c>
      <c r="H12" s="122" t="e">
        <f t="shared" si="2"/>
        <v>#REF!</v>
      </c>
      <c r="I12" s="122" t="e">
        <f t="shared" si="2"/>
        <v>#REF!</v>
      </c>
      <c r="J12" s="114"/>
    </row>
    <row r="13" spans="1:10" ht="32.25" hidden="1" customHeight="1" x14ac:dyDescent="0.25">
      <c r="A13" s="116" t="s">
        <v>576</v>
      </c>
      <c r="B13" s="115" t="s">
        <v>575</v>
      </c>
      <c r="C13" s="114">
        <f>C14</f>
        <v>0</v>
      </c>
      <c r="D13" s="122" t="e">
        <f>D15+#REF!+D20-D18-D21</f>
        <v>#REF!</v>
      </c>
      <c r="E13" s="122" t="e">
        <f>E15+#REF!+E20-E18-E21</f>
        <v>#REF!</v>
      </c>
      <c r="F13" s="122" t="e">
        <f>F15+#REF!+F20-F18-F21</f>
        <v>#REF!</v>
      </c>
      <c r="G13" s="122" t="e">
        <f>G15+#REF!+G20-G18-G21</f>
        <v>#REF!</v>
      </c>
      <c r="H13" s="122" t="e">
        <f>H15+#REF!+H20-H18-H21</f>
        <v>#REF!</v>
      </c>
      <c r="I13" s="122" t="e">
        <f>I15+#REF!+I20-I18-I21</f>
        <v>#REF!</v>
      </c>
      <c r="J13" s="114">
        <f>J14</f>
        <v>0</v>
      </c>
    </row>
    <row r="14" spans="1:10" ht="32.25" hidden="1" customHeight="1" x14ac:dyDescent="0.25">
      <c r="A14" s="116" t="s">
        <v>584</v>
      </c>
      <c r="B14" s="115" t="s">
        <v>583</v>
      </c>
      <c r="C14" s="114"/>
      <c r="D14" s="122">
        <f t="shared" ref="D14:I14" si="3">D15</f>
        <v>160000</v>
      </c>
      <c r="E14" s="122">
        <f t="shared" si="3"/>
        <v>160000</v>
      </c>
      <c r="F14" s="122">
        <f t="shared" si="3"/>
        <v>160000</v>
      </c>
      <c r="G14" s="122">
        <f t="shared" si="3"/>
        <v>160000</v>
      </c>
      <c r="H14" s="122">
        <f t="shared" si="3"/>
        <v>160000</v>
      </c>
      <c r="I14" s="122">
        <f t="shared" si="3"/>
        <v>160000</v>
      </c>
      <c r="J14" s="114"/>
    </row>
    <row r="15" spans="1:10" ht="32.25" hidden="1" customHeight="1" x14ac:dyDescent="0.25">
      <c r="A15" s="120" t="s">
        <v>582</v>
      </c>
      <c r="B15" s="119" t="s">
        <v>581</v>
      </c>
      <c r="C15" s="117">
        <f>C16-C18</f>
        <v>0</v>
      </c>
      <c r="D15" s="122">
        <v>160000</v>
      </c>
      <c r="E15" s="122">
        <v>160000</v>
      </c>
      <c r="F15" s="122">
        <v>160000</v>
      </c>
      <c r="G15" s="122">
        <v>160000</v>
      </c>
      <c r="H15" s="122">
        <v>160000</v>
      </c>
      <c r="I15" s="122">
        <v>160000</v>
      </c>
      <c r="J15" s="117">
        <f>J16-J18</f>
        <v>0</v>
      </c>
    </row>
    <row r="16" spans="1:10" s="125" customFormat="1" ht="32.25" hidden="1" customHeight="1" x14ac:dyDescent="0.25">
      <c r="A16" s="116" t="s">
        <v>580</v>
      </c>
      <c r="B16" s="115" t="s">
        <v>579</v>
      </c>
      <c r="C16" s="114">
        <f>C17</f>
        <v>0</v>
      </c>
      <c r="D16" s="122" t="e">
        <f t="shared" ref="D16:I16" si="4">D17-D19</f>
        <v>#REF!</v>
      </c>
      <c r="E16" s="122" t="e">
        <f t="shared" si="4"/>
        <v>#REF!</v>
      </c>
      <c r="F16" s="122" t="e">
        <f t="shared" si="4"/>
        <v>#REF!</v>
      </c>
      <c r="G16" s="122" t="e">
        <f t="shared" si="4"/>
        <v>#REF!</v>
      </c>
      <c r="H16" s="122" t="e">
        <f t="shared" si="4"/>
        <v>#REF!</v>
      </c>
      <c r="I16" s="122" t="e">
        <f t="shared" si="4"/>
        <v>#REF!</v>
      </c>
      <c r="J16" s="114">
        <f>J17</f>
        <v>0</v>
      </c>
    </row>
    <row r="17" spans="1:10" ht="32.25" hidden="1" customHeight="1" x14ac:dyDescent="0.25">
      <c r="A17" s="116" t="s">
        <v>578</v>
      </c>
      <c r="B17" s="115" t="s">
        <v>577</v>
      </c>
      <c r="C17" s="114">
        <v>0</v>
      </c>
      <c r="D17" s="122">
        <f t="shared" ref="D17:I17" si="5">D18</f>
        <v>250000</v>
      </c>
      <c r="E17" s="122">
        <f t="shared" si="5"/>
        <v>250000</v>
      </c>
      <c r="F17" s="122">
        <f t="shared" si="5"/>
        <v>250000</v>
      </c>
      <c r="G17" s="122">
        <f t="shared" si="5"/>
        <v>250000</v>
      </c>
      <c r="H17" s="122">
        <f t="shared" si="5"/>
        <v>250000</v>
      </c>
      <c r="I17" s="122">
        <f t="shared" si="5"/>
        <v>250000</v>
      </c>
      <c r="J17" s="114"/>
    </row>
    <row r="18" spans="1:10" ht="32.25" hidden="1" customHeight="1" x14ac:dyDescent="0.25">
      <c r="A18" s="116" t="s">
        <v>576</v>
      </c>
      <c r="B18" s="115" t="s">
        <v>575</v>
      </c>
      <c r="C18" s="114">
        <f>C19</f>
        <v>0</v>
      </c>
      <c r="D18" s="122">
        <v>250000</v>
      </c>
      <c r="E18" s="122">
        <v>250000</v>
      </c>
      <c r="F18" s="122">
        <v>250000</v>
      </c>
      <c r="G18" s="122">
        <v>250000</v>
      </c>
      <c r="H18" s="122">
        <v>250000</v>
      </c>
      <c r="I18" s="122">
        <v>250000</v>
      </c>
      <c r="J18" s="114">
        <f>J19</f>
        <v>0</v>
      </c>
    </row>
    <row r="19" spans="1:10" ht="32.25" hidden="1" customHeight="1" x14ac:dyDescent="0.25">
      <c r="A19" s="116" t="s">
        <v>574</v>
      </c>
      <c r="B19" s="115" t="s">
        <v>573</v>
      </c>
      <c r="C19" s="114">
        <v>0</v>
      </c>
      <c r="D19" s="122" t="e">
        <f t="shared" ref="D19:I19" si="6">D20</f>
        <v>#REF!</v>
      </c>
      <c r="E19" s="122" t="e">
        <f t="shared" si="6"/>
        <v>#REF!</v>
      </c>
      <c r="F19" s="122" t="e">
        <f t="shared" si="6"/>
        <v>#REF!</v>
      </c>
      <c r="G19" s="122" t="e">
        <f t="shared" si="6"/>
        <v>#REF!</v>
      </c>
      <c r="H19" s="122" t="e">
        <f t="shared" si="6"/>
        <v>#REF!</v>
      </c>
      <c r="I19" s="122" t="e">
        <f t="shared" si="6"/>
        <v>#REF!</v>
      </c>
      <c r="J19" s="114">
        <v>0</v>
      </c>
    </row>
    <row r="20" spans="1:10" ht="32.25" customHeight="1" x14ac:dyDescent="0.25">
      <c r="A20" s="120" t="s">
        <v>572</v>
      </c>
      <c r="B20" s="119" t="s">
        <v>571</v>
      </c>
      <c r="C20" s="117">
        <f t="shared" ref="C20:J20" si="7">C21-(-C24)</f>
        <v>0</v>
      </c>
      <c r="D20" s="117" t="e">
        <f t="shared" si="7"/>
        <v>#REF!</v>
      </c>
      <c r="E20" s="117" t="e">
        <f t="shared" si="7"/>
        <v>#REF!</v>
      </c>
      <c r="F20" s="117" t="e">
        <f t="shared" si="7"/>
        <v>#REF!</v>
      </c>
      <c r="G20" s="117" t="e">
        <f t="shared" si="7"/>
        <v>#REF!</v>
      </c>
      <c r="H20" s="117" t="e">
        <f t="shared" si="7"/>
        <v>#REF!</v>
      </c>
      <c r="I20" s="117" t="e">
        <f t="shared" si="7"/>
        <v>#REF!</v>
      </c>
      <c r="J20" s="117">
        <f t="shared" si="7"/>
        <v>0</v>
      </c>
    </row>
    <row r="21" spans="1:10" s="125" customFormat="1" ht="57.75" customHeight="1" x14ac:dyDescent="0.25">
      <c r="A21" s="116" t="s">
        <v>570</v>
      </c>
      <c r="B21" s="115" t="s">
        <v>569</v>
      </c>
      <c r="C21" s="114">
        <f>C22</f>
        <v>3633</v>
      </c>
      <c r="D21" s="122" t="e">
        <f>#REF!+D22</f>
        <v>#REF!</v>
      </c>
      <c r="E21" s="122" t="e">
        <f>#REF!+E22</f>
        <v>#REF!</v>
      </c>
      <c r="F21" s="122" t="e">
        <f>#REF!+F22</f>
        <v>#REF!</v>
      </c>
      <c r="G21" s="122" t="e">
        <f>#REF!+G22</f>
        <v>#REF!</v>
      </c>
      <c r="H21" s="122" t="e">
        <f>#REF!+H22</f>
        <v>#REF!</v>
      </c>
      <c r="I21" s="122" t="e">
        <f>#REF!+I22</f>
        <v>#REF!</v>
      </c>
      <c r="J21" s="114">
        <f>J22</f>
        <v>3633</v>
      </c>
    </row>
    <row r="22" spans="1:10" ht="66" customHeight="1" x14ac:dyDescent="0.25">
      <c r="A22" s="116" t="s">
        <v>568</v>
      </c>
      <c r="B22" s="115" t="s">
        <v>566</v>
      </c>
      <c r="C22" s="114">
        <v>3633</v>
      </c>
      <c r="D22" s="122" t="e">
        <f>#REF! -#REF!</f>
        <v>#REF!</v>
      </c>
      <c r="E22" s="122" t="e">
        <f>#REF! -#REF!</f>
        <v>#REF!</v>
      </c>
      <c r="F22" s="122" t="e">
        <f>#REF! -#REF!</f>
        <v>#REF!</v>
      </c>
      <c r="G22" s="122" t="e">
        <f>#REF! -#REF!</f>
        <v>#REF!</v>
      </c>
      <c r="H22" s="122" t="e">
        <f>#REF! -#REF!</f>
        <v>#REF!</v>
      </c>
      <c r="I22" s="122" t="e">
        <f>#REF! -#REF!</f>
        <v>#REF!</v>
      </c>
      <c r="J22" s="114">
        <v>3633</v>
      </c>
    </row>
    <row r="23" spans="1:10" ht="99" customHeight="1" x14ac:dyDescent="0.25">
      <c r="A23" s="116" t="s">
        <v>567</v>
      </c>
      <c r="B23" s="124" t="s">
        <v>566</v>
      </c>
      <c r="C23" s="123">
        <v>3000</v>
      </c>
      <c r="D23" s="122"/>
      <c r="E23" s="122"/>
      <c r="F23" s="122"/>
      <c r="G23" s="122"/>
      <c r="H23" s="122"/>
      <c r="I23" s="122"/>
      <c r="J23" s="114">
        <v>3000</v>
      </c>
    </row>
    <row r="24" spans="1:10" ht="57.75" customHeight="1" x14ac:dyDescent="0.25">
      <c r="A24" s="116" t="s">
        <v>565</v>
      </c>
      <c r="B24" s="115" t="s">
        <v>564</v>
      </c>
      <c r="C24" s="114">
        <f t="shared" ref="C24:J24" si="8">C25</f>
        <v>-3633</v>
      </c>
      <c r="D24" s="114">
        <f t="shared" si="8"/>
        <v>0</v>
      </c>
      <c r="E24" s="114">
        <f t="shared" si="8"/>
        <v>0</v>
      </c>
      <c r="F24" s="114">
        <f t="shared" si="8"/>
        <v>0</v>
      </c>
      <c r="G24" s="114">
        <f t="shared" si="8"/>
        <v>0</v>
      </c>
      <c r="H24" s="114">
        <f t="shared" si="8"/>
        <v>0</v>
      </c>
      <c r="I24" s="114">
        <f t="shared" si="8"/>
        <v>0</v>
      </c>
      <c r="J24" s="114">
        <f t="shared" si="8"/>
        <v>-3633</v>
      </c>
    </row>
    <row r="25" spans="1:10" ht="58.5" customHeight="1" x14ac:dyDescent="0.25">
      <c r="A25" s="116" t="s">
        <v>563</v>
      </c>
      <c r="B25" s="115" t="s">
        <v>561</v>
      </c>
      <c r="C25" s="114">
        <v>-3633</v>
      </c>
      <c r="D25" s="122"/>
      <c r="E25" s="122"/>
      <c r="F25" s="122"/>
      <c r="G25" s="122"/>
      <c r="H25" s="122"/>
      <c r="I25" s="122"/>
      <c r="J25" s="114">
        <v>-3633</v>
      </c>
    </row>
    <row r="26" spans="1:10" ht="92.25" customHeight="1" x14ac:dyDescent="0.25">
      <c r="A26" s="116" t="s">
        <v>562</v>
      </c>
      <c r="B26" s="115" t="s">
        <v>561</v>
      </c>
      <c r="C26" s="114">
        <v>-3000</v>
      </c>
      <c r="D26" s="113"/>
      <c r="E26" s="113"/>
      <c r="F26" s="113"/>
      <c r="G26" s="113"/>
      <c r="H26" s="113"/>
      <c r="I26" s="113"/>
      <c r="J26" s="114">
        <v>-3000</v>
      </c>
    </row>
    <row r="27" spans="1:10" ht="66" hidden="1" customHeight="1" x14ac:dyDescent="0.25">
      <c r="A27" s="116" t="s">
        <v>560</v>
      </c>
      <c r="B27" s="121" t="s">
        <v>559</v>
      </c>
      <c r="C27" s="114"/>
      <c r="D27" s="118"/>
      <c r="E27" s="118"/>
      <c r="F27" s="118"/>
      <c r="G27" s="118"/>
      <c r="H27" s="118"/>
      <c r="I27" s="118"/>
      <c r="J27" s="117"/>
    </row>
    <row r="28" spans="1:10" ht="24.75" customHeight="1" x14ac:dyDescent="0.25">
      <c r="A28" s="120" t="s">
        <v>558</v>
      </c>
      <c r="B28" s="119" t="s">
        <v>557</v>
      </c>
      <c r="C28" s="117">
        <f>C29</f>
        <v>-7710.0116399999997</v>
      </c>
      <c r="D28" s="118"/>
      <c r="E28" s="118"/>
      <c r="F28" s="118"/>
      <c r="G28" s="118"/>
      <c r="H28" s="118"/>
      <c r="I28" s="118"/>
      <c r="J28" s="117">
        <f>J29</f>
        <v>5188.6444700000002</v>
      </c>
    </row>
    <row r="29" spans="1:10" ht="37.5" customHeight="1" x14ac:dyDescent="0.25">
      <c r="A29" s="116" t="s">
        <v>556</v>
      </c>
      <c r="B29" s="115" t="s">
        <v>555</v>
      </c>
      <c r="C29" s="114">
        <v>-7710.0116399999997</v>
      </c>
      <c r="D29" s="113"/>
      <c r="E29" s="113"/>
      <c r="F29" s="113"/>
      <c r="G29" s="113"/>
      <c r="H29" s="113"/>
      <c r="I29" s="113"/>
      <c r="J29" s="114">
        <v>5188.6444700000002</v>
      </c>
    </row>
    <row r="30" spans="1:10" ht="66" hidden="1" customHeight="1" x14ac:dyDescent="0.25">
      <c r="A30" s="112" t="s">
        <v>554</v>
      </c>
      <c r="B30" s="111" t="s">
        <v>553</v>
      </c>
      <c r="C30" s="110">
        <f>C31</f>
        <v>0</v>
      </c>
      <c r="D30" s="113"/>
      <c r="E30" s="113"/>
      <c r="F30" s="113"/>
      <c r="G30" s="113"/>
      <c r="H30" s="113"/>
      <c r="I30" s="113"/>
      <c r="J30" s="110">
        <f>J31</f>
        <v>0</v>
      </c>
    </row>
    <row r="31" spans="1:10" ht="66" hidden="1" customHeight="1" x14ac:dyDescent="0.25">
      <c r="A31" s="112" t="s">
        <v>552</v>
      </c>
      <c r="B31" s="111" t="s">
        <v>550</v>
      </c>
      <c r="C31" s="110">
        <f>C32</f>
        <v>0</v>
      </c>
      <c r="D31" s="113"/>
      <c r="E31" s="113"/>
      <c r="F31" s="113"/>
      <c r="G31" s="113"/>
      <c r="H31" s="113"/>
      <c r="I31" s="113"/>
      <c r="J31" s="110">
        <f>J32</f>
        <v>0</v>
      </c>
    </row>
    <row r="32" spans="1:10" ht="66" hidden="1" customHeight="1" x14ac:dyDescent="0.25">
      <c r="A32" s="112" t="s">
        <v>551</v>
      </c>
      <c r="B32" s="111" t="s">
        <v>550</v>
      </c>
      <c r="C32" s="110"/>
      <c r="D32" s="113"/>
      <c r="E32" s="113"/>
      <c r="F32" s="113"/>
      <c r="G32" s="113"/>
      <c r="H32" s="113"/>
      <c r="I32" s="113"/>
      <c r="J32" s="110"/>
    </row>
    <row r="33" spans="1:3" ht="66" hidden="1" customHeight="1" x14ac:dyDescent="0.25">
      <c r="A33" s="112" t="s">
        <v>549</v>
      </c>
      <c r="B33" s="111" t="s">
        <v>548</v>
      </c>
      <c r="C33" s="110"/>
    </row>
    <row r="34" spans="1:3" ht="66" customHeight="1" x14ac:dyDescent="0.25">
      <c r="B34" s="109"/>
      <c r="C34" s="108"/>
    </row>
    <row r="35" spans="1:3" ht="66" customHeight="1" x14ac:dyDescent="0.25">
      <c r="B35" s="109"/>
      <c r="C35" s="108"/>
    </row>
    <row r="36" spans="1:3" ht="66" customHeight="1" x14ac:dyDescent="0.25">
      <c r="B36" s="109"/>
      <c r="C36" s="108"/>
    </row>
    <row r="37" spans="1:3" ht="66" customHeight="1" x14ac:dyDescent="0.25">
      <c r="B37" s="109"/>
      <c r="C37" s="108"/>
    </row>
    <row r="38" spans="1:3" ht="66" customHeight="1" x14ac:dyDescent="0.25">
      <c r="B38" s="107"/>
      <c r="C38" s="106"/>
    </row>
    <row r="39" spans="1:3" ht="66" customHeight="1" x14ac:dyDescent="0.25">
      <c r="B39" s="107"/>
      <c r="C39" s="106"/>
    </row>
    <row r="40" spans="1:3" ht="66" customHeight="1" x14ac:dyDescent="0.25">
      <c r="B40" s="107"/>
      <c r="C40" s="106"/>
    </row>
    <row r="41" spans="1:3" ht="66" customHeight="1" x14ac:dyDescent="0.25">
      <c r="C41" s="105"/>
    </row>
    <row r="42" spans="1:3" ht="66" customHeight="1" x14ac:dyDescent="0.25">
      <c r="C42" s="105"/>
    </row>
    <row r="43" spans="1:3" ht="66" customHeight="1" x14ac:dyDescent="0.25">
      <c r="C43" s="105"/>
    </row>
    <row r="44" spans="1:3" ht="66" customHeight="1" x14ac:dyDescent="0.25">
      <c r="C44" s="105"/>
    </row>
    <row r="45" spans="1:3" ht="66" customHeight="1" x14ac:dyDescent="0.25">
      <c r="C45" s="105"/>
    </row>
    <row r="46" spans="1:3" ht="66" customHeight="1" x14ac:dyDescent="0.25">
      <c r="C46" s="105"/>
    </row>
    <row r="47" spans="1:3" ht="66" customHeight="1" x14ac:dyDescent="0.25">
      <c r="C47" s="105"/>
    </row>
    <row r="48" spans="1:3" ht="66" customHeight="1" x14ac:dyDescent="0.25">
      <c r="C48" s="105"/>
    </row>
    <row r="49" spans="3:3" ht="66" customHeight="1" x14ac:dyDescent="0.25">
      <c r="C49" s="105"/>
    </row>
    <row r="50" spans="3:3" ht="66" customHeight="1" x14ac:dyDescent="0.25">
      <c r="C50" s="105"/>
    </row>
    <row r="51" spans="3:3" ht="66" customHeight="1" x14ac:dyDescent="0.25">
      <c r="C51" s="105"/>
    </row>
    <row r="52" spans="3:3" ht="66" customHeight="1" x14ac:dyDescent="0.25">
      <c r="C52" s="105"/>
    </row>
    <row r="53" spans="3:3" ht="66" customHeight="1" x14ac:dyDescent="0.25">
      <c r="C53" s="105"/>
    </row>
    <row r="54" spans="3:3" ht="66" customHeight="1" x14ac:dyDescent="0.25">
      <c r="C54" s="105"/>
    </row>
    <row r="55" spans="3:3" ht="66" customHeight="1" x14ac:dyDescent="0.25">
      <c r="C55" s="105"/>
    </row>
    <row r="56" spans="3:3" ht="66" customHeight="1" x14ac:dyDescent="0.25">
      <c r="C56" s="105"/>
    </row>
    <row r="57" spans="3:3" ht="66" customHeight="1" x14ac:dyDescent="0.25">
      <c r="C57" s="105"/>
    </row>
    <row r="58" spans="3:3" ht="66" customHeight="1" x14ac:dyDescent="0.25">
      <c r="C58" s="105"/>
    </row>
    <row r="59" spans="3:3" ht="66" customHeight="1" x14ac:dyDescent="0.25">
      <c r="C59" s="105"/>
    </row>
    <row r="60" spans="3:3" ht="66" customHeight="1" x14ac:dyDescent="0.25">
      <c r="C60" s="105"/>
    </row>
    <row r="61" spans="3:3" ht="66" customHeight="1" x14ac:dyDescent="0.25">
      <c r="C61" s="105"/>
    </row>
    <row r="62" spans="3:3" ht="66" customHeight="1" x14ac:dyDescent="0.25">
      <c r="C62" s="105"/>
    </row>
    <row r="63" spans="3:3" ht="66" customHeight="1" x14ac:dyDescent="0.25">
      <c r="C63" s="105"/>
    </row>
    <row r="64" spans="3:3" ht="66" customHeight="1" x14ac:dyDescent="0.25">
      <c r="C64" s="105"/>
    </row>
    <row r="65" spans="3:3" ht="66" customHeight="1" x14ac:dyDescent="0.25">
      <c r="C65" s="105"/>
    </row>
    <row r="66" spans="3:3" ht="66" customHeight="1" x14ac:dyDescent="0.25">
      <c r="C66" s="105"/>
    </row>
    <row r="67" spans="3:3" ht="66" customHeight="1" x14ac:dyDescent="0.25">
      <c r="C67" s="105"/>
    </row>
    <row r="68" spans="3:3" ht="66" customHeight="1" x14ac:dyDescent="0.25">
      <c r="C68" s="105"/>
    </row>
    <row r="69" spans="3:3" ht="66" customHeight="1" x14ac:dyDescent="0.25">
      <c r="C69" s="105"/>
    </row>
    <row r="70" spans="3:3" ht="66" customHeight="1" x14ac:dyDescent="0.25">
      <c r="C70" s="105"/>
    </row>
    <row r="71" spans="3:3" ht="66" customHeight="1" x14ac:dyDescent="0.25">
      <c r="C71" s="105"/>
    </row>
    <row r="72" spans="3:3" ht="66" customHeight="1" x14ac:dyDescent="0.25">
      <c r="C72" s="105"/>
    </row>
    <row r="73" spans="3:3" ht="66" customHeight="1" x14ac:dyDescent="0.25">
      <c r="C73" s="105"/>
    </row>
    <row r="74" spans="3:3" ht="66" customHeight="1" x14ac:dyDescent="0.25">
      <c r="C74" s="105"/>
    </row>
    <row r="75" spans="3:3" ht="66" customHeight="1" x14ac:dyDescent="0.25">
      <c r="C75" s="105"/>
    </row>
    <row r="76" spans="3:3" ht="66" customHeight="1" x14ac:dyDescent="0.25">
      <c r="C76" s="105"/>
    </row>
    <row r="77" spans="3:3" ht="66" customHeight="1" x14ac:dyDescent="0.25">
      <c r="C77" s="105"/>
    </row>
    <row r="78" spans="3:3" ht="66" customHeight="1" x14ac:dyDescent="0.25">
      <c r="C78" s="105"/>
    </row>
    <row r="79" spans="3:3" ht="66" customHeight="1" x14ac:dyDescent="0.25">
      <c r="C79" s="105"/>
    </row>
    <row r="80" spans="3:3" ht="66" customHeight="1" x14ac:dyDescent="0.25">
      <c r="C80" s="105"/>
    </row>
    <row r="81" spans="3:3" ht="66" customHeight="1" x14ac:dyDescent="0.25">
      <c r="C81" s="105"/>
    </row>
    <row r="82" spans="3:3" ht="66" customHeight="1" x14ac:dyDescent="0.25">
      <c r="C82" s="105"/>
    </row>
    <row r="83" spans="3:3" ht="66" customHeight="1" x14ac:dyDescent="0.25">
      <c r="C83" s="105"/>
    </row>
    <row r="84" spans="3:3" ht="66" customHeight="1" x14ac:dyDescent="0.25">
      <c r="C84" s="105"/>
    </row>
    <row r="85" spans="3:3" ht="66" customHeight="1" x14ac:dyDescent="0.25">
      <c r="C85" s="105"/>
    </row>
    <row r="86" spans="3:3" ht="66" customHeight="1" x14ac:dyDescent="0.25">
      <c r="C86" s="105"/>
    </row>
    <row r="87" spans="3:3" ht="66" customHeight="1" x14ac:dyDescent="0.25">
      <c r="C87" s="105"/>
    </row>
    <row r="88" spans="3:3" ht="66" customHeight="1" x14ac:dyDescent="0.25">
      <c r="C88" s="105"/>
    </row>
    <row r="89" spans="3:3" ht="66" customHeight="1" x14ac:dyDescent="0.25">
      <c r="C89" s="105"/>
    </row>
    <row r="90" spans="3:3" ht="66" customHeight="1" x14ac:dyDescent="0.25">
      <c r="C90" s="105"/>
    </row>
    <row r="91" spans="3:3" ht="66" customHeight="1" x14ac:dyDescent="0.25">
      <c r="C91" s="105"/>
    </row>
    <row r="92" spans="3:3" ht="66" customHeight="1" x14ac:dyDescent="0.25">
      <c r="C92" s="105"/>
    </row>
    <row r="93" spans="3:3" ht="66" customHeight="1" x14ac:dyDescent="0.25">
      <c r="C93" s="105"/>
    </row>
    <row r="94" spans="3:3" ht="66" customHeight="1" x14ac:dyDescent="0.25">
      <c r="C94" s="105"/>
    </row>
    <row r="95" spans="3:3" ht="66" customHeight="1" x14ac:dyDescent="0.25">
      <c r="C95" s="105"/>
    </row>
    <row r="96" spans="3:3" ht="66" customHeight="1" x14ac:dyDescent="0.25">
      <c r="C96" s="105"/>
    </row>
    <row r="97" spans="3:3" ht="66" customHeight="1" x14ac:dyDescent="0.25">
      <c r="C97" s="105"/>
    </row>
    <row r="98" spans="3:3" ht="66" customHeight="1" x14ac:dyDescent="0.25">
      <c r="C98" s="105"/>
    </row>
    <row r="99" spans="3:3" ht="66" customHeight="1" x14ac:dyDescent="0.25">
      <c r="C99" s="105"/>
    </row>
    <row r="100" spans="3:3" ht="66" customHeight="1" x14ac:dyDescent="0.25">
      <c r="C100" s="105"/>
    </row>
    <row r="101" spans="3:3" ht="66" customHeight="1" x14ac:dyDescent="0.25">
      <c r="C101" s="105"/>
    </row>
    <row r="102" spans="3:3" ht="66" customHeight="1" x14ac:dyDescent="0.25">
      <c r="C102" s="105"/>
    </row>
    <row r="103" spans="3:3" ht="66" customHeight="1" x14ac:dyDescent="0.25">
      <c r="C103" s="105"/>
    </row>
    <row r="104" spans="3:3" ht="66" customHeight="1" x14ac:dyDescent="0.25">
      <c r="C104" s="105"/>
    </row>
    <row r="105" spans="3:3" ht="66" customHeight="1" x14ac:dyDescent="0.25">
      <c r="C105" s="105"/>
    </row>
    <row r="106" spans="3:3" ht="66" customHeight="1" x14ac:dyDescent="0.25">
      <c r="C106" s="105"/>
    </row>
    <row r="107" spans="3:3" ht="66" customHeight="1" x14ac:dyDescent="0.25">
      <c r="C107" s="105"/>
    </row>
    <row r="108" spans="3:3" ht="66" customHeight="1" x14ac:dyDescent="0.25">
      <c r="C108" s="105"/>
    </row>
    <row r="109" spans="3:3" ht="66" customHeight="1" x14ac:dyDescent="0.25">
      <c r="C109" s="105"/>
    </row>
    <row r="110" spans="3:3" ht="66" customHeight="1" x14ac:dyDescent="0.25">
      <c r="C110" s="105"/>
    </row>
    <row r="111" spans="3:3" ht="66" customHeight="1" x14ac:dyDescent="0.25">
      <c r="C111" s="105"/>
    </row>
    <row r="112" spans="3:3" ht="66" customHeight="1" x14ac:dyDescent="0.25">
      <c r="C112" s="105"/>
    </row>
    <row r="113" spans="3:3" ht="66" customHeight="1" x14ac:dyDescent="0.25">
      <c r="C113" s="105"/>
    </row>
    <row r="114" spans="3:3" ht="66" customHeight="1" x14ac:dyDescent="0.25">
      <c r="C114" s="105"/>
    </row>
    <row r="115" spans="3:3" ht="66" customHeight="1" x14ac:dyDescent="0.25">
      <c r="C115" s="105"/>
    </row>
    <row r="116" spans="3:3" ht="66" customHeight="1" x14ac:dyDescent="0.25">
      <c r="C116" s="105"/>
    </row>
    <row r="117" spans="3:3" ht="66" customHeight="1" x14ac:dyDescent="0.25">
      <c r="C117" s="105"/>
    </row>
    <row r="118" spans="3:3" ht="66" customHeight="1" x14ac:dyDescent="0.25">
      <c r="C118" s="105"/>
    </row>
    <row r="119" spans="3:3" ht="66" customHeight="1" x14ac:dyDescent="0.25">
      <c r="C119" s="105"/>
    </row>
    <row r="120" spans="3:3" ht="66" customHeight="1" x14ac:dyDescent="0.25">
      <c r="C120" s="105"/>
    </row>
    <row r="121" spans="3:3" ht="66" customHeight="1" x14ac:dyDescent="0.25">
      <c r="C121" s="105"/>
    </row>
    <row r="122" spans="3:3" ht="66" customHeight="1" x14ac:dyDescent="0.25">
      <c r="C122" s="105"/>
    </row>
    <row r="123" spans="3:3" ht="66" customHeight="1" x14ac:dyDescent="0.25">
      <c r="C123" s="105"/>
    </row>
    <row r="124" spans="3:3" ht="66" customHeight="1" x14ac:dyDescent="0.25">
      <c r="C124" s="105"/>
    </row>
    <row r="125" spans="3:3" ht="66" customHeight="1" x14ac:dyDescent="0.25">
      <c r="C125" s="105"/>
    </row>
    <row r="126" spans="3:3" ht="66" customHeight="1" x14ac:dyDescent="0.25">
      <c r="C126" s="105"/>
    </row>
    <row r="127" spans="3:3" ht="66" customHeight="1" x14ac:dyDescent="0.25">
      <c r="C127" s="105"/>
    </row>
    <row r="128" spans="3:3" ht="66" customHeight="1" x14ac:dyDescent="0.25">
      <c r="C128" s="105"/>
    </row>
    <row r="129" spans="3:3" ht="66" customHeight="1" x14ac:dyDescent="0.25">
      <c r="C129" s="105"/>
    </row>
    <row r="130" spans="3:3" ht="66" customHeight="1" x14ac:dyDescent="0.25">
      <c r="C130" s="105"/>
    </row>
    <row r="131" spans="3:3" ht="66" customHeight="1" x14ac:dyDescent="0.25">
      <c r="C131" s="105"/>
    </row>
    <row r="132" spans="3:3" ht="66" customHeight="1" x14ac:dyDescent="0.25">
      <c r="C132" s="105"/>
    </row>
    <row r="133" spans="3:3" ht="66" customHeight="1" x14ac:dyDescent="0.25">
      <c r="C133" s="105"/>
    </row>
    <row r="134" spans="3:3" ht="66" customHeight="1" x14ac:dyDescent="0.25">
      <c r="C134" s="105"/>
    </row>
    <row r="135" spans="3:3" ht="66" customHeight="1" x14ac:dyDescent="0.25">
      <c r="C135" s="105"/>
    </row>
    <row r="136" spans="3:3" ht="66" customHeight="1" x14ac:dyDescent="0.25">
      <c r="C136" s="105"/>
    </row>
    <row r="137" spans="3:3" ht="66" customHeight="1" x14ac:dyDescent="0.25">
      <c r="C137" s="105"/>
    </row>
    <row r="138" spans="3:3" ht="66" customHeight="1" x14ac:dyDescent="0.25">
      <c r="C138" s="105"/>
    </row>
    <row r="139" spans="3:3" ht="66" customHeight="1" x14ac:dyDescent="0.25">
      <c r="C139" s="105"/>
    </row>
    <row r="140" spans="3:3" ht="66" customHeight="1" x14ac:dyDescent="0.25">
      <c r="C140" s="105"/>
    </row>
    <row r="141" spans="3:3" ht="66" customHeight="1" x14ac:dyDescent="0.25">
      <c r="C141" s="105"/>
    </row>
    <row r="142" spans="3:3" ht="66" customHeight="1" x14ac:dyDescent="0.25">
      <c r="C142" s="105"/>
    </row>
    <row r="143" spans="3:3" ht="66" customHeight="1" x14ac:dyDescent="0.25">
      <c r="C143" s="105"/>
    </row>
    <row r="144" spans="3:3" ht="66" customHeight="1" x14ac:dyDescent="0.25">
      <c r="C144" s="105"/>
    </row>
    <row r="145" spans="3:3" ht="66" customHeight="1" x14ac:dyDescent="0.25">
      <c r="C145" s="105"/>
    </row>
    <row r="146" spans="3:3" ht="66" customHeight="1" x14ac:dyDescent="0.25">
      <c r="C146" s="105"/>
    </row>
    <row r="147" spans="3:3" ht="66" customHeight="1" x14ac:dyDescent="0.25">
      <c r="C147" s="105"/>
    </row>
    <row r="148" spans="3:3" ht="66" customHeight="1" x14ac:dyDescent="0.25">
      <c r="C148" s="105"/>
    </row>
    <row r="149" spans="3:3" ht="66" customHeight="1" x14ac:dyDescent="0.25">
      <c r="C149" s="105"/>
    </row>
    <row r="150" spans="3:3" ht="66" customHeight="1" x14ac:dyDescent="0.25">
      <c r="C150" s="105"/>
    </row>
  </sheetData>
  <mergeCells count="8">
    <mergeCell ref="C1:J1"/>
    <mergeCell ref="C2:J2"/>
    <mergeCell ref="A4:J4"/>
    <mergeCell ref="A5:J5"/>
    <mergeCell ref="A6:A7"/>
    <mergeCell ref="B6:B7"/>
    <mergeCell ref="C6:C7"/>
    <mergeCell ref="J6:J7"/>
  </mergeCells>
  <pageMargins left="0.9055118110236221" right="0.11811023622047245" top="0.74803149606299213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view="pageBreakPreview" topLeftCell="A204" zoomScaleNormal="100" zoomScaleSheetLayoutView="100" workbookViewId="0">
      <selection activeCell="B3" sqref="B3"/>
    </sheetView>
  </sheetViews>
  <sheetFormatPr defaultRowHeight="15.75" x14ac:dyDescent="0.25"/>
  <cols>
    <col min="1" max="1" width="33.140625" style="132" customWidth="1"/>
    <col min="2" max="2" width="58" style="131" customWidth="1"/>
    <col min="3" max="3" width="18.7109375" style="130" customWidth="1"/>
    <col min="4" max="4" width="20.7109375" style="129" customWidth="1"/>
    <col min="5" max="5" width="20.42578125" style="128" customWidth="1"/>
    <col min="6" max="6" width="19" style="127" bestFit="1" customWidth="1"/>
    <col min="7" max="247" width="9.140625" style="127"/>
    <col min="248" max="248" width="33.140625" style="127" customWidth="1"/>
    <col min="249" max="249" width="50.42578125" style="127" customWidth="1"/>
    <col min="250" max="250" width="0" style="127" hidden="1" customWidth="1"/>
    <col min="251" max="251" width="16.7109375" style="127" customWidth="1"/>
    <col min="252" max="252" width="19.85546875" style="127" customWidth="1"/>
    <col min="253" max="253" width="21.140625" style="127" customWidth="1"/>
    <col min="254" max="259" width="0" style="127" hidden="1" customWidth="1"/>
    <col min="260" max="260" width="14.85546875" style="127" bestFit="1" customWidth="1"/>
    <col min="261" max="261" width="16.28515625" style="127" customWidth="1"/>
    <col min="262" max="503" width="9.140625" style="127"/>
    <col min="504" max="504" width="33.140625" style="127" customWidth="1"/>
    <col min="505" max="505" width="50.42578125" style="127" customWidth="1"/>
    <col min="506" max="506" width="0" style="127" hidden="1" customWidth="1"/>
    <col min="507" max="507" width="16.7109375" style="127" customWidth="1"/>
    <col min="508" max="508" width="19.85546875" style="127" customWidth="1"/>
    <col min="509" max="509" width="21.140625" style="127" customWidth="1"/>
    <col min="510" max="515" width="0" style="127" hidden="1" customWidth="1"/>
    <col min="516" max="516" width="14.85546875" style="127" bestFit="1" customWidth="1"/>
    <col min="517" max="517" width="16.28515625" style="127" customWidth="1"/>
    <col min="518" max="759" width="9.140625" style="127"/>
    <col min="760" max="760" width="33.140625" style="127" customWidth="1"/>
    <col min="761" max="761" width="50.42578125" style="127" customWidth="1"/>
    <col min="762" max="762" width="0" style="127" hidden="1" customWidth="1"/>
    <col min="763" max="763" width="16.7109375" style="127" customWidth="1"/>
    <col min="764" max="764" width="19.85546875" style="127" customWidth="1"/>
    <col min="765" max="765" width="21.140625" style="127" customWidth="1"/>
    <col min="766" max="771" width="0" style="127" hidden="1" customWidth="1"/>
    <col min="772" max="772" width="14.85546875" style="127" bestFit="1" customWidth="1"/>
    <col min="773" max="773" width="16.28515625" style="127" customWidth="1"/>
    <col min="774" max="1015" width="9.140625" style="127"/>
    <col min="1016" max="1016" width="33.140625" style="127" customWidth="1"/>
    <col min="1017" max="1017" width="50.42578125" style="127" customWidth="1"/>
    <col min="1018" max="1018" width="0" style="127" hidden="1" customWidth="1"/>
    <col min="1019" max="1019" width="16.7109375" style="127" customWidth="1"/>
    <col min="1020" max="1020" width="19.85546875" style="127" customWidth="1"/>
    <col min="1021" max="1021" width="21.140625" style="127" customWidth="1"/>
    <col min="1022" max="1027" width="0" style="127" hidden="1" customWidth="1"/>
    <col min="1028" max="1028" width="14.85546875" style="127" bestFit="1" customWidth="1"/>
    <col min="1029" max="1029" width="16.28515625" style="127" customWidth="1"/>
    <col min="1030" max="1271" width="9.140625" style="127"/>
    <col min="1272" max="1272" width="33.140625" style="127" customWidth="1"/>
    <col min="1273" max="1273" width="50.42578125" style="127" customWidth="1"/>
    <col min="1274" max="1274" width="0" style="127" hidden="1" customWidth="1"/>
    <col min="1275" max="1275" width="16.7109375" style="127" customWidth="1"/>
    <col min="1276" max="1276" width="19.85546875" style="127" customWidth="1"/>
    <col min="1277" max="1277" width="21.140625" style="127" customWidth="1"/>
    <col min="1278" max="1283" width="0" style="127" hidden="1" customWidth="1"/>
    <col min="1284" max="1284" width="14.85546875" style="127" bestFit="1" customWidth="1"/>
    <col min="1285" max="1285" width="16.28515625" style="127" customWidth="1"/>
    <col min="1286" max="1527" width="9.140625" style="127"/>
    <col min="1528" max="1528" width="33.140625" style="127" customWidth="1"/>
    <col min="1529" max="1529" width="50.42578125" style="127" customWidth="1"/>
    <col min="1530" max="1530" width="0" style="127" hidden="1" customWidth="1"/>
    <col min="1531" max="1531" width="16.7109375" style="127" customWidth="1"/>
    <col min="1532" max="1532" width="19.85546875" style="127" customWidth="1"/>
    <col min="1533" max="1533" width="21.140625" style="127" customWidth="1"/>
    <col min="1534" max="1539" width="0" style="127" hidden="1" customWidth="1"/>
    <col min="1540" max="1540" width="14.85546875" style="127" bestFit="1" customWidth="1"/>
    <col min="1541" max="1541" width="16.28515625" style="127" customWidth="1"/>
    <col min="1542" max="1783" width="9.140625" style="127"/>
    <col min="1784" max="1784" width="33.140625" style="127" customWidth="1"/>
    <col min="1785" max="1785" width="50.42578125" style="127" customWidth="1"/>
    <col min="1786" max="1786" width="0" style="127" hidden="1" customWidth="1"/>
    <col min="1787" max="1787" width="16.7109375" style="127" customWidth="1"/>
    <col min="1788" max="1788" width="19.85546875" style="127" customWidth="1"/>
    <col min="1789" max="1789" width="21.140625" style="127" customWidth="1"/>
    <col min="1790" max="1795" width="0" style="127" hidden="1" customWidth="1"/>
    <col min="1796" max="1796" width="14.85546875" style="127" bestFit="1" customWidth="1"/>
    <col min="1797" max="1797" width="16.28515625" style="127" customWidth="1"/>
    <col min="1798" max="2039" width="9.140625" style="127"/>
    <col min="2040" max="2040" width="33.140625" style="127" customWidth="1"/>
    <col min="2041" max="2041" width="50.42578125" style="127" customWidth="1"/>
    <col min="2042" max="2042" width="0" style="127" hidden="1" customWidth="1"/>
    <col min="2043" max="2043" width="16.7109375" style="127" customWidth="1"/>
    <col min="2044" max="2044" width="19.85546875" style="127" customWidth="1"/>
    <col min="2045" max="2045" width="21.140625" style="127" customWidth="1"/>
    <col min="2046" max="2051" width="0" style="127" hidden="1" customWidth="1"/>
    <col min="2052" max="2052" width="14.85546875" style="127" bestFit="1" customWidth="1"/>
    <col min="2053" max="2053" width="16.28515625" style="127" customWidth="1"/>
    <col min="2054" max="2295" width="9.140625" style="127"/>
    <col min="2296" max="2296" width="33.140625" style="127" customWidth="1"/>
    <col min="2297" max="2297" width="50.42578125" style="127" customWidth="1"/>
    <col min="2298" max="2298" width="0" style="127" hidden="1" customWidth="1"/>
    <col min="2299" max="2299" width="16.7109375" style="127" customWidth="1"/>
    <col min="2300" max="2300" width="19.85546875" style="127" customWidth="1"/>
    <col min="2301" max="2301" width="21.140625" style="127" customWidth="1"/>
    <col min="2302" max="2307" width="0" style="127" hidden="1" customWidth="1"/>
    <col min="2308" max="2308" width="14.85546875" style="127" bestFit="1" customWidth="1"/>
    <col min="2309" max="2309" width="16.28515625" style="127" customWidth="1"/>
    <col min="2310" max="2551" width="9.140625" style="127"/>
    <col min="2552" max="2552" width="33.140625" style="127" customWidth="1"/>
    <col min="2553" max="2553" width="50.42578125" style="127" customWidth="1"/>
    <col min="2554" max="2554" width="0" style="127" hidden="1" customWidth="1"/>
    <col min="2555" max="2555" width="16.7109375" style="127" customWidth="1"/>
    <col min="2556" max="2556" width="19.85546875" style="127" customWidth="1"/>
    <col min="2557" max="2557" width="21.140625" style="127" customWidth="1"/>
    <col min="2558" max="2563" width="0" style="127" hidden="1" customWidth="1"/>
    <col min="2564" max="2564" width="14.85546875" style="127" bestFit="1" customWidth="1"/>
    <col min="2565" max="2565" width="16.28515625" style="127" customWidth="1"/>
    <col min="2566" max="2807" width="9.140625" style="127"/>
    <col min="2808" max="2808" width="33.140625" style="127" customWidth="1"/>
    <col min="2809" max="2809" width="50.42578125" style="127" customWidth="1"/>
    <col min="2810" max="2810" width="0" style="127" hidden="1" customWidth="1"/>
    <col min="2811" max="2811" width="16.7109375" style="127" customWidth="1"/>
    <col min="2812" max="2812" width="19.85546875" style="127" customWidth="1"/>
    <col min="2813" max="2813" width="21.140625" style="127" customWidth="1"/>
    <col min="2814" max="2819" width="0" style="127" hidden="1" customWidth="1"/>
    <col min="2820" max="2820" width="14.85546875" style="127" bestFit="1" customWidth="1"/>
    <col min="2821" max="2821" width="16.28515625" style="127" customWidth="1"/>
    <col min="2822" max="3063" width="9.140625" style="127"/>
    <col min="3064" max="3064" width="33.140625" style="127" customWidth="1"/>
    <col min="3065" max="3065" width="50.42578125" style="127" customWidth="1"/>
    <col min="3066" max="3066" width="0" style="127" hidden="1" customWidth="1"/>
    <col min="3067" max="3067" width="16.7109375" style="127" customWidth="1"/>
    <col min="3068" max="3068" width="19.85546875" style="127" customWidth="1"/>
    <col min="3069" max="3069" width="21.140625" style="127" customWidth="1"/>
    <col min="3070" max="3075" width="0" style="127" hidden="1" customWidth="1"/>
    <col min="3076" max="3076" width="14.85546875" style="127" bestFit="1" customWidth="1"/>
    <col min="3077" max="3077" width="16.28515625" style="127" customWidth="1"/>
    <col min="3078" max="3319" width="9.140625" style="127"/>
    <col min="3320" max="3320" width="33.140625" style="127" customWidth="1"/>
    <col min="3321" max="3321" width="50.42578125" style="127" customWidth="1"/>
    <col min="3322" max="3322" width="0" style="127" hidden="1" customWidth="1"/>
    <col min="3323" max="3323" width="16.7109375" style="127" customWidth="1"/>
    <col min="3324" max="3324" width="19.85546875" style="127" customWidth="1"/>
    <col min="3325" max="3325" width="21.140625" style="127" customWidth="1"/>
    <col min="3326" max="3331" width="0" style="127" hidden="1" customWidth="1"/>
    <col min="3332" max="3332" width="14.85546875" style="127" bestFit="1" customWidth="1"/>
    <col min="3333" max="3333" width="16.28515625" style="127" customWidth="1"/>
    <col min="3334" max="3575" width="9.140625" style="127"/>
    <col min="3576" max="3576" width="33.140625" style="127" customWidth="1"/>
    <col min="3577" max="3577" width="50.42578125" style="127" customWidth="1"/>
    <col min="3578" max="3578" width="0" style="127" hidden="1" customWidth="1"/>
    <col min="3579" max="3579" width="16.7109375" style="127" customWidth="1"/>
    <col min="3580" max="3580" width="19.85546875" style="127" customWidth="1"/>
    <col min="3581" max="3581" width="21.140625" style="127" customWidth="1"/>
    <col min="3582" max="3587" width="0" style="127" hidden="1" customWidth="1"/>
    <col min="3588" max="3588" width="14.85546875" style="127" bestFit="1" customWidth="1"/>
    <col min="3589" max="3589" width="16.28515625" style="127" customWidth="1"/>
    <col min="3590" max="3831" width="9.140625" style="127"/>
    <col min="3832" max="3832" width="33.140625" style="127" customWidth="1"/>
    <col min="3833" max="3833" width="50.42578125" style="127" customWidth="1"/>
    <col min="3834" max="3834" width="0" style="127" hidden="1" customWidth="1"/>
    <col min="3835" max="3835" width="16.7109375" style="127" customWidth="1"/>
    <col min="3836" max="3836" width="19.85546875" style="127" customWidth="1"/>
    <col min="3837" max="3837" width="21.140625" style="127" customWidth="1"/>
    <col min="3838" max="3843" width="0" style="127" hidden="1" customWidth="1"/>
    <col min="3844" max="3844" width="14.85546875" style="127" bestFit="1" customWidth="1"/>
    <col min="3845" max="3845" width="16.28515625" style="127" customWidth="1"/>
    <col min="3846" max="4087" width="9.140625" style="127"/>
    <col min="4088" max="4088" width="33.140625" style="127" customWidth="1"/>
    <col min="4089" max="4089" width="50.42578125" style="127" customWidth="1"/>
    <col min="4090" max="4090" width="0" style="127" hidden="1" customWidth="1"/>
    <col min="4091" max="4091" width="16.7109375" style="127" customWidth="1"/>
    <col min="4092" max="4092" width="19.85546875" style="127" customWidth="1"/>
    <col min="4093" max="4093" width="21.140625" style="127" customWidth="1"/>
    <col min="4094" max="4099" width="0" style="127" hidden="1" customWidth="1"/>
    <col min="4100" max="4100" width="14.85546875" style="127" bestFit="1" customWidth="1"/>
    <col min="4101" max="4101" width="16.28515625" style="127" customWidth="1"/>
    <col min="4102" max="4343" width="9.140625" style="127"/>
    <col min="4344" max="4344" width="33.140625" style="127" customWidth="1"/>
    <col min="4345" max="4345" width="50.42578125" style="127" customWidth="1"/>
    <col min="4346" max="4346" width="0" style="127" hidden="1" customWidth="1"/>
    <col min="4347" max="4347" width="16.7109375" style="127" customWidth="1"/>
    <col min="4348" max="4348" width="19.85546875" style="127" customWidth="1"/>
    <col min="4349" max="4349" width="21.140625" style="127" customWidth="1"/>
    <col min="4350" max="4355" width="0" style="127" hidden="1" customWidth="1"/>
    <col min="4356" max="4356" width="14.85546875" style="127" bestFit="1" customWidth="1"/>
    <col min="4357" max="4357" width="16.28515625" style="127" customWidth="1"/>
    <col min="4358" max="4599" width="9.140625" style="127"/>
    <col min="4600" max="4600" width="33.140625" style="127" customWidth="1"/>
    <col min="4601" max="4601" width="50.42578125" style="127" customWidth="1"/>
    <col min="4602" max="4602" width="0" style="127" hidden="1" customWidth="1"/>
    <col min="4603" max="4603" width="16.7109375" style="127" customWidth="1"/>
    <col min="4604" max="4604" width="19.85546875" style="127" customWidth="1"/>
    <col min="4605" max="4605" width="21.140625" style="127" customWidth="1"/>
    <col min="4606" max="4611" width="0" style="127" hidden="1" customWidth="1"/>
    <col min="4612" max="4612" width="14.85546875" style="127" bestFit="1" customWidth="1"/>
    <col min="4613" max="4613" width="16.28515625" style="127" customWidth="1"/>
    <col min="4614" max="4855" width="9.140625" style="127"/>
    <col min="4856" max="4856" width="33.140625" style="127" customWidth="1"/>
    <col min="4857" max="4857" width="50.42578125" style="127" customWidth="1"/>
    <col min="4858" max="4858" width="0" style="127" hidden="1" customWidth="1"/>
    <col min="4859" max="4859" width="16.7109375" style="127" customWidth="1"/>
    <col min="4860" max="4860" width="19.85546875" style="127" customWidth="1"/>
    <col min="4861" max="4861" width="21.140625" style="127" customWidth="1"/>
    <col min="4862" max="4867" width="0" style="127" hidden="1" customWidth="1"/>
    <col min="4868" max="4868" width="14.85546875" style="127" bestFit="1" customWidth="1"/>
    <col min="4869" max="4869" width="16.28515625" style="127" customWidth="1"/>
    <col min="4870" max="5111" width="9.140625" style="127"/>
    <col min="5112" max="5112" width="33.140625" style="127" customWidth="1"/>
    <col min="5113" max="5113" width="50.42578125" style="127" customWidth="1"/>
    <col min="5114" max="5114" width="0" style="127" hidden="1" customWidth="1"/>
    <col min="5115" max="5115" width="16.7109375" style="127" customWidth="1"/>
    <col min="5116" max="5116" width="19.85546875" style="127" customWidth="1"/>
    <col min="5117" max="5117" width="21.140625" style="127" customWidth="1"/>
    <col min="5118" max="5123" width="0" style="127" hidden="1" customWidth="1"/>
    <col min="5124" max="5124" width="14.85546875" style="127" bestFit="1" customWidth="1"/>
    <col min="5125" max="5125" width="16.28515625" style="127" customWidth="1"/>
    <col min="5126" max="5367" width="9.140625" style="127"/>
    <col min="5368" max="5368" width="33.140625" style="127" customWidth="1"/>
    <col min="5369" max="5369" width="50.42578125" style="127" customWidth="1"/>
    <col min="5370" max="5370" width="0" style="127" hidden="1" customWidth="1"/>
    <col min="5371" max="5371" width="16.7109375" style="127" customWidth="1"/>
    <col min="5372" max="5372" width="19.85546875" style="127" customWidth="1"/>
    <col min="5373" max="5373" width="21.140625" style="127" customWidth="1"/>
    <col min="5374" max="5379" width="0" style="127" hidden="1" customWidth="1"/>
    <col min="5380" max="5380" width="14.85546875" style="127" bestFit="1" customWidth="1"/>
    <col min="5381" max="5381" width="16.28515625" style="127" customWidth="1"/>
    <col min="5382" max="5623" width="9.140625" style="127"/>
    <col min="5624" max="5624" width="33.140625" style="127" customWidth="1"/>
    <col min="5625" max="5625" width="50.42578125" style="127" customWidth="1"/>
    <col min="5626" max="5626" width="0" style="127" hidden="1" customWidth="1"/>
    <col min="5627" max="5627" width="16.7109375" style="127" customWidth="1"/>
    <col min="5628" max="5628" width="19.85546875" style="127" customWidth="1"/>
    <col min="5629" max="5629" width="21.140625" style="127" customWidth="1"/>
    <col min="5630" max="5635" width="0" style="127" hidden="1" customWidth="1"/>
    <col min="5636" max="5636" width="14.85546875" style="127" bestFit="1" customWidth="1"/>
    <col min="5637" max="5637" width="16.28515625" style="127" customWidth="1"/>
    <col min="5638" max="5879" width="9.140625" style="127"/>
    <col min="5880" max="5880" width="33.140625" style="127" customWidth="1"/>
    <col min="5881" max="5881" width="50.42578125" style="127" customWidth="1"/>
    <col min="5882" max="5882" width="0" style="127" hidden="1" customWidth="1"/>
    <col min="5883" max="5883" width="16.7109375" style="127" customWidth="1"/>
    <col min="5884" max="5884" width="19.85546875" style="127" customWidth="1"/>
    <col min="5885" max="5885" width="21.140625" style="127" customWidth="1"/>
    <col min="5886" max="5891" width="0" style="127" hidden="1" customWidth="1"/>
    <col min="5892" max="5892" width="14.85546875" style="127" bestFit="1" customWidth="1"/>
    <col min="5893" max="5893" width="16.28515625" style="127" customWidth="1"/>
    <col min="5894" max="6135" width="9.140625" style="127"/>
    <col min="6136" max="6136" width="33.140625" style="127" customWidth="1"/>
    <col min="6137" max="6137" width="50.42578125" style="127" customWidth="1"/>
    <col min="6138" max="6138" width="0" style="127" hidden="1" customWidth="1"/>
    <col min="6139" max="6139" width="16.7109375" style="127" customWidth="1"/>
    <col min="6140" max="6140" width="19.85546875" style="127" customWidth="1"/>
    <col min="6141" max="6141" width="21.140625" style="127" customWidth="1"/>
    <col min="6142" max="6147" width="0" style="127" hidden="1" customWidth="1"/>
    <col min="6148" max="6148" width="14.85546875" style="127" bestFit="1" customWidth="1"/>
    <col min="6149" max="6149" width="16.28515625" style="127" customWidth="1"/>
    <col min="6150" max="6391" width="9.140625" style="127"/>
    <col min="6392" max="6392" width="33.140625" style="127" customWidth="1"/>
    <col min="6393" max="6393" width="50.42578125" style="127" customWidth="1"/>
    <col min="6394" max="6394" width="0" style="127" hidden="1" customWidth="1"/>
    <col min="6395" max="6395" width="16.7109375" style="127" customWidth="1"/>
    <col min="6396" max="6396" width="19.85546875" style="127" customWidth="1"/>
    <col min="6397" max="6397" width="21.140625" style="127" customWidth="1"/>
    <col min="6398" max="6403" width="0" style="127" hidden="1" customWidth="1"/>
    <col min="6404" max="6404" width="14.85546875" style="127" bestFit="1" customWidth="1"/>
    <col min="6405" max="6405" width="16.28515625" style="127" customWidth="1"/>
    <col min="6406" max="6647" width="9.140625" style="127"/>
    <col min="6648" max="6648" width="33.140625" style="127" customWidth="1"/>
    <col min="6649" max="6649" width="50.42578125" style="127" customWidth="1"/>
    <col min="6650" max="6650" width="0" style="127" hidden="1" customWidth="1"/>
    <col min="6651" max="6651" width="16.7109375" style="127" customWidth="1"/>
    <col min="6652" max="6652" width="19.85546875" style="127" customWidth="1"/>
    <col min="6653" max="6653" width="21.140625" style="127" customWidth="1"/>
    <col min="6654" max="6659" width="0" style="127" hidden="1" customWidth="1"/>
    <col min="6660" max="6660" width="14.85546875" style="127" bestFit="1" customWidth="1"/>
    <col min="6661" max="6661" width="16.28515625" style="127" customWidth="1"/>
    <col min="6662" max="6903" width="9.140625" style="127"/>
    <col min="6904" max="6904" width="33.140625" style="127" customWidth="1"/>
    <col min="6905" max="6905" width="50.42578125" style="127" customWidth="1"/>
    <col min="6906" max="6906" width="0" style="127" hidden="1" customWidth="1"/>
    <col min="6907" max="6907" width="16.7109375" style="127" customWidth="1"/>
    <col min="6908" max="6908" width="19.85546875" style="127" customWidth="1"/>
    <col min="6909" max="6909" width="21.140625" style="127" customWidth="1"/>
    <col min="6910" max="6915" width="0" style="127" hidden="1" customWidth="1"/>
    <col min="6916" max="6916" width="14.85546875" style="127" bestFit="1" customWidth="1"/>
    <col min="6917" max="6917" width="16.28515625" style="127" customWidth="1"/>
    <col min="6918" max="7159" width="9.140625" style="127"/>
    <col min="7160" max="7160" width="33.140625" style="127" customWidth="1"/>
    <col min="7161" max="7161" width="50.42578125" style="127" customWidth="1"/>
    <col min="7162" max="7162" width="0" style="127" hidden="1" customWidth="1"/>
    <col min="7163" max="7163" width="16.7109375" style="127" customWidth="1"/>
    <col min="7164" max="7164" width="19.85546875" style="127" customWidth="1"/>
    <col min="7165" max="7165" width="21.140625" style="127" customWidth="1"/>
    <col min="7166" max="7171" width="0" style="127" hidden="1" customWidth="1"/>
    <col min="7172" max="7172" width="14.85546875" style="127" bestFit="1" customWidth="1"/>
    <col min="7173" max="7173" width="16.28515625" style="127" customWidth="1"/>
    <col min="7174" max="7415" width="9.140625" style="127"/>
    <col min="7416" max="7416" width="33.140625" style="127" customWidth="1"/>
    <col min="7417" max="7417" width="50.42578125" style="127" customWidth="1"/>
    <col min="7418" max="7418" width="0" style="127" hidden="1" customWidth="1"/>
    <col min="7419" max="7419" width="16.7109375" style="127" customWidth="1"/>
    <col min="7420" max="7420" width="19.85546875" style="127" customWidth="1"/>
    <col min="7421" max="7421" width="21.140625" style="127" customWidth="1"/>
    <col min="7422" max="7427" width="0" style="127" hidden="1" customWidth="1"/>
    <col min="7428" max="7428" width="14.85546875" style="127" bestFit="1" customWidth="1"/>
    <col min="7429" max="7429" width="16.28515625" style="127" customWidth="1"/>
    <col min="7430" max="7671" width="9.140625" style="127"/>
    <col min="7672" max="7672" width="33.140625" style="127" customWidth="1"/>
    <col min="7673" max="7673" width="50.42578125" style="127" customWidth="1"/>
    <col min="7674" max="7674" width="0" style="127" hidden="1" customWidth="1"/>
    <col min="7675" max="7675" width="16.7109375" style="127" customWidth="1"/>
    <col min="7676" max="7676" width="19.85546875" style="127" customWidth="1"/>
    <col min="7677" max="7677" width="21.140625" style="127" customWidth="1"/>
    <col min="7678" max="7683" width="0" style="127" hidden="1" customWidth="1"/>
    <col min="7684" max="7684" width="14.85546875" style="127" bestFit="1" customWidth="1"/>
    <col min="7685" max="7685" width="16.28515625" style="127" customWidth="1"/>
    <col min="7686" max="7927" width="9.140625" style="127"/>
    <col min="7928" max="7928" width="33.140625" style="127" customWidth="1"/>
    <col min="7929" max="7929" width="50.42578125" style="127" customWidth="1"/>
    <col min="7930" max="7930" width="0" style="127" hidden="1" customWidth="1"/>
    <col min="7931" max="7931" width="16.7109375" style="127" customWidth="1"/>
    <col min="7932" max="7932" width="19.85546875" style="127" customWidth="1"/>
    <col min="7933" max="7933" width="21.140625" style="127" customWidth="1"/>
    <col min="7934" max="7939" width="0" style="127" hidden="1" customWidth="1"/>
    <col min="7940" max="7940" width="14.85546875" style="127" bestFit="1" customWidth="1"/>
    <col min="7941" max="7941" width="16.28515625" style="127" customWidth="1"/>
    <col min="7942" max="8183" width="9.140625" style="127"/>
    <col min="8184" max="8184" width="33.140625" style="127" customWidth="1"/>
    <col min="8185" max="8185" width="50.42578125" style="127" customWidth="1"/>
    <col min="8186" max="8186" width="0" style="127" hidden="1" customWidth="1"/>
    <col min="8187" max="8187" width="16.7109375" style="127" customWidth="1"/>
    <col min="8188" max="8188" width="19.85546875" style="127" customWidth="1"/>
    <col min="8189" max="8189" width="21.140625" style="127" customWidth="1"/>
    <col min="8190" max="8195" width="0" style="127" hidden="1" customWidth="1"/>
    <col min="8196" max="8196" width="14.85546875" style="127" bestFit="1" customWidth="1"/>
    <col min="8197" max="8197" width="16.28515625" style="127" customWidth="1"/>
    <col min="8198" max="8439" width="9.140625" style="127"/>
    <col min="8440" max="8440" width="33.140625" style="127" customWidth="1"/>
    <col min="8441" max="8441" width="50.42578125" style="127" customWidth="1"/>
    <col min="8442" max="8442" width="0" style="127" hidden="1" customWidth="1"/>
    <col min="8443" max="8443" width="16.7109375" style="127" customWidth="1"/>
    <col min="8444" max="8444" width="19.85546875" style="127" customWidth="1"/>
    <col min="8445" max="8445" width="21.140625" style="127" customWidth="1"/>
    <col min="8446" max="8451" width="0" style="127" hidden="1" customWidth="1"/>
    <col min="8452" max="8452" width="14.85546875" style="127" bestFit="1" customWidth="1"/>
    <col min="8453" max="8453" width="16.28515625" style="127" customWidth="1"/>
    <col min="8454" max="8695" width="9.140625" style="127"/>
    <col min="8696" max="8696" width="33.140625" style="127" customWidth="1"/>
    <col min="8697" max="8697" width="50.42578125" style="127" customWidth="1"/>
    <col min="8698" max="8698" width="0" style="127" hidden="1" customWidth="1"/>
    <col min="8699" max="8699" width="16.7109375" style="127" customWidth="1"/>
    <col min="8700" max="8700" width="19.85546875" style="127" customWidth="1"/>
    <col min="8701" max="8701" width="21.140625" style="127" customWidth="1"/>
    <col min="8702" max="8707" width="0" style="127" hidden="1" customWidth="1"/>
    <col min="8708" max="8708" width="14.85546875" style="127" bestFit="1" customWidth="1"/>
    <col min="8709" max="8709" width="16.28515625" style="127" customWidth="1"/>
    <col min="8710" max="8951" width="9.140625" style="127"/>
    <col min="8952" max="8952" width="33.140625" style="127" customWidth="1"/>
    <col min="8953" max="8953" width="50.42578125" style="127" customWidth="1"/>
    <col min="8954" max="8954" width="0" style="127" hidden="1" customWidth="1"/>
    <col min="8955" max="8955" width="16.7109375" style="127" customWidth="1"/>
    <col min="8956" max="8956" width="19.85546875" style="127" customWidth="1"/>
    <col min="8957" max="8957" width="21.140625" style="127" customWidth="1"/>
    <col min="8958" max="8963" width="0" style="127" hidden="1" customWidth="1"/>
    <col min="8964" max="8964" width="14.85546875" style="127" bestFit="1" customWidth="1"/>
    <col min="8965" max="8965" width="16.28515625" style="127" customWidth="1"/>
    <col min="8966" max="9207" width="9.140625" style="127"/>
    <col min="9208" max="9208" width="33.140625" style="127" customWidth="1"/>
    <col min="9209" max="9209" width="50.42578125" style="127" customWidth="1"/>
    <col min="9210" max="9210" width="0" style="127" hidden="1" customWidth="1"/>
    <col min="9211" max="9211" width="16.7109375" style="127" customWidth="1"/>
    <col min="9212" max="9212" width="19.85546875" style="127" customWidth="1"/>
    <col min="9213" max="9213" width="21.140625" style="127" customWidth="1"/>
    <col min="9214" max="9219" width="0" style="127" hidden="1" customWidth="1"/>
    <col min="9220" max="9220" width="14.85546875" style="127" bestFit="1" customWidth="1"/>
    <col min="9221" max="9221" width="16.28515625" style="127" customWidth="1"/>
    <col min="9222" max="9463" width="9.140625" style="127"/>
    <col min="9464" max="9464" width="33.140625" style="127" customWidth="1"/>
    <col min="9465" max="9465" width="50.42578125" style="127" customWidth="1"/>
    <col min="9466" max="9466" width="0" style="127" hidden="1" customWidth="1"/>
    <col min="9467" max="9467" width="16.7109375" style="127" customWidth="1"/>
    <col min="9468" max="9468" width="19.85546875" style="127" customWidth="1"/>
    <col min="9469" max="9469" width="21.140625" style="127" customWidth="1"/>
    <col min="9470" max="9475" width="0" style="127" hidden="1" customWidth="1"/>
    <col min="9476" max="9476" width="14.85546875" style="127" bestFit="1" customWidth="1"/>
    <col min="9477" max="9477" width="16.28515625" style="127" customWidth="1"/>
    <col min="9478" max="9719" width="9.140625" style="127"/>
    <col min="9720" max="9720" width="33.140625" style="127" customWidth="1"/>
    <col min="9721" max="9721" width="50.42578125" style="127" customWidth="1"/>
    <col min="9722" max="9722" width="0" style="127" hidden="1" customWidth="1"/>
    <col min="9723" max="9723" width="16.7109375" style="127" customWidth="1"/>
    <col min="9724" max="9724" width="19.85546875" style="127" customWidth="1"/>
    <col min="9725" max="9725" width="21.140625" style="127" customWidth="1"/>
    <col min="9726" max="9731" width="0" style="127" hidden="1" customWidth="1"/>
    <col min="9732" max="9732" width="14.85546875" style="127" bestFit="1" customWidth="1"/>
    <col min="9733" max="9733" width="16.28515625" style="127" customWidth="1"/>
    <col min="9734" max="9975" width="9.140625" style="127"/>
    <col min="9976" max="9976" width="33.140625" style="127" customWidth="1"/>
    <col min="9977" max="9977" width="50.42578125" style="127" customWidth="1"/>
    <col min="9978" max="9978" width="0" style="127" hidden="1" customWidth="1"/>
    <col min="9979" max="9979" width="16.7109375" style="127" customWidth="1"/>
    <col min="9980" max="9980" width="19.85546875" style="127" customWidth="1"/>
    <col min="9981" max="9981" width="21.140625" style="127" customWidth="1"/>
    <col min="9982" max="9987" width="0" style="127" hidden="1" customWidth="1"/>
    <col min="9988" max="9988" width="14.85546875" style="127" bestFit="1" customWidth="1"/>
    <col min="9989" max="9989" width="16.28515625" style="127" customWidth="1"/>
    <col min="9990" max="10231" width="9.140625" style="127"/>
    <col min="10232" max="10232" width="33.140625" style="127" customWidth="1"/>
    <col min="10233" max="10233" width="50.42578125" style="127" customWidth="1"/>
    <col min="10234" max="10234" width="0" style="127" hidden="1" customWidth="1"/>
    <col min="10235" max="10235" width="16.7109375" style="127" customWidth="1"/>
    <col min="10236" max="10236" width="19.85546875" style="127" customWidth="1"/>
    <col min="10237" max="10237" width="21.140625" style="127" customWidth="1"/>
    <col min="10238" max="10243" width="0" style="127" hidden="1" customWidth="1"/>
    <col min="10244" max="10244" width="14.85546875" style="127" bestFit="1" customWidth="1"/>
    <col min="10245" max="10245" width="16.28515625" style="127" customWidth="1"/>
    <col min="10246" max="10487" width="9.140625" style="127"/>
    <col min="10488" max="10488" width="33.140625" style="127" customWidth="1"/>
    <col min="10489" max="10489" width="50.42578125" style="127" customWidth="1"/>
    <col min="10490" max="10490" width="0" style="127" hidden="1" customWidth="1"/>
    <col min="10491" max="10491" width="16.7109375" style="127" customWidth="1"/>
    <col min="10492" max="10492" width="19.85546875" style="127" customWidth="1"/>
    <col min="10493" max="10493" width="21.140625" style="127" customWidth="1"/>
    <col min="10494" max="10499" width="0" style="127" hidden="1" customWidth="1"/>
    <col min="10500" max="10500" width="14.85546875" style="127" bestFit="1" customWidth="1"/>
    <col min="10501" max="10501" width="16.28515625" style="127" customWidth="1"/>
    <col min="10502" max="10743" width="9.140625" style="127"/>
    <col min="10744" max="10744" width="33.140625" style="127" customWidth="1"/>
    <col min="10745" max="10745" width="50.42578125" style="127" customWidth="1"/>
    <col min="10746" max="10746" width="0" style="127" hidden="1" customWidth="1"/>
    <col min="10747" max="10747" width="16.7109375" style="127" customWidth="1"/>
    <col min="10748" max="10748" width="19.85546875" style="127" customWidth="1"/>
    <col min="10749" max="10749" width="21.140625" style="127" customWidth="1"/>
    <col min="10750" max="10755" width="0" style="127" hidden="1" customWidth="1"/>
    <col min="10756" max="10756" width="14.85546875" style="127" bestFit="1" customWidth="1"/>
    <col min="10757" max="10757" width="16.28515625" style="127" customWidth="1"/>
    <col min="10758" max="10999" width="9.140625" style="127"/>
    <col min="11000" max="11000" width="33.140625" style="127" customWidth="1"/>
    <col min="11001" max="11001" width="50.42578125" style="127" customWidth="1"/>
    <col min="11002" max="11002" width="0" style="127" hidden="1" customWidth="1"/>
    <col min="11003" max="11003" width="16.7109375" style="127" customWidth="1"/>
    <col min="11004" max="11004" width="19.85546875" style="127" customWidth="1"/>
    <col min="11005" max="11005" width="21.140625" style="127" customWidth="1"/>
    <col min="11006" max="11011" width="0" style="127" hidden="1" customWidth="1"/>
    <col min="11012" max="11012" width="14.85546875" style="127" bestFit="1" customWidth="1"/>
    <col min="11013" max="11013" width="16.28515625" style="127" customWidth="1"/>
    <col min="11014" max="11255" width="9.140625" style="127"/>
    <col min="11256" max="11256" width="33.140625" style="127" customWidth="1"/>
    <col min="11257" max="11257" width="50.42578125" style="127" customWidth="1"/>
    <col min="11258" max="11258" width="0" style="127" hidden="1" customWidth="1"/>
    <col min="11259" max="11259" width="16.7109375" style="127" customWidth="1"/>
    <col min="11260" max="11260" width="19.85546875" style="127" customWidth="1"/>
    <col min="11261" max="11261" width="21.140625" style="127" customWidth="1"/>
    <col min="11262" max="11267" width="0" style="127" hidden="1" customWidth="1"/>
    <col min="11268" max="11268" width="14.85546875" style="127" bestFit="1" customWidth="1"/>
    <col min="11269" max="11269" width="16.28515625" style="127" customWidth="1"/>
    <col min="11270" max="11511" width="9.140625" style="127"/>
    <col min="11512" max="11512" width="33.140625" style="127" customWidth="1"/>
    <col min="11513" max="11513" width="50.42578125" style="127" customWidth="1"/>
    <col min="11514" max="11514" width="0" style="127" hidden="1" customWidth="1"/>
    <col min="11515" max="11515" width="16.7109375" style="127" customWidth="1"/>
    <col min="11516" max="11516" width="19.85546875" style="127" customWidth="1"/>
    <col min="11517" max="11517" width="21.140625" style="127" customWidth="1"/>
    <col min="11518" max="11523" width="0" style="127" hidden="1" customWidth="1"/>
    <col min="11524" max="11524" width="14.85546875" style="127" bestFit="1" customWidth="1"/>
    <col min="11525" max="11525" width="16.28515625" style="127" customWidth="1"/>
    <col min="11526" max="11767" width="9.140625" style="127"/>
    <col min="11768" max="11768" width="33.140625" style="127" customWidth="1"/>
    <col min="11769" max="11769" width="50.42578125" style="127" customWidth="1"/>
    <col min="11770" max="11770" width="0" style="127" hidden="1" customWidth="1"/>
    <col min="11771" max="11771" width="16.7109375" style="127" customWidth="1"/>
    <col min="11772" max="11772" width="19.85546875" style="127" customWidth="1"/>
    <col min="11773" max="11773" width="21.140625" style="127" customWidth="1"/>
    <col min="11774" max="11779" width="0" style="127" hidden="1" customWidth="1"/>
    <col min="11780" max="11780" width="14.85546875" style="127" bestFit="1" customWidth="1"/>
    <col min="11781" max="11781" width="16.28515625" style="127" customWidth="1"/>
    <col min="11782" max="12023" width="9.140625" style="127"/>
    <col min="12024" max="12024" width="33.140625" style="127" customWidth="1"/>
    <col min="12025" max="12025" width="50.42578125" style="127" customWidth="1"/>
    <col min="12026" max="12026" width="0" style="127" hidden="1" customWidth="1"/>
    <col min="12027" max="12027" width="16.7109375" style="127" customWidth="1"/>
    <col min="12028" max="12028" width="19.85546875" style="127" customWidth="1"/>
    <col min="12029" max="12029" width="21.140625" style="127" customWidth="1"/>
    <col min="12030" max="12035" width="0" style="127" hidden="1" customWidth="1"/>
    <col min="12036" max="12036" width="14.85546875" style="127" bestFit="1" customWidth="1"/>
    <col min="12037" max="12037" width="16.28515625" style="127" customWidth="1"/>
    <col min="12038" max="12279" width="9.140625" style="127"/>
    <col min="12280" max="12280" width="33.140625" style="127" customWidth="1"/>
    <col min="12281" max="12281" width="50.42578125" style="127" customWidth="1"/>
    <col min="12282" max="12282" width="0" style="127" hidden="1" customWidth="1"/>
    <col min="12283" max="12283" width="16.7109375" style="127" customWidth="1"/>
    <col min="12284" max="12284" width="19.85546875" style="127" customWidth="1"/>
    <col min="12285" max="12285" width="21.140625" style="127" customWidth="1"/>
    <col min="12286" max="12291" width="0" style="127" hidden="1" customWidth="1"/>
    <col min="12292" max="12292" width="14.85546875" style="127" bestFit="1" customWidth="1"/>
    <col min="12293" max="12293" width="16.28515625" style="127" customWidth="1"/>
    <col min="12294" max="12535" width="9.140625" style="127"/>
    <col min="12536" max="12536" width="33.140625" style="127" customWidth="1"/>
    <col min="12537" max="12537" width="50.42578125" style="127" customWidth="1"/>
    <col min="12538" max="12538" width="0" style="127" hidden="1" customWidth="1"/>
    <col min="12539" max="12539" width="16.7109375" style="127" customWidth="1"/>
    <col min="12540" max="12540" width="19.85546875" style="127" customWidth="1"/>
    <col min="12541" max="12541" width="21.140625" style="127" customWidth="1"/>
    <col min="12542" max="12547" width="0" style="127" hidden="1" customWidth="1"/>
    <col min="12548" max="12548" width="14.85546875" style="127" bestFit="1" customWidth="1"/>
    <col min="12549" max="12549" width="16.28515625" style="127" customWidth="1"/>
    <col min="12550" max="12791" width="9.140625" style="127"/>
    <col min="12792" max="12792" width="33.140625" style="127" customWidth="1"/>
    <col min="12793" max="12793" width="50.42578125" style="127" customWidth="1"/>
    <col min="12794" max="12794" width="0" style="127" hidden="1" customWidth="1"/>
    <col min="12795" max="12795" width="16.7109375" style="127" customWidth="1"/>
    <col min="12796" max="12796" width="19.85546875" style="127" customWidth="1"/>
    <col min="12797" max="12797" width="21.140625" style="127" customWidth="1"/>
    <col min="12798" max="12803" width="0" style="127" hidden="1" customWidth="1"/>
    <col min="12804" max="12804" width="14.85546875" style="127" bestFit="1" customWidth="1"/>
    <col min="12805" max="12805" width="16.28515625" style="127" customWidth="1"/>
    <col min="12806" max="13047" width="9.140625" style="127"/>
    <col min="13048" max="13048" width="33.140625" style="127" customWidth="1"/>
    <col min="13049" max="13049" width="50.42578125" style="127" customWidth="1"/>
    <col min="13050" max="13050" width="0" style="127" hidden="1" customWidth="1"/>
    <col min="13051" max="13051" width="16.7109375" style="127" customWidth="1"/>
    <col min="13052" max="13052" width="19.85546875" style="127" customWidth="1"/>
    <col min="13053" max="13053" width="21.140625" style="127" customWidth="1"/>
    <col min="13054" max="13059" width="0" style="127" hidden="1" customWidth="1"/>
    <col min="13060" max="13060" width="14.85546875" style="127" bestFit="1" customWidth="1"/>
    <col min="13061" max="13061" width="16.28515625" style="127" customWidth="1"/>
    <col min="13062" max="13303" width="9.140625" style="127"/>
    <col min="13304" max="13304" width="33.140625" style="127" customWidth="1"/>
    <col min="13305" max="13305" width="50.42578125" style="127" customWidth="1"/>
    <col min="13306" max="13306" width="0" style="127" hidden="1" customWidth="1"/>
    <col min="13307" max="13307" width="16.7109375" style="127" customWidth="1"/>
    <col min="13308" max="13308" width="19.85546875" style="127" customWidth="1"/>
    <col min="13309" max="13309" width="21.140625" style="127" customWidth="1"/>
    <col min="13310" max="13315" width="0" style="127" hidden="1" customWidth="1"/>
    <col min="13316" max="13316" width="14.85546875" style="127" bestFit="1" customWidth="1"/>
    <col min="13317" max="13317" width="16.28515625" style="127" customWidth="1"/>
    <col min="13318" max="13559" width="9.140625" style="127"/>
    <col min="13560" max="13560" width="33.140625" style="127" customWidth="1"/>
    <col min="13561" max="13561" width="50.42578125" style="127" customWidth="1"/>
    <col min="13562" max="13562" width="0" style="127" hidden="1" customWidth="1"/>
    <col min="13563" max="13563" width="16.7109375" style="127" customWidth="1"/>
    <col min="13564" max="13564" width="19.85546875" style="127" customWidth="1"/>
    <col min="13565" max="13565" width="21.140625" style="127" customWidth="1"/>
    <col min="13566" max="13571" width="0" style="127" hidden="1" customWidth="1"/>
    <col min="13572" max="13572" width="14.85546875" style="127" bestFit="1" customWidth="1"/>
    <col min="13573" max="13573" width="16.28515625" style="127" customWidth="1"/>
    <col min="13574" max="13815" width="9.140625" style="127"/>
    <col min="13816" max="13816" width="33.140625" style="127" customWidth="1"/>
    <col min="13817" max="13817" width="50.42578125" style="127" customWidth="1"/>
    <col min="13818" max="13818" width="0" style="127" hidden="1" customWidth="1"/>
    <col min="13819" max="13819" width="16.7109375" style="127" customWidth="1"/>
    <col min="13820" max="13820" width="19.85546875" style="127" customWidth="1"/>
    <col min="13821" max="13821" width="21.140625" style="127" customWidth="1"/>
    <col min="13822" max="13827" width="0" style="127" hidden="1" customWidth="1"/>
    <col min="13828" max="13828" width="14.85546875" style="127" bestFit="1" customWidth="1"/>
    <col min="13829" max="13829" width="16.28515625" style="127" customWidth="1"/>
    <col min="13830" max="14071" width="9.140625" style="127"/>
    <col min="14072" max="14072" width="33.140625" style="127" customWidth="1"/>
    <col min="14073" max="14073" width="50.42578125" style="127" customWidth="1"/>
    <col min="14074" max="14074" width="0" style="127" hidden="1" customWidth="1"/>
    <col min="14075" max="14075" width="16.7109375" style="127" customWidth="1"/>
    <col min="14076" max="14076" width="19.85546875" style="127" customWidth="1"/>
    <col min="14077" max="14077" width="21.140625" style="127" customWidth="1"/>
    <col min="14078" max="14083" width="0" style="127" hidden="1" customWidth="1"/>
    <col min="14084" max="14084" width="14.85546875" style="127" bestFit="1" customWidth="1"/>
    <col min="14085" max="14085" width="16.28515625" style="127" customWidth="1"/>
    <col min="14086" max="14327" width="9.140625" style="127"/>
    <col min="14328" max="14328" width="33.140625" style="127" customWidth="1"/>
    <col min="14329" max="14329" width="50.42578125" style="127" customWidth="1"/>
    <col min="14330" max="14330" width="0" style="127" hidden="1" customWidth="1"/>
    <col min="14331" max="14331" width="16.7109375" style="127" customWidth="1"/>
    <col min="14332" max="14332" width="19.85546875" style="127" customWidth="1"/>
    <col min="14333" max="14333" width="21.140625" style="127" customWidth="1"/>
    <col min="14334" max="14339" width="0" style="127" hidden="1" customWidth="1"/>
    <col min="14340" max="14340" width="14.85546875" style="127" bestFit="1" customWidth="1"/>
    <col min="14341" max="14341" width="16.28515625" style="127" customWidth="1"/>
    <col min="14342" max="14583" width="9.140625" style="127"/>
    <col min="14584" max="14584" width="33.140625" style="127" customWidth="1"/>
    <col min="14585" max="14585" width="50.42578125" style="127" customWidth="1"/>
    <col min="14586" max="14586" width="0" style="127" hidden="1" customWidth="1"/>
    <col min="14587" max="14587" width="16.7109375" style="127" customWidth="1"/>
    <col min="14588" max="14588" width="19.85546875" style="127" customWidth="1"/>
    <col min="14589" max="14589" width="21.140625" style="127" customWidth="1"/>
    <col min="14590" max="14595" width="0" style="127" hidden="1" customWidth="1"/>
    <col min="14596" max="14596" width="14.85546875" style="127" bestFit="1" customWidth="1"/>
    <col min="14597" max="14597" width="16.28515625" style="127" customWidth="1"/>
    <col min="14598" max="14839" width="9.140625" style="127"/>
    <col min="14840" max="14840" width="33.140625" style="127" customWidth="1"/>
    <col min="14841" max="14841" width="50.42578125" style="127" customWidth="1"/>
    <col min="14842" max="14842" width="0" style="127" hidden="1" customWidth="1"/>
    <col min="14843" max="14843" width="16.7109375" style="127" customWidth="1"/>
    <col min="14844" max="14844" width="19.85546875" style="127" customWidth="1"/>
    <col min="14845" max="14845" width="21.140625" style="127" customWidth="1"/>
    <col min="14846" max="14851" width="0" style="127" hidden="1" customWidth="1"/>
    <col min="14852" max="14852" width="14.85546875" style="127" bestFit="1" customWidth="1"/>
    <col min="14853" max="14853" width="16.28515625" style="127" customWidth="1"/>
    <col min="14854" max="15095" width="9.140625" style="127"/>
    <col min="15096" max="15096" width="33.140625" style="127" customWidth="1"/>
    <col min="15097" max="15097" width="50.42578125" style="127" customWidth="1"/>
    <col min="15098" max="15098" width="0" style="127" hidden="1" customWidth="1"/>
    <col min="15099" max="15099" width="16.7109375" style="127" customWidth="1"/>
    <col min="15100" max="15100" width="19.85546875" style="127" customWidth="1"/>
    <col min="15101" max="15101" width="21.140625" style="127" customWidth="1"/>
    <col min="15102" max="15107" width="0" style="127" hidden="1" customWidth="1"/>
    <col min="15108" max="15108" width="14.85546875" style="127" bestFit="1" customWidth="1"/>
    <col min="15109" max="15109" width="16.28515625" style="127" customWidth="1"/>
    <col min="15110" max="15351" width="9.140625" style="127"/>
    <col min="15352" max="15352" width="33.140625" style="127" customWidth="1"/>
    <col min="15353" max="15353" width="50.42578125" style="127" customWidth="1"/>
    <col min="15354" max="15354" width="0" style="127" hidden="1" customWidth="1"/>
    <col min="15355" max="15355" width="16.7109375" style="127" customWidth="1"/>
    <col min="15356" max="15356" width="19.85546875" style="127" customWidth="1"/>
    <col min="15357" max="15357" width="21.140625" style="127" customWidth="1"/>
    <col min="15358" max="15363" width="0" style="127" hidden="1" customWidth="1"/>
    <col min="15364" max="15364" width="14.85546875" style="127" bestFit="1" customWidth="1"/>
    <col min="15365" max="15365" width="16.28515625" style="127" customWidth="1"/>
    <col min="15366" max="15607" width="9.140625" style="127"/>
    <col min="15608" max="15608" width="33.140625" style="127" customWidth="1"/>
    <col min="15609" max="15609" width="50.42578125" style="127" customWidth="1"/>
    <col min="15610" max="15610" width="0" style="127" hidden="1" customWidth="1"/>
    <col min="15611" max="15611" width="16.7109375" style="127" customWidth="1"/>
    <col min="15612" max="15612" width="19.85546875" style="127" customWidth="1"/>
    <col min="15613" max="15613" width="21.140625" style="127" customWidth="1"/>
    <col min="15614" max="15619" width="0" style="127" hidden="1" customWidth="1"/>
    <col min="15620" max="15620" width="14.85546875" style="127" bestFit="1" customWidth="1"/>
    <col min="15621" max="15621" width="16.28515625" style="127" customWidth="1"/>
    <col min="15622" max="15863" width="9.140625" style="127"/>
    <col min="15864" max="15864" width="33.140625" style="127" customWidth="1"/>
    <col min="15865" max="15865" width="50.42578125" style="127" customWidth="1"/>
    <col min="15866" max="15866" width="0" style="127" hidden="1" customWidth="1"/>
    <col min="15867" max="15867" width="16.7109375" style="127" customWidth="1"/>
    <col min="15868" max="15868" width="19.85546875" style="127" customWidth="1"/>
    <col min="15869" max="15869" width="21.140625" style="127" customWidth="1"/>
    <col min="15870" max="15875" width="0" style="127" hidden="1" customWidth="1"/>
    <col min="15876" max="15876" width="14.85546875" style="127" bestFit="1" customWidth="1"/>
    <col min="15877" max="15877" width="16.28515625" style="127" customWidth="1"/>
    <col min="15878" max="16119" width="9.140625" style="127"/>
    <col min="16120" max="16120" width="33.140625" style="127" customWidth="1"/>
    <col min="16121" max="16121" width="50.42578125" style="127" customWidth="1"/>
    <col min="16122" max="16122" width="0" style="127" hidden="1" customWidth="1"/>
    <col min="16123" max="16123" width="16.7109375" style="127" customWidth="1"/>
    <col min="16124" max="16124" width="19.85546875" style="127" customWidth="1"/>
    <col min="16125" max="16125" width="21.140625" style="127" customWidth="1"/>
    <col min="16126" max="16131" width="0" style="127" hidden="1" customWidth="1"/>
    <col min="16132" max="16132" width="14.85546875" style="127" bestFit="1" customWidth="1"/>
    <col min="16133" max="16133" width="16.28515625" style="127" customWidth="1"/>
    <col min="16134" max="16384" width="9.140625" style="127"/>
  </cols>
  <sheetData>
    <row r="1" spans="1:6" x14ac:dyDescent="0.25">
      <c r="A1" s="195"/>
      <c r="B1" s="193"/>
      <c r="C1" s="194"/>
      <c r="E1" s="128" t="s">
        <v>982</v>
      </c>
    </row>
    <row r="2" spans="1:6" ht="54.75" customHeight="1" x14ac:dyDescent="0.25">
      <c r="A2" s="192"/>
      <c r="B2" s="193"/>
      <c r="C2" s="197" t="s">
        <v>985</v>
      </c>
      <c r="D2" s="197"/>
      <c r="E2" s="197"/>
    </row>
    <row r="3" spans="1:6" ht="15.75" customHeight="1" x14ac:dyDescent="0.25">
      <c r="A3" s="192"/>
      <c r="B3" s="191" t="s">
        <v>595</v>
      </c>
      <c r="D3" s="190"/>
      <c r="E3" s="189"/>
    </row>
    <row r="4" spans="1:6" ht="32.25" customHeight="1" x14ac:dyDescent="0.25">
      <c r="A4" s="206" t="s">
        <v>981</v>
      </c>
      <c r="B4" s="206"/>
      <c r="C4" s="206"/>
      <c r="D4" s="206"/>
      <c r="E4" s="206"/>
    </row>
    <row r="5" spans="1:6" ht="21.75" customHeight="1" x14ac:dyDescent="0.25">
      <c r="A5" s="188"/>
      <c r="B5" s="188"/>
      <c r="C5" s="187"/>
      <c r="D5" s="186"/>
      <c r="E5" s="185" t="s">
        <v>980</v>
      </c>
    </row>
    <row r="6" spans="1:6" s="180" customFormat="1" ht="36.75" customHeight="1" x14ac:dyDescent="0.25">
      <c r="A6" s="184" t="s">
        <v>591</v>
      </c>
      <c r="B6" s="183" t="s">
        <v>248</v>
      </c>
      <c r="C6" s="181" t="s">
        <v>590</v>
      </c>
      <c r="D6" s="182" t="s">
        <v>979</v>
      </c>
      <c r="E6" s="181" t="s">
        <v>547</v>
      </c>
    </row>
    <row r="7" spans="1:6" s="178" customFormat="1" ht="11.25" x14ac:dyDescent="0.25">
      <c r="A7" s="179">
        <v>1</v>
      </c>
      <c r="B7" s="179">
        <v>2</v>
      </c>
      <c r="C7" s="179">
        <v>3</v>
      </c>
      <c r="D7" s="179">
        <v>4</v>
      </c>
      <c r="E7" s="179">
        <v>5</v>
      </c>
    </row>
    <row r="8" spans="1:6" x14ac:dyDescent="0.25">
      <c r="A8" s="141" t="s">
        <v>978</v>
      </c>
      <c r="B8" s="136" t="s">
        <v>977</v>
      </c>
      <c r="C8" s="140">
        <f>C9+C115</f>
        <v>604525.63404000003</v>
      </c>
      <c r="D8" s="142">
        <f>D9+D115</f>
        <v>605490.96493999998</v>
      </c>
      <c r="E8" s="133">
        <f t="shared" ref="E8:E21" si="0">D8/C8*100</f>
        <v>100.15968403085718</v>
      </c>
      <c r="F8" s="156"/>
    </row>
    <row r="9" spans="1:6" x14ac:dyDescent="0.25">
      <c r="A9" s="141" t="s">
        <v>976</v>
      </c>
      <c r="B9" s="136" t="s">
        <v>975</v>
      </c>
      <c r="C9" s="140">
        <f>C10+C52</f>
        <v>109578.64</v>
      </c>
      <c r="D9" s="142">
        <f>D10+D52</f>
        <v>115886.41417999999</v>
      </c>
      <c r="E9" s="133">
        <f t="shared" si="0"/>
        <v>105.7563902782513</v>
      </c>
    </row>
    <row r="10" spans="1:6" ht="15" customHeight="1" x14ac:dyDescent="0.25">
      <c r="A10" s="141"/>
      <c r="B10" s="136" t="s">
        <v>974</v>
      </c>
      <c r="C10" s="140">
        <f>C11+C23+C38+C42+C45+C17</f>
        <v>98027.044999999998</v>
      </c>
      <c r="D10" s="142">
        <f>D11+D17+D23+D38+D42+D45</f>
        <v>102198.73765</v>
      </c>
      <c r="E10" s="133">
        <f t="shared" si="0"/>
        <v>104.25565480424306</v>
      </c>
    </row>
    <row r="11" spans="1:6" x14ac:dyDescent="0.25">
      <c r="A11" s="141" t="s">
        <v>973</v>
      </c>
      <c r="B11" s="136" t="s">
        <v>972</v>
      </c>
      <c r="C11" s="140">
        <f>C12</f>
        <v>48370</v>
      </c>
      <c r="D11" s="142">
        <f>D12</f>
        <v>51630.366689999995</v>
      </c>
      <c r="E11" s="133">
        <f t="shared" si="0"/>
        <v>106.74047279305354</v>
      </c>
    </row>
    <row r="12" spans="1:6" ht="21" customHeight="1" x14ac:dyDescent="0.25">
      <c r="A12" s="141" t="s">
        <v>971</v>
      </c>
      <c r="B12" s="136" t="s">
        <v>970</v>
      </c>
      <c r="C12" s="140">
        <f>SUM(C13:C16)</f>
        <v>48370</v>
      </c>
      <c r="D12" s="134">
        <f>SUM(D13:D16)</f>
        <v>51630.366689999995</v>
      </c>
      <c r="E12" s="133">
        <f t="shared" si="0"/>
        <v>106.74047279305354</v>
      </c>
    </row>
    <row r="13" spans="1:6" ht="84.75" customHeight="1" x14ac:dyDescent="0.25">
      <c r="A13" s="141" t="s">
        <v>969</v>
      </c>
      <c r="B13" s="136" t="s">
        <v>968</v>
      </c>
      <c r="C13" s="140">
        <v>46150</v>
      </c>
      <c r="D13" s="142">
        <v>50590.155209999997</v>
      </c>
      <c r="E13" s="133">
        <f t="shared" si="0"/>
        <v>109.62113804983748</v>
      </c>
    </row>
    <row r="14" spans="1:6" ht="127.5" customHeight="1" x14ac:dyDescent="0.25">
      <c r="A14" s="141" t="s">
        <v>967</v>
      </c>
      <c r="B14" s="136" t="s">
        <v>966</v>
      </c>
      <c r="C14" s="140">
        <v>1750</v>
      </c>
      <c r="D14" s="142">
        <v>129.81146000000001</v>
      </c>
      <c r="E14" s="133">
        <f t="shared" si="0"/>
        <v>7.4177977142857152</v>
      </c>
    </row>
    <row r="15" spans="1:6" ht="50.25" customHeight="1" x14ac:dyDescent="0.25">
      <c r="A15" s="141" t="s">
        <v>965</v>
      </c>
      <c r="B15" s="136" t="s">
        <v>964</v>
      </c>
      <c r="C15" s="140">
        <v>470</v>
      </c>
      <c r="D15" s="142">
        <v>910.40002000000004</v>
      </c>
      <c r="E15" s="133">
        <f t="shared" si="0"/>
        <v>193.70213191489364</v>
      </c>
    </row>
    <row r="16" spans="1:6" ht="113.25" hidden="1" x14ac:dyDescent="0.25">
      <c r="A16" s="141" t="s">
        <v>963</v>
      </c>
      <c r="B16" s="136" t="s">
        <v>962</v>
      </c>
      <c r="C16" s="140"/>
      <c r="D16" s="142"/>
      <c r="E16" s="133" t="e">
        <f t="shared" si="0"/>
        <v>#DIV/0!</v>
      </c>
    </row>
    <row r="17" spans="1:5" ht="47.25" x14ac:dyDescent="0.25">
      <c r="A17" s="141" t="s">
        <v>961</v>
      </c>
      <c r="B17" s="136" t="s">
        <v>960</v>
      </c>
      <c r="C17" s="143">
        <f>C18</f>
        <v>5063.3</v>
      </c>
      <c r="D17" s="142">
        <f>D18</f>
        <v>5093.3426599999993</v>
      </c>
      <c r="E17" s="133">
        <f t="shared" si="0"/>
        <v>100.59334149665236</v>
      </c>
    </row>
    <row r="18" spans="1:5" ht="31.5" x14ac:dyDescent="0.25">
      <c r="A18" s="141" t="s">
        <v>959</v>
      </c>
      <c r="B18" s="136" t="s">
        <v>958</v>
      </c>
      <c r="C18" s="140">
        <f>C19+C20+C21</f>
        <v>5063.3</v>
      </c>
      <c r="D18" s="134">
        <f>D19+D20+D21+D22</f>
        <v>5093.3426599999993</v>
      </c>
      <c r="E18" s="133">
        <f t="shared" si="0"/>
        <v>100.59334149665236</v>
      </c>
    </row>
    <row r="19" spans="1:5" ht="94.5" x14ac:dyDescent="0.25">
      <c r="A19" s="141" t="s">
        <v>957</v>
      </c>
      <c r="B19" s="136" t="s">
        <v>956</v>
      </c>
      <c r="C19" s="140">
        <v>1825.5</v>
      </c>
      <c r="D19" s="142">
        <v>2269.4169000000002</v>
      </c>
      <c r="E19" s="133">
        <f t="shared" si="0"/>
        <v>124.31755135579294</v>
      </c>
    </row>
    <row r="20" spans="1:5" ht="110.25" x14ac:dyDescent="0.25">
      <c r="A20" s="141" t="s">
        <v>955</v>
      </c>
      <c r="B20" s="136" t="s">
        <v>954</v>
      </c>
      <c r="C20" s="140">
        <v>50</v>
      </c>
      <c r="D20" s="142">
        <v>21.855989999999998</v>
      </c>
      <c r="E20" s="133">
        <f t="shared" si="0"/>
        <v>43.711979999999997</v>
      </c>
    </row>
    <row r="21" spans="1:5" ht="82.5" customHeight="1" x14ac:dyDescent="0.25">
      <c r="A21" s="141" t="s">
        <v>953</v>
      </c>
      <c r="B21" s="136" t="s">
        <v>952</v>
      </c>
      <c r="C21" s="140">
        <v>3187.8</v>
      </c>
      <c r="D21" s="142">
        <v>3310.5479099999998</v>
      </c>
      <c r="E21" s="133">
        <f t="shared" si="0"/>
        <v>103.85055241859588</v>
      </c>
    </row>
    <row r="22" spans="1:5" ht="78" customHeight="1" x14ac:dyDescent="0.25">
      <c r="A22" s="141" t="s">
        <v>951</v>
      </c>
      <c r="B22" s="136" t="s">
        <v>950</v>
      </c>
      <c r="C22" s="140"/>
      <c r="D22" s="142">
        <v>-508.47814</v>
      </c>
      <c r="E22" s="133"/>
    </row>
    <row r="23" spans="1:5" s="138" customFormat="1" x14ac:dyDescent="0.25">
      <c r="A23" s="141" t="s">
        <v>949</v>
      </c>
      <c r="B23" s="136" t="s">
        <v>948</v>
      </c>
      <c r="C23" s="140">
        <f>C24+C32+C34+C36</f>
        <v>15851.28</v>
      </c>
      <c r="D23" s="139">
        <f>D24+D32+D34+D36</f>
        <v>16404.726419999999</v>
      </c>
      <c r="E23" s="133">
        <f>D23/C23*100</f>
        <v>103.49149355761804</v>
      </c>
    </row>
    <row r="24" spans="1:5" ht="31.5" x14ac:dyDescent="0.25">
      <c r="A24" s="141" t="s">
        <v>947</v>
      </c>
      <c r="B24" s="136" t="s">
        <v>946</v>
      </c>
      <c r="C24" s="140">
        <f>C25+C28</f>
        <v>8783.16</v>
      </c>
      <c r="D24" s="134">
        <f>D25+D28+D31</f>
        <v>9202.4897700000001</v>
      </c>
      <c r="E24" s="133">
        <f>D24/C24*100</f>
        <v>104.77424719577009</v>
      </c>
    </row>
    <row r="25" spans="1:5" ht="31.5" x14ac:dyDescent="0.25">
      <c r="A25" s="141" t="s">
        <v>945</v>
      </c>
      <c r="B25" s="136" t="s">
        <v>944</v>
      </c>
      <c r="C25" s="140">
        <f>C26</f>
        <v>5051.32</v>
      </c>
      <c r="D25" s="142">
        <f>D26+D27</f>
        <v>5297.1663699999999</v>
      </c>
      <c r="E25" s="133">
        <f>D25/C25*100</f>
        <v>104.8669727912704</v>
      </c>
    </row>
    <row r="26" spans="1:5" ht="47.25" customHeight="1" x14ac:dyDescent="0.25">
      <c r="A26" s="141" t="s">
        <v>943</v>
      </c>
      <c r="B26" s="136" t="s">
        <v>941</v>
      </c>
      <c r="C26" s="140">
        <v>5051.32</v>
      </c>
      <c r="D26" s="142">
        <v>5296.8460999999998</v>
      </c>
      <c r="E26" s="133">
        <f>D26/C26*100</f>
        <v>104.86063246834492</v>
      </c>
    </row>
    <row r="27" spans="1:5" ht="47.25" x14ac:dyDescent="0.25">
      <c r="A27" s="141" t="s">
        <v>942</v>
      </c>
      <c r="B27" s="136" t="s">
        <v>941</v>
      </c>
      <c r="C27" s="140"/>
      <c r="D27" s="142">
        <v>0.32027</v>
      </c>
      <c r="E27" s="133"/>
    </row>
    <row r="28" spans="1:5" ht="54" customHeight="1" x14ac:dyDescent="0.25">
      <c r="A28" s="141" t="s">
        <v>940</v>
      </c>
      <c r="B28" s="136" t="s">
        <v>939</v>
      </c>
      <c r="C28" s="140">
        <f>C29</f>
        <v>3731.84</v>
      </c>
      <c r="D28" s="142">
        <f>D29+D30</f>
        <v>4318.3364799999999</v>
      </c>
      <c r="E28" s="133">
        <f>D28/C28*100</f>
        <v>115.71601354827645</v>
      </c>
    </row>
    <row r="29" spans="1:5" ht="84" customHeight="1" x14ac:dyDescent="0.25">
      <c r="A29" s="141" t="s">
        <v>938</v>
      </c>
      <c r="B29" s="136" t="s">
        <v>937</v>
      </c>
      <c r="C29" s="140">
        <v>3731.84</v>
      </c>
      <c r="D29" s="142">
        <v>4278.3989799999999</v>
      </c>
      <c r="E29" s="133">
        <f>D29/C29*100</f>
        <v>114.64583101097581</v>
      </c>
    </row>
    <row r="30" spans="1:5" ht="63" x14ac:dyDescent="0.25">
      <c r="A30" s="141" t="s">
        <v>936</v>
      </c>
      <c r="B30" s="136" t="s">
        <v>935</v>
      </c>
      <c r="C30" s="140"/>
      <c r="D30" s="142">
        <v>39.9375</v>
      </c>
      <c r="E30" s="133"/>
    </row>
    <row r="31" spans="1:5" ht="31.5" x14ac:dyDescent="0.25">
      <c r="A31" s="141" t="s">
        <v>934</v>
      </c>
      <c r="B31" s="136" t="s">
        <v>933</v>
      </c>
      <c r="C31" s="140"/>
      <c r="D31" s="142">
        <v>-413.01308</v>
      </c>
      <c r="E31" s="133"/>
    </row>
    <row r="32" spans="1:5" ht="31.5" x14ac:dyDescent="0.25">
      <c r="A32" s="141" t="s">
        <v>932</v>
      </c>
      <c r="B32" s="136" t="s">
        <v>930</v>
      </c>
      <c r="C32" s="140">
        <f>C33</f>
        <v>6070.81</v>
      </c>
      <c r="D32" s="142">
        <f>D33</f>
        <v>6143.5645299999996</v>
      </c>
      <c r="E32" s="133">
        <f t="shared" ref="E32:E56" si="1">D32/C32*100</f>
        <v>101.19843200495484</v>
      </c>
    </row>
    <row r="33" spans="1:5" ht="31.5" x14ac:dyDescent="0.25">
      <c r="A33" s="141" t="s">
        <v>931</v>
      </c>
      <c r="B33" s="136" t="s">
        <v>930</v>
      </c>
      <c r="C33" s="140">
        <v>6070.81</v>
      </c>
      <c r="D33" s="142">
        <v>6143.5645299999996</v>
      </c>
      <c r="E33" s="133">
        <f t="shared" si="1"/>
        <v>101.19843200495484</v>
      </c>
    </row>
    <row r="34" spans="1:5" x14ac:dyDescent="0.25">
      <c r="A34" s="141" t="s">
        <v>929</v>
      </c>
      <c r="B34" s="136" t="s">
        <v>927</v>
      </c>
      <c r="C34" s="140">
        <f>C35</f>
        <v>953.71</v>
      </c>
      <c r="D34" s="142">
        <f>D35</f>
        <v>1015.02561</v>
      </c>
      <c r="E34" s="133">
        <f t="shared" si="1"/>
        <v>106.42916714724602</v>
      </c>
    </row>
    <row r="35" spans="1:5" x14ac:dyDescent="0.25">
      <c r="A35" s="141" t="s">
        <v>928</v>
      </c>
      <c r="B35" s="136" t="s">
        <v>927</v>
      </c>
      <c r="C35" s="140">
        <v>953.71</v>
      </c>
      <c r="D35" s="142">
        <v>1015.02561</v>
      </c>
      <c r="E35" s="133">
        <f t="shared" si="1"/>
        <v>106.42916714724602</v>
      </c>
    </row>
    <row r="36" spans="1:5" ht="31.5" x14ac:dyDescent="0.25">
      <c r="A36" s="141" t="s">
        <v>926</v>
      </c>
      <c r="B36" s="136" t="s">
        <v>925</v>
      </c>
      <c r="C36" s="140">
        <f>C37</f>
        <v>43.6</v>
      </c>
      <c r="D36" s="142">
        <f>D37</f>
        <v>43.646509999999999</v>
      </c>
      <c r="E36" s="133">
        <f t="shared" si="1"/>
        <v>100.1066743119266</v>
      </c>
    </row>
    <row r="37" spans="1:5" ht="47.25" x14ac:dyDescent="0.25">
      <c r="A37" s="141" t="s">
        <v>924</v>
      </c>
      <c r="B37" s="136" t="s">
        <v>923</v>
      </c>
      <c r="C37" s="143">
        <v>43.6</v>
      </c>
      <c r="D37" s="142">
        <v>43.646509999999999</v>
      </c>
      <c r="E37" s="133">
        <f t="shared" si="1"/>
        <v>100.1066743119266</v>
      </c>
    </row>
    <row r="38" spans="1:5" s="138" customFormat="1" x14ac:dyDescent="0.25">
      <c r="A38" s="141" t="s">
        <v>922</v>
      </c>
      <c r="B38" s="136" t="s">
        <v>921</v>
      </c>
      <c r="C38" s="140">
        <f>C39</f>
        <v>27399.994999999999</v>
      </c>
      <c r="D38" s="139">
        <f>D39</f>
        <v>27584.709709999999</v>
      </c>
      <c r="E38" s="133">
        <f t="shared" si="1"/>
        <v>100.67414140039077</v>
      </c>
    </row>
    <row r="39" spans="1:5" s="138" customFormat="1" x14ac:dyDescent="0.25">
      <c r="A39" s="141" t="s">
        <v>920</v>
      </c>
      <c r="B39" s="136" t="s">
        <v>919</v>
      </c>
      <c r="C39" s="140">
        <f>C40+C41</f>
        <v>27399.994999999999</v>
      </c>
      <c r="D39" s="139">
        <f>D41</f>
        <v>27584.709709999999</v>
      </c>
      <c r="E39" s="133">
        <f t="shared" si="1"/>
        <v>100.67414140039077</v>
      </c>
    </row>
    <row r="40" spans="1:5" ht="31.5" hidden="1" x14ac:dyDescent="0.25">
      <c r="A40" s="141" t="s">
        <v>918</v>
      </c>
      <c r="B40" s="136" t="s">
        <v>917</v>
      </c>
      <c r="C40" s="140"/>
      <c r="D40" s="142"/>
      <c r="E40" s="133" t="e">
        <f t="shared" si="1"/>
        <v>#DIV/0!</v>
      </c>
    </row>
    <row r="41" spans="1:5" ht="31.5" x14ac:dyDescent="0.25">
      <c r="A41" s="141" t="s">
        <v>918</v>
      </c>
      <c r="B41" s="136" t="s">
        <v>917</v>
      </c>
      <c r="C41" s="140">
        <v>27399.994999999999</v>
      </c>
      <c r="D41" s="142">
        <v>27584.709709999999</v>
      </c>
      <c r="E41" s="133">
        <f t="shared" si="1"/>
        <v>100.67414140039077</v>
      </c>
    </row>
    <row r="42" spans="1:5" ht="31.5" x14ac:dyDescent="0.25">
      <c r="A42" s="141" t="s">
        <v>916</v>
      </c>
      <c r="B42" s="136" t="s">
        <v>915</v>
      </c>
      <c r="C42" s="140">
        <f>C43</f>
        <v>19.47</v>
      </c>
      <c r="D42" s="142">
        <f>D43</f>
        <v>23.933</v>
      </c>
      <c r="E42" s="133">
        <f t="shared" si="1"/>
        <v>122.92244478685157</v>
      </c>
    </row>
    <row r="43" spans="1:5" x14ac:dyDescent="0.25">
      <c r="A43" s="141" t="s">
        <v>914</v>
      </c>
      <c r="B43" s="136" t="s">
        <v>913</v>
      </c>
      <c r="C43" s="140">
        <f>C44</f>
        <v>19.47</v>
      </c>
      <c r="D43" s="142">
        <f>D44</f>
        <v>23.933</v>
      </c>
      <c r="E43" s="133">
        <f t="shared" si="1"/>
        <v>122.92244478685157</v>
      </c>
    </row>
    <row r="44" spans="1:5" ht="31.5" x14ac:dyDescent="0.25">
      <c r="A44" s="141" t="s">
        <v>912</v>
      </c>
      <c r="B44" s="136" t="s">
        <v>911</v>
      </c>
      <c r="C44" s="140">
        <v>19.47</v>
      </c>
      <c r="D44" s="142">
        <v>23.933</v>
      </c>
      <c r="E44" s="133">
        <f t="shared" si="1"/>
        <v>122.92244478685157</v>
      </c>
    </row>
    <row r="45" spans="1:5" x14ac:dyDescent="0.25">
      <c r="A45" s="141" t="s">
        <v>910</v>
      </c>
      <c r="B45" s="136" t="s">
        <v>909</v>
      </c>
      <c r="C45" s="140">
        <f>C46+C48</f>
        <v>1323</v>
      </c>
      <c r="D45" s="142">
        <f>D46+D48</f>
        <v>1461.6591699999999</v>
      </c>
      <c r="E45" s="133">
        <f t="shared" si="1"/>
        <v>110.48066288737716</v>
      </c>
    </row>
    <row r="46" spans="1:5" ht="31.5" x14ac:dyDescent="0.25">
      <c r="A46" s="141" t="s">
        <v>908</v>
      </c>
      <c r="B46" s="136" t="s">
        <v>907</v>
      </c>
      <c r="C46" s="140">
        <f>C47</f>
        <v>1168</v>
      </c>
      <c r="D46" s="142">
        <f>D47</f>
        <v>1331.6591699999999</v>
      </c>
      <c r="E46" s="133">
        <f t="shared" si="1"/>
        <v>114.01191523972602</v>
      </c>
    </row>
    <row r="47" spans="1:5" ht="48.75" customHeight="1" x14ac:dyDescent="0.25">
      <c r="A47" s="141" t="s">
        <v>906</v>
      </c>
      <c r="B47" s="136" t="s">
        <v>905</v>
      </c>
      <c r="C47" s="140">
        <v>1168</v>
      </c>
      <c r="D47" s="142">
        <v>1331.6591699999999</v>
      </c>
      <c r="E47" s="133">
        <f t="shared" si="1"/>
        <v>114.01191523972602</v>
      </c>
    </row>
    <row r="48" spans="1:5" ht="47.25" x14ac:dyDescent="0.25">
      <c r="A48" s="141" t="s">
        <v>904</v>
      </c>
      <c r="B48" s="136" t="s">
        <v>903</v>
      </c>
      <c r="C48" s="140">
        <f>C49+C51</f>
        <v>155</v>
      </c>
      <c r="D48" s="142">
        <f>D49+D51</f>
        <v>130</v>
      </c>
      <c r="E48" s="133">
        <f t="shared" si="1"/>
        <v>83.870967741935488</v>
      </c>
    </row>
    <row r="49" spans="1:5" ht="69" customHeight="1" x14ac:dyDescent="0.25">
      <c r="A49" s="141" t="s">
        <v>902</v>
      </c>
      <c r="B49" s="136" t="s">
        <v>901</v>
      </c>
      <c r="C49" s="140">
        <f>C50</f>
        <v>150</v>
      </c>
      <c r="D49" s="142">
        <f>D50</f>
        <v>130</v>
      </c>
      <c r="E49" s="133">
        <f t="shared" si="1"/>
        <v>86.666666666666671</v>
      </c>
    </row>
    <row r="50" spans="1:5" ht="87" customHeight="1" x14ac:dyDescent="0.25">
      <c r="A50" s="141" t="s">
        <v>900</v>
      </c>
      <c r="B50" s="136" t="s">
        <v>899</v>
      </c>
      <c r="C50" s="176">
        <v>150</v>
      </c>
      <c r="D50" s="142">
        <v>130</v>
      </c>
      <c r="E50" s="133">
        <f t="shared" si="1"/>
        <v>86.666666666666671</v>
      </c>
    </row>
    <row r="51" spans="1:5" ht="31.5" x14ac:dyDescent="0.25">
      <c r="A51" s="141" t="s">
        <v>898</v>
      </c>
      <c r="B51" s="136" t="s">
        <v>897</v>
      </c>
      <c r="C51" s="140">
        <v>5</v>
      </c>
      <c r="D51" s="142"/>
      <c r="E51" s="133">
        <f t="shared" si="1"/>
        <v>0</v>
      </c>
    </row>
    <row r="52" spans="1:5" s="147" customFormat="1" ht="20.25" customHeight="1" x14ac:dyDescent="0.25">
      <c r="A52" s="149"/>
      <c r="B52" s="177" t="s">
        <v>896</v>
      </c>
      <c r="C52" s="176">
        <f>C53+C62+C74+C79+C91+C112</f>
        <v>11551.594999999999</v>
      </c>
      <c r="D52" s="175">
        <f>D53+D62+D74+D79+D91+D112</f>
        <v>13687.676530000001</v>
      </c>
      <c r="E52" s="133">
        <f t="shared" si="1"/>
        <v>118.49165877093164</v>
      </c>
    </row>
    <row r="53" spans="1:5" ht="47.25" x14ac:dyDescent="0.25">
      <c r="A53" s="141" t="s">
        <v>895</v>
      </c>
      <c r="B53" s="136" t="s">
        <v>894</v>
      </c>
      <c r="C53" s="140">
        <f>C54+C56</f>
        <v>3925.645</v>
      </c>
      <c r="D53" s="134">
        <f>D54+D56</f>
        <v>4919.5574200000001</v>
      </c>
      <c r="E53" s="133">
        <f t="shared" si="1"/>
        <v>125.31844881541761</v>
      </c>
    </row>
    <row r="54" spans="1:5" ht="31.5" hidden="1" x14ac:dyDescent="0.25">
      <c r="A54" s="141" t="s">
        <v>893</v>
      </c>
      <c r="B54" s="136" t="s">
        <v>892</v>
      </c>
      <c r="C54" s="140">
        <f>C55</f>
        <v>0</v>
      </c>
      <c r="D54" s="142"/>
      <c r="E54" s="133" t="e">
        <f t="shared" si="1"/>
        <v>#DIV/0!</v>
      </c>
    </row>
    <row r="55" spans="1:5" ht="47.25" hidden="1" x14ac:dyDescent="0.25">
      <c r="A55" s="141" t="s">
        <v>891</v>
      </c>
      <c r="B55" s="136" t="s">
        <v>890</v>
      </c>
      <c r="C55" s="140"/>
      <c r="D55" s="142"/>
      <c r="E55" s="133" t="e">
        <f t="shared" si="1"/>
        <v>#DIV/0!</v>
      </c>
    </row>
    <row r="56" spans="1:5" ht="102" customHeight="1" x14ac:dyDescent="0.25">
      <c r="A56" s="141" t="s">
        <v>889</v>
      </c>
      <c r="B56" s="136" t="s">
        <v>888</v>
      </c>
      <c r="C56" s="140">
        <f>C59+C60</f>
        <v>3925.645</v>
      </c>
      <c r="D56" s="142">
        <f>D57+D58+D60</f>
        <v>4919.5574200000001</v>
      </c>
      <c r="E56" s="133">
        <f t="shared" si="1"/>
        <v>125.31844881541761</v>
      </c>
    </row>
    <row r="57" spans="1:5" ht="94.5" x14ac:dyDescent="0.25">
      <c r="A57" s="141" t="s">
        <v>887</v>
      </c>
      <c r="B57" s="136" t="s">
        <v>886</v>
      </c>
      <c r="C57" s="140"/>
      <c r="D57" s="142">
        <v>127.88254999999999</v>
      </c>
      <c r="E57" s="133"/>
    </row>
    <row r="58" spans="1:5" ht="94.5" x14ac:dyDescent="0.25">
      <c r="A58" s="141" t="s">
        <v>885</v>
      </c>
      <c r="B58" s="136" t="s">
        <v>884</v>
      </c>
      <c r="C58" s="140">
        <f>C59</f>
        <v>3469</v>
      </c>
      <c r="D58" s="142">
        <f>D59</f>
        <v>4188.4924000000001</v>
      </c>
      <c r="E58" s="133">
        <f t="shared" ref="E58:E95" si="2">D58/C58*100</f>
        <v>120.74062842317672</v>
      </c>
    </row>
    <row r="59" spans="1:5" ht="94.5" x14ac:dyDescent="0.25">
      <c r="A59" s="141" t="s">
        <v>883</v>
      </c>
      <c r="B59" s="136" t="s">
        <v>882</v>
      </c>
      <c r="C59" s="140">
        <v>3469</v>
      </c>
      <c r="D59" s="142">
        <v>4188.4924000000001</v>
      </c>
      <c r="E59" s="133">
        <f t="shared" si="2"/>
        <v>120.74062842317672</v>
      </c>
    </row>
    <row r="60" spans="1:5" ht="94.5" x14ac:dyDescent="0.25">
      <c r="A60" s="141" t="s">
        <v>881</v>
      </c>
      <c r="B60" s="136" t="s">
        <v>880</v>
      </c>
      <c r="C60" s="140">
        <f>C61</f>
        <v>456.64499999999998</v>
      </c>
      <c r="D60" s="142">
        <f>D61</f>
        <v>603.18246999999997</v>
      </c>
      <c r="E60" s="133">
        <f t="shared" si="2"/>
        <v>132.09001959947005</v>
      </c>
    </row>
    <row r="61" spans="1:5" ht="78.75" x14ac:dyDescent="0.25">
      <c r="A61" s="141" t="s">
        <v>879</v>
      </c>
      <c r="B61" s="136" t="s">
        <v>878</v>
      </c>
      <c r="C61" s="140">
        <v>456.64499999999998</v>
      </c>
      <c r="D61" s="142">
        <v>603.18246999999997</v>
      </c>
      <c r="E61" s="133">
        <f t="shared" si="2"/>
        <v>132.09001959947005</v>
      </c>
    </row>
    <row r="62" spans="1:5" ht="31.5" x14ac:dyDescent="0.25">
      <c r="A62" s="141" t="s">
        <v>877</v>
      </c>
      <c r="B62" s="136" t="s">
        <v>876</v>
      </c>
      <c r="C62" s="140">
        <f>C63</f>
        <v>133.4</v>
      </c>
      <c r="D62" s="134">
        <f>D63</f>
        <v>170.69693000000001</v>
      </c>
      <c r="E62" s="133">
        <f t="shared" si="2"/>
        <v>127.95871814092953</v>
      </c>
    </row>
    <row r="63" spans="1:5" ht="21" customHeight="1" x14ac:dyDescent="0.25">
      <c r="A63" s="141" t="s">
        <v>875</v>
      </c>
      <c r="B63" s="136" t="s">
        <v>874</v>
      </c>
      <c r="C63" s="140">
        <f>SUM(C64:C67)</f>
        <v>133.4</v>
      </c>
      <c r="D63" s="134">
        <f>SUM(D64:D67)</f>
        <v>170.69693000000001</v>
      </c>
      <c r="E63" s="133">
        <f t="shared" si="2"/>
        <v>127.95871814092953</v>
      </c>
    </row>
    <row r="64" spans="1:5" ht="31.5" x14ac:dyDescent="0.25">
      <c r="A64" s="141" t="s">
        <v>873</v>
      </c>
      <c r="B64" s="136" t="s">
        <v>872</v>
      </c>
      <c r="C64" s="140">
        <v>25</v>
      </c>
      <c r="D64" s="142">
        <v>21.608720000000002</v>
      </c>
      <c r="E64" s="133">
        <f t="shared" si="2"/>
        <v>86.434880000000007</v>
      </c>
    </row>
    <row r="65" spans="1:5" ht="31.5" hidden="1" x14ac:dyDescent="0.25">
      <c r="A65" s="141" t="s">
        <v>871</v>
      </c>
      <c r="B65" s="136" t="s">
        <v>870</v>
      </c>
      <c r="C65" s="140"/>
      <c r="D65" s="142"/>
      <c r="E65" s="133" t="e">
        <f t="shared" si="2"/>
        <v>#DIV/0!</v>
      </c>
    </row>
    <row r="66" spans="1:5" ht="31.5" hidden="1" x14ac:dyDescent="0.25">
      <c r="A66" s="141" t="s">
        <v>869</v>
      </c>
      <c r="B66" s="136" t="s">
        <v>868</v>
      </c>
      <c r="C66" s="140"/>
      <c r="D66" s="142"/>
      <c r="E66" s="133" t="e">
        <f t="shared" si="2"/>
        <v>#DIV/0!</v>
      </c>
    </row>
    <row r="67" spans="1:5" ht="23.25" customHeight="1" x14ac:dyDescent="0.25">
      <c r="A67" s="141" t="s">
        <v>867</v>
      </c>
      <c r="B67" s="136" t="s">
        <v>866</v>
      </c>
      <c r="C67" s="140">
        <v>108.4</v>
      </c>
      <c r="D67" s="142">
        <v>149.08821</v>
      </c>
      <c r="E67" s="133">
        <f t="shared" si="2"/>
        <v>137.53524907749076</v>
      </c>
    </row>
    <row r="68" spans="1:5" ht="36.75" hidden="1" customHeight="1" x14ac:dyDescent="0.25">
      <c r="A68" s="141" t="s">
        <v>858</v>
      </c>
      <c r="B68" s="136" t="s">
        <v>857</v>
      </c>
      <c r="C68" s="140">
        <f>C69</f>
        <v>0</v>
      </c>
      <c r="D68" s="142"/>
      <c r="E68" s="133" t="e">
        <f t="shared" si="2"/>
        <v>#DIV/0!</v>
      </c>
    </row>
    <row r="69" spans="1:5" hidden="1" x14ac:dyDescent="0.25">
      <c r="A69" s="141" t="s">
        <v>856</v>
      </c>
      <c r="B69" s="136" t="s">
        <v>865</v>
      </c>
      <c r="C69" s="140">
        <f>C71</f>
        <v>0</v>
      </c>
      <c r="D69" s="142"/>
      <c r="E69" s="133" t="e">
        <f t="shared" si="2"/>
        <v>#DIV/0!</v>
      </c>
    </row>
    <row r="70" spans="1:5" hidden="1" x14ac:dyDescent="0.25">
      <c r="A70" s="141" t="s">
        <v>864</v>
      </c>
      <c r="B70" s="136" t="s">
        <v>863</v>
      </c>
      <c r="C70" s="140">
        <f>C71</f>
        <v>0</v>
      </c>
      <c r="D70" s="142"/>
      <c r="E70" s="133" t="e">
        <f t="shared" si="2"/>
        <v>#DIV/0!</v>
      </c>
    </row>
    <row r="71" spans="1:5" ht="47.25" hidden="1" x14ac:dyDescent="0.25">
      <c r="A71" s="141" t="s">
        <v>862</v>
      </c>
      <c r="B71" s="136" t="s">
        <v>855</v>
      </c>
      <c r="C71" s="140">
        <v>0</v>
      </c>
      <c r="D71" s="142"/>
      <c r="E71" s="133" t="e">
        <f t="shared" si="2"/>
        <v>#DIV/0!</v>
      </c>
    </row>
    <row r="72" spans="1:5" hidden="1" x14ac:dyDescent="0.25">
      <c r="A72" s="141" t="s">
        <v>861</v>
      </c>
      <c r="B72" s="136" t="s">
        <v>860</v>
      </c>
      <c r="C72" s="140"/>
      <c r="D72" s="142"/>
      <c r="E72" s="133" t="e">
        <f t="shared" si="2"/>
        <v>#DIV/0!</v>
      </c>
    </row>
    <row r="73" spans="1:5" ht="31.5" hidden="1" x14ac:dyDescent="0.25">
      <c r="A73" s="141" t="s">
        <v>859</v>
      </c>
      <c r="B73" s="136" t="s">
        <v>849</v>
      </c>
      <c r="C73" s="140"/>
      <c r="E73" s="133" t="e">
        <f t="shared" si="2"/>
        <v>#DIV/0!</v>
      </c>
    </row>
    <row r="74" spans="1:5" s="138" customFormat="1" ht="38.25" customHeight="1" x14ac:dyDescent="0.25">
      <c r="A74" s="141" t="s">
        <v>858</v>
      </c>
      <c r="B74" s="136" t="s">
        <v>857</v>
      </c>
      <c r="C74" s="140">
        <f>C75+C77</f>
        <v>3735.694</v>
      </c>
      <c r="D74" s="139">
        <f>D75+D77</f>
        <v>3828.3319099999999</v>
      </c>
      <c r="E74" s="133">
        <f t="shared" si="2"/>
        <v>102.47980455572645</v>
      </c>
    </row>
    <row r="75" spans="1:5" s="138" customFormat="1" ht="35.25" customHeight="1" x14ac:dyDescent="0.25">
      <c r="A75" s="141" t="s">
        <v>856</v>
      </c>
      <c r="B75" s="136" t="s">
        <v>855</v>
      </c>
      <c r="C75" s="140">
        <f>C76</f>
        <v>19.353999999999999</v>
      </c>
      <c r="D75" s="139">
        <f>D76</f>
        <v>19.353999999999999</v>
      </c>
      <c r="E75" s="133">
        <f t="shared" si="2"/>
        <v>100</v>
      </c>
    </row>
    <row r="76" spans="1:5" s="138" customFormat="1" ht="47.25" x14ac:dyDescent="0.25">
      <c r="A76" s="141" t="s">
        <v>854</v>
      </c>
      <c r="B76" s="136" t="s">
        <v>853</v>
      </c>
      <c r="C76" s="140">
        <v>19.353999999999999</v>
      </c>
      <c r="D76" s="139">
        <v>19.353999999999999</v>
      </c>
      <c r="E76" s="133">
        <f t="shared" si="2"/>
        <v>100</v>
      </c>
    </row>
    <row r="77" spans="1:5" s="138" customFormat="1" x14ac:dyDescent="0.25">
      <c r="A77" s="141" t="s">
        <v>852</v>
      </c>
      <c r="B77" s="136" t="s">
        <v>851</v>
      </c>
      <c r="C77" s="140">
        <f>C78</f>
        <v>3716.34</v>
      </c>
      <c r="D77" s="139">
        <f>D78</f>
        <v>3808.9779100000001</v>
      </c>
      <c r="E77" s="133">
        <f t="shared" si="2"/>
        <v>102.49271891161733</v>
      </c>
    </row>
    <row r="78" spans="1:5" s="138" customFormat="1" ht="31.5" x14ac:dyDescent="0.25">
      <c r="A78" s="141" t="s">
        <v>850</v>
      </c>
      <c r="B78" s="136" t="s">
        <v>849</v>
      </c>
      <c r="C78" s="140">
        <v>3716.34</v>
      </c>
      <c r="D78" s="139">
        <v>3808.9779100000001</v>
      </c>
      <c r="E78" s="133">
        <f t="shared" si="2"/>
        <v>102.49271891161733</v>
      </c>
    </row>
    <row r="79" spans="1:5" ht="29.25" customHeight="1" x14ac:dyDescent="0.25">
      <c r="A79" s="141" t="s">
        <v>848</v>
      </c>
      <c r="B79" s="136" t="s">
        <v>847</v>
      </c>
      <c r="C79" s="140">
        <f>C83+C80</f>
        <v>1882.396</v>
      </c>
      <c r="D79" s="142">
        <f>D83</f>
        <v>2039.7881600000001</v>
      </c>
      <c r="E79" s="133">
        <f t="shared" si="2"/>
        <v>108.36126723601198</v>
      </c>
    </row>
    <row r="80" spans="1:5" ht="60" hidden="1" customHeight="1" x14ac:dyDescent="0.25">
      <c r="A80" s="141" t="s">
        <v>846</v>
      </c>
      <c r="B80" s="136" t="s">
        <v>845</v>
      </c>
      <c r="C80" s="140">
        <f>C81</f>
        <v>0</v>
      </c>
      <c r="D80" s="142"/>
      <c r="E80" s="133" t="e">
        <f t="shared" si="2"/>
        <v>#DIV/0!</v>
      </c>
    </row>
    <row r="81" spans="1:5" ht="110.25" hidden="1" x14ac:dyDescent="0.25">
      <c r="A81" s="141" t="s">
        <v>844</v>
      </c>
      <c r="B81" s="136" t="s">
        <v>843</v>
      </c>
      <c r="C81" s="140">
        <f>C82</f>
        <v>0</v>
      </c>
      <c r="D81" s="142"/>
      <c r="E81" s="133" t="e">
        <f t="shared" si="2"/>
        <v>#DIV/0!</v>
      </c>
    </row>
    <row r="82" spans="1:5" ht="94.5" hidden="1" x14ac:dyDescent="0.25">
      <c r="A82" s="141" t="s">
        <v>842</v>
      </c>
      <c r="B82" s="136" t="s">
        <v>841</v>
      </c>
      <c r="C82" s="140"/>
      <c r="D82" s="142"/>
      <c r="E82" s="133" t="e">
        <f t="shared" si="2"/>
        <v>#DIV/0!</v>
      </c>
    </row>
    <row r="83" spans="1:5" ht="63" x14ac:dyDescent="0.25">
      <c r="A83" s="141" t="s">
        <v>840</v>
      </c>
      <c r="B83" s="136" t="s">
        <v>839</v>
      </c>
      <c r="C83" s="140">
        <f>C84+C86</f>
        <v>1882.396</v>
      </c>
      <c r="D83" s="142">
        <f>D86</f>
        <v>2039.7881600000001</v>
      </c>
      <c r="E83" s="133">
        <f t="shared" si="2"/>
        <v>108.36126723601198</v>
      </c>
    </row>
    <row r="84" spans="1:5" ht="30" hidden="1" customHeight="1" x14ac:dyDescent="0.25">
      <c r="A84" s="141" t="s">
        <v>838</v>
      </c>
      <c r="B84" s="136" t="s">
        <v>837</v>
      </c>
      <c r="C84" s="140">
        <f>C85</f>
        <v>0</v>
      </c>
      <c r="D84" s="142"/>
      <c r="E84" s="133" t="e">
        <f t="shared" si="2"/>
        <v>#DIV/0!</v>
      </c>
    </row>
    <row r="85" spans="1:5" ht="37.5" hidden="1" customHeight="1" x14ac:dyDescent="0.25">
      <c r="A85" s="141" t="s">
        <v>836</v>
      </c>
      <c r="B85" s="136" t="s">
        <v>835</v>
      </c>
      <c r="C85" s="140">
        <v>0</v>
      </c>
      <c r="D85" s="142"/>
      <c r="E85" s="133" t="e">
        <f t="shared" si="2"/>
        <v>#DIV/0!</v>
      </c>
    </row>
    <row r="86" spans="1:5" ht="63" customHeight="1" x14ac:dyDescent="0.25">
      <c r="A86" s="141" t="s">
        <v>834</v>
      </c>
      <c r="B86" s="136" t="s">
        <v>833</v>
      </c>
      <c r="C86" s="140">
        <f>C87</f>
        <v>1882.396</v>
      </c>
      <c r="D86" s="142">
        <f>D87</f>
        <v>2039.7881600000001</v>
      </c>
      <c r="E86" s="133">
        <f t="shared" si="2"/>
        <v>108.36126723601198</v>
      </c>
    </row>
    <row r="87" spans="1:5" ht="68.25" customHeight="1" x14ac:dyDescent="0.25">
      <c r="A87" s="141" t="s">
        <v>832</v>
      </c>
      <c r="B87" s="136" t="s">
        <v>831</v>
      </c>
      <c r="C87" s="140">
        <v>1882.396</v>
      </c>
      <c r="D87" s="142">
        <v>2039.7881600000001</v>
      </c>
      <c r="E87" s="133">
        <f t="shared" si="2"/>
        <v>108.36126723601198</v>
      </c>
    </row>
    <row r="88" spans="1:5" ht="25.5" hidden="1" customHeight="1" x14ac:dyDescent="0.25">
      <c r="A88" s="141" t="s">
        <v>830</v>
      </c>
      <c r="B88" s="136" t="s">
        <v>829</v>
      </c>
      <c r="C88" s="140">
        <f>C89</f>
        <v>0</v>
      </c>
      <c r="D88" s="142"/>
      <c r="E88" s="133" t="e">
        <f t="shared" si="2"/>
        <v>#DIV/0!</v>
      </c>
    </row>
    <row r="89" spans="1:5" ht="28.5" hidden="1" customHeight="1" x14ac:dyDescent="0.25">
      <c r="A89" s="141" t="s">
        <v>828</v>
      </c>
      <c r="B89" s="136" t="s">
        <v>827</v>
      </c>
      <c r="C89" s="140">
        <f>C90</f>
        <v>0</v>
      </c>
      <c r="D89" s="142"/>
      <c r="E89" s="133" t="e">
        <f t="shared" si="2"/>
        <v>#DIV/0!</v>
      </c>
    </row>
    <row r="90" spans="1:5" ht="32.25" hidden="1" customHeight="1" x14ac:dyDescent="0.25">
      <c r="A90" s="141" t="s">
        <v>826</v>
      </c>
      <c r="B90" s="136" t="s">
        <v>825</v>
      </c>
      <c r="C90" s="140"/>
      <c r="D90" s="142"/>
      <c r="E90" s="133" t="e">
        <f t="shared" si="2"/>
        <v>#DIV/0!</v>
      </c>
    </row>
    <row r="91" spans="1:5" x14ac:dyDescent="0.25">
      <c r="A91" s="141" t="s">
        <v>824</v>
      </c>
      <c r="B91" s="174" t="s">
        <v>823</v>
      </c>
      <c r="C91" s="140">
        <f>C92+C95+C97+C100+C108+C109+C104</f>
        <v>1858.06</v>
      </c>
      <c r="D91" s="134">
        <f>D92+D96+D97+D100+D104+D105+D106+D107+D108+D109</f>
        <v>2701.2306899999999</v>
      </c>
      <c r="E91" s="133">
        <f t="shared" si="2"/>
        <v>145.37908840403432</v>
      </c>
    </row>
    <row r="92" spans="1:5" ht="31.5" x14ac:dyDescent="0.25">
      <c r="A92" s="141" t="s">
        <v>822</v>
      </c>
      <c r="B92" s="173" t="s">
        <v>821</v>
      </c>
      <c r="C92" s="140">
        <f>C93+C94</f>
        <v>31</v>
      </c>
      <c r="D92" s="142">
        <f>D93+D94</f>
        <v>42.524039999999999</v>
      </c>
      <c r="E92" s="133">
        <f t="shared" si="2"/>
        <v>137.17432258064517</v>
      </c>
    </row>
    <row r="93" spans="1:5" ht="78.75" x14ac:dyDescent="0.25">
      <c r="A93" s="141" t="s">
        <v>820</v>
      </c>
      <c r="B93" s="173" t="s">
        <v>819</v>
      </c>
      <c r="C93" s="140">
        <v>24</v>
      </c>
      <c r="D93" s="142">
        <v>34.544040000000003</v>
      </c>
      <c r="E93" s="133">
        <f t="shared" si="2"/>
        <v>143.93350000000001</v>
      </c>
    </row>
    <row r="94" spans="1:5" ht="63" x14ac:dyDescent="0.25">
      <c r="A94" s="141" t="s">
        <v>818</v>
      </c>
      <c r="B94" s="173" t="s">
        <v>817</v>
      </c>
      <c r="C94" s="140">
        <v>7</v>
      </c>
      <c r="D94" s="142">
        <v>7.98</v>
      </c>
      <c r="E94" s="133">
        <f t="shared" si="2"/>
        <v>114.00000000000001</v>
      </c>
    </row>
    <row r="95" spans="1:5" ht="63" hidden="1" x14ac:dyDescent="0.25">
      <c r="A95" s="141" t="s">
        <v>816</v>
      </c>
      <c r="B95" s="173" t="s">
        <v>817</v>
      </c>
      <c r="C95" s="140"/>
      <c r="D95" s="142"/>
      <c r="E95" s="133" t="e">
        <f t="shared" si="2"/>
        <v>#DIV/0!</v>
      </c>
    </row>
    <row r="96" spans="1:5" ht="78.75" x14ac:dyDescent="0.25">
      <c r="A96" s="141" t="s">
        <v>816</v>
      </c>
      <c r="B96" s="173" t="s">
        <v>815</v>
      </c>
      <c r="C96" s="140"/>
      <c r="D96" s="142">
        <v>10.024710000000001</v>
      </c>
      <c r="E96" s="133"/>
    </row>
    <row r="97" spans="1:5" ht="61.5" customHeight="1" x14ac:dyDescent="0.25">
      <c r="A97" s="141" t="s">
        <v>814</v>
      </c>
      <c r="B97" s="173" t="s">
        <v>813</v>
      </c>
      <c r="C97" s="140">
        <f>C99+C98</f>
        <v>32</v>
      </c>
      <c r="D97" s="142">
        <f>D98+D99</f>
        <v>196</v>
      </c>
      <c r="E97" s="133">
        <f>D97/C97*100</f>
        <v>612.5</v>
      </c>
    </row>
    <row r="98" spans="1:5" ht="63" x14ac:dyDescent="0.25">
      <c r="A98" s="141" t="s">
        <v>812</v>
      </c>
      <c r="B98" s="173" t="s">
        <v>811</v>
      </c>
      <c r="C98" s="140">
        <v>30</v>
      </c>
      <c r="D98" s="142">
        <v>190</v>
      </c>
      <c r="E98" s="133">
        <f>D98/C98*100</f>
        <v>633.33333333333326</v>
      </c>
    </row>
    <row r="99" spans="1:5" ht="63" x14ac:dyDescent="0.25">
      <c r="A99" s="141" t="s">
        <v>810</v>
      </c>
      <c r="B99" s="173" t="s">
        <v>809</v>
      </c>
      <c r="C99" s="140">
        <v>2</v>
      </c>
      <c r="D99" s="142">
        <v>6</v>
      </c>
      <c r="E99" s="133">
        <f>D99/C99*100</f>
        <v>300</v>
      </c>
    </row>
    <row r="100" spans="1:5" ht="126" x14ac:dyDescent="0.25">
      <c r="A100" s="141" t="s">
        <v>808</v>
      </c>
      <c r="B100" s="173" t="s">
        <v>807</v>
      </c>
      <c r="C100" s="140">
        <f>C101+C102+C103</f>
        <v>1</v>
      </c>
      <c r="D100" s="134">
        <f>D101+D102+D103</f>
        <v>13.686260000000001</v>
      </c>
      <c r="E100" s="133">
        <f>D100/C100*100</f>
        <v>1368.626</v>
      </c>
    </row>
    <row r="101" spans="1:5" ht="33.75" customHeight="1" x14ac:dyDescent="0.25">
      <c r="A101" s="141" t="s">
        <v>806</v>
      </c>
      <c r="B101" s="173" t="s">
        <v>805</v>
      </c>
      <c r="C101" s="143"/>
      <c r="D101" s="142">
        <v>11.28626</v>
      </c>
      <c r="E101" s="133"/>
    </row>
    <row r="102" spans="1:5" ht="32.25" customHeight="1" x14ac:dyDescent="0.25">
      <c r="A102" s="141" t="s">
        <v>804</v>
      </c>
      <c r="B102" s="173" t="s">
        <v>803</v>
      </c>
      <c r="C102" s="140">
        <v>1</v>
      </c>
      <c r="D102" s="142">
        <v>2.4</v>
      </c>
      <c r="E102" s="133">
        <f>D102/C102*100</f>
        <v>240</v>
      </c>
    </row>
    <row r="103" spans="1:5" ht="33" hidden="1" customHeight="1" x14ac:dyDescent="0.25">
      <c r="A103" s="141" t="s">
        <v>802</v>
      </c>
      <c r="B103" s="173" t="s">
        <v>801</v>
      </c>
      <c r="C103" s="140"/>
      <c r="D103" s="142"/>
      <c r="E103" s="133" t="e">
        <f>D103/C103*100</f>
        <v>#DIV/0!</v>
      </c>
    </row>
    <row r="104" spans="1:5" ht="63" x14ac:dyDescent="0.25">
      <c r="A104" s="141" t="s">
        <v>800</v>
      </c>
      <c r="B104" s="173" t="s">
        <v>799</v>
      </c>
      <c r="C104" s="140">
        <v>791</v>
      </c>
      <c r="D104" s="142">
        <v>574.45929999999998</v>
      </c>
      <c r="E104" s="133">
        <f>D104/C104*100</f>
        <v>72.624437420986084</v>
      </c>
    </row>
    <row r="105" spans="1:5" ht="31.5" x14ac:dyDescent="0.25">
      <c r="A105" s="141" t="s">
        <v>798</v>
      </c>
      <c r="B105" s="173" t="s">
        <v>797</v>
      </c>
      <c r="C105" s="140"/>
      <c r="D105" s="142">
        <v>2.8841299999999999</v>
      </c>
      <c r="E105" s="133"/>
    </row>
    <row r="106" spans="1:5" ht="81" customHeight="1" x14ac:dyDescent="0.25">
      <c r="A106" s="141" t="s">
        <v>796</v>
      </c>
      <c r="B106" s="173" t="s">
        <v>795</v>
      </c>
      <c r="C106" s="140"/>
      <c r="D106" s="142">
        <v>23</v>
      </c>
      <c r="E106" s="133"/>
    </row>
    <row r="107" spans="1:5" ht="47.25" x14ac:dyDescent="0.25">
      <c r="A107" s="141" t="s">
        <v>794</v>
      </c>
      <c r="B107" s="173" t="s">
        <v>793</v>
      </c>
      <c r="C107" s="140"/>
      <c r="D107" s="142">
        <v>137.31399999999999</v>
      </c>
      <c r="E107" s="133"/>
    </row>
    <row r="108" spans="1:5" ht="78.75" x14ac:dyDescent="0.25">
      <c r="A108" s="141" t="s">
        <v>792</v>
      </c>
      <c r="B108" s="173" t="s">
        <v>791</v>
      </c>
      <c r="C108" s="140">
        <v>150</v>
      </c>
      <c r="D108" s="142">
        <v>153.87625</v>
      </c>
      <c r="E108" s="133">
        <f>D108/C108*100</f>
        <v>102.58416666666668</v>
      </c>
    </row>
    <row r="109" spans="1:5" ht="49.5" customHeight="1" x14ac:dyDescent="0.25">
      <c r="A109" s="141" t="s">
        <v>790</v>
      </c>
      <c r="B109" s="173" t="s">
        <v>789</v>
      </c>
      <c r="C109" s="140">
        <v>853.06</v>
      </c>
      <c r="D109" s="142">
        <v>1547.462</v>
      </c>
      <c r="E109" s="133">
        <f>D109/C109*100</f>
        <v>181.40130823154291</v>
      </c>
    </row>
    <row r="110" spans="1:5" ht="30" hidden="1" customHeight="1" x14ac:dyDescent="0.25">
      <c r="A110" s="141" t="s">
        <v>787</v>
      </c>
      <c r="B110" s="136" t="s">
        <v>788</v>
      </c>
      <c r="C110" s="140">
        <f>C111</f>
        <v>0</v>
      </c>
      <c r="D110" s="142"/>
      <c r="E110" s="133" t="e">
        <f>D110/C110*100</f>
        <v>#DIV/0!</v>
      </c>
    </row>
    <row r="111" spans="1:5" ht="30" hidden="1" customHeight="1" x14ac:dyDescent="0.25">
      <c r="A111" s="141" t="s">
        <v>783</v>
      </c>
      <c r="B111" s="136" t="s">
        <v>782</v>
      </c>
      <c r="C111" s="140"/>
      <c r="D111" s="142"/>
      <c r="E111" s="133" t="e">
        <f>D111/C111*100</f>
        <v>#DIV/0!</v>
      </c>
    </row>
    <row r="112" spans="1:5" ht="20.25" customHeight="1" x14ac:dyDescent="0.25">
      <c r="A112" s="141" t="s">
        <v>787</v>
      </c>
      <c r="B112" s="136" t="s">
        <v>786</v>
      </c>
      <c r="C112" s="140">
        <f>C114</f>
        <v>16.399999999999999</v>
      </c>
      <c r="D112" s="142">
        <f>D113+D114</f>
        <v>28.071420000000003</v>
      </c>
      <c r="E112" s="133">
        <f>D112/C112*100</f>
        <v>171.16719512195127</v>
      </c>
    </row>
    <row r="113" spans="1:7" ht="22.5" customHeight="1" x14ac:dyDescent="0.25">
      <c r="A113" s="141" t="s">
        <v>785</v>
      </c>
      <c r="B113" s="136" t="s">
        <v>784</v>
      </c>
      <c r="C113" s="140"/>
      <c r="D113" s="142">
        <v>-8.6584199999999996</v>
      </c>
      <c r="E113" s="133"/>
    </row>
    <row r="114" spans="1:7" ht="30" customHeight="1" x14ac:dyDescent="0.25">
      <c r="A114" s="141" t="s">
        <v>783</v>
      </c>
      <c r="B114" s="136" t="s">
        <v>782</v>
      </c>
      <c r="C114" s="140">
        <v>16.399999999999999</v>
      </c>
      <c r="D114" s="142">
        <v>36.729840000000003</v>
      </c>
      <c r="E114" s="133">
        <f t="shared" ref="E114:E155" si="3">D114/C114*100</f>
        <v>223.96243902439031</v>
      </c>
    </row>
    <row r="115" spans="1:7" x14ac:dyDescent="0.25">
      <c r="A115" s="141" t="s">
        <v>781</v>
      </c>
      <c r="B115" s="136" t="s">
        <v>780</v>
      </c>
      <c r="C115" s="140">
        <f>C116+C203+C208</f>
        <v>494946.99404000002</v>
      </c>
      <c r="D115" s="134">
        <f>D116+D208+D203</f>
        <v>489604.55076000001</v>
      </c>
      <c r="E115" s="133">
        <f t="shared" si="3"/>
        <v>98.920602944490611</v>
      </c>
      <c r="F115" s="156"/>
    </row>
    <row r="116" spans="1:7" ht="47.25" x14ac:dyDescent="0.25">
      <c r="A116" s="141" t="s">
        <v>779</v>
      </c>
      <c r="B116" s="136" t="s">
        <v>778</v>
      </c>
      <c r="C116" s="140">
        <f>C117+C124+C158+C198</f>
        <v>494834.33880000003</v>
      </c>
      <c r="D116" s="134">
        <f>D117+D124+D158+D198</f>
        <v>489491.89552000002</v>
      </c>
      <c r="E116" s="133">
        <f t="shared" si="3"/>
        <v>98.920357206220629</v>
      </c>
      <c r="F116" s="156"/>
    </row>
    <row r="117" spans="1:7" ht="31.5" x14ac:dyDescent="0.25">
      <c r="A117" s="141" t="s">
        <v>777</v>
      </c>
      <c r="B117" s="136" t="s">
        <v>776</v>
      </c>
      <c r="C117" s="140">
        <f>C118+C120+C122</f>
        <v>147389</v>
      </c>
      <c r="D117" s="134">
        <f>D118+D120</f>
        <v>147389</v>
      </c>
      <c r="E117" s="133">
        <f t="shared" si="3"/>
        <v>100</v>
      </c>
    </row>
    <row r="118" spans="1:7" ht="18" customHeight="1" x14ac:dyDescent="0.25">
      <c r="A118" s="141" t="s">
        <v>775</v>
      </c>
      <c r="B118" s="136" t="s">
        <v>774</v>
      </c>
      <c r="C118" s="140">
        <f>C119</f>
        <v>130724</v>
      </c>
      <c r="D118" s="134">
        <f>D119</f>
        <v>130724</v>
      </c>
      <c r="E118" s="133">
        <f t="shared" si="3"/>
        <v>100</v>
      </c>
    </row>
    <row r="119" spans="1:7" ht="36" customHeight="1" x14ac:dyDescent="0.25">
      <c r="A119" s="141" t="s">
        <v>773</v>
      </c>
      <c r="B119" s="136" t="s">
        <v>772</v>
      </c>
      <c r="C119" s="143">
        <f>124745.8+5978.2</f>
        <v>130724</v>
      </c>
      <c r="D119" s="134">
        <v>130724</v>
      </c>
      <c r="E119" s="133">
        <f t="shared" si="3"/>
        <v>100</v>
      </c>
      <c r="F119" s="159"/>
      <c r="G119" s="159"/>
    </row>
    <row r="120" spans="1:7" ht="33.75" customHeight="1" x14ac:dyDescent="0.25">
      <c r="A120" s="141" t="s">
        <v>771</v>
      </c>
      <c r="B120" s="136" t="s">
        <v>770</v>
      </c>
      <c r="C120" s="143">
        <f>C121</f>
        <v>16665</v>
      </c>
      <c r="D120" s="134">
        <f>D121</f>
        <v>16665</v>
      </c>
      <c r="E120" s="133">
        <f t="shared" si="3"/>
        <v>100</v>
      </c>
      <c r="F120" s="159"/>
      <c r="G120" s="159"/>
    </row>
    <row r="121" spans="1:7" ht="45" customHeight="1" x14ac:dyDescent="0.25">
      <c r="A121" s="141" t="s">
        <v>769</v>
      </c>
      <c r="B121" s="136" t="s">
        <v>768</v>
      </c>
      <c r="C121" s="143">
        <v>16665</v>
      </c>
      <c r="D121" s="134">
        <v>16665</v>
      </c>
      <c r="E121" s="133">
        <f t="shared" si="3"/>
        <v>100</v>
      </c>
      <c r="F121" s="159"/>
      <c r="G121" s="159"/>
    </row>
    <row r="122" spans="1:7" ht="44.25" hidden="1" customHeight="1" x14ac:dyDescent="0.25">
      <c r="A122" s="141" t="s">
        <v>767</v>
      </c>
      <c r="B122" s="136" t="s">
        <v>766</v>
      </c>
      <c r="C122" s="143">
        <f>SUM(C123)</f>
        <v>0</v>
      </c>
      <c r="D122" s="134"/>
      <c r="E122" s="133" t="e">
        <f t="shared" si="3"/>
        <v>#DIV/0!</v>
      </c>
      <c r="F122" s="159"/>
      <c r="G122" s="159"/>
    </row>
    <row r="123" spans="1:7" ht="45" hidden="1" customHeight="1" x14ac:dyDescent="0.25">
      <c r="A123" s="141" t="s">
        <v>765</v>
      </c>
      <c r="B123" s="136" t="s">
        <v>764</v>
      </c>
      <c r="C123" s="143"/>
      <c r="D123" s="134"/>
      <c r="E123" s="133" t="e">
        <f t="shared" si="3"/>
        <v>#DIV/0!</v>
      </c>
      <c r="F123" s="159"/>
      <c r="G123" s="159"/>
    </row>
    <row r="124" spans="1:7" ht="30.75" customHeight="1" x14ac:dyDescent="0.25">
      <c r="A124" s="141" t="s">
        <v>763</v>
      </c>
      <c r="B124" s="136" t="s">
        <v>762</v>
      </c>
      <c r="C124" s="143">
        <f>C128+C130+C132+C134+C136+C138</f>
        <v>133430.77710000001</v>
      </c>
      <c r="D124" s="134">
        <f>D128+D130+D132+D134+D136+D138</f>
        <v>128188.13382</v>
      </c>
      <c r="E124" s="133">
        <f t="shared" si="3"/>
        <v>96.070889045283096</v>
      </c>
      <c r="F124" s="159"/>
      <c r="G124" s="159"/>
    </row>
    <row r="125" spans="1:7" ht="31.5" hidden="1" x14ac:dyDescent="0.25">
      <c r="A125" s="141" t="s">
        <v>761</v>
      </c>
      <c r="B125" s="136" t="s">
        <v>760</v>
      </c>
      <c r="C125" s="140">
        <f>SUM(C126)</f>
        <v>0</v>
      </c>
      <c r="D125" s="134">
        <f>D126</f>
        <v>0</v>
      </c>
      <c r="E125" s="133" t="e">
        <f t="shared" si="3"/>
        <v>#DIV/0!</v>
      </c>
      <c r="F125" s="159"/>
      <c r="G125" s="159"/>
    </row>
    <row r="126" spans="1:7" ht="31.5" hidden="1" x14ac:dyDescent="0.25">
      <c r="A126" s="141" t="s">
        <v>759</v>
      </c>
      <c r="B126" s="136" t="s">
        <v>758</v>
      </c>
      <c r="C126" s="140">
        <f>C127</f>
        <v>0</v>
      </c>
      <c r="D126" s="134">
        <f>D127</f>
        <v>0</v>
      </c>
      <c r="E126" s="133" t="e">
        <f t="shared" si="3"/>
        <v>#DIV/0!</v>
      </c>
      <c r="F126" s="159"/>
      <c r="G126" s="159"/>
    </row>
    <row r="127" spans="1:7" ht="108.75" hidden="1" customHeight="1" x14ac:dyDescent="0.25">
      <c r="A127" s="141"/>
      <c r="B127" s="165" t="s">
        <v>757</v>
      </c>
      <c r="C127" s="140"/>
      <c r="D127" s="134"/>
      <c r="E127" s="133" t="e">
        <f t="shared" si="3"/>
        <v>#DIV/0!</v>
      </c>
      <c r="F127" s="159"/>
      <c r="G127" s="159"/>
    </row>
    <row r="128" spans="1:7" ht="78.75" customHeight="1" x14ac:dyDescent="0.25">
      <c r="A128" s="141" t="s">
        <v>756</v>
      </c>
      <c r="B128" s="136" t="s">
        <v>755</v>
      </c>
      <c r="C128" s="140">
        <f>SUM(C129)</f>
        <v>25000</v>
      </c>
      <c r="D128" s="134">
        <f>D129</f>
        <v>25000</v>
      </c>
      <c r="E128" s="133">
        <f t="shared" si="3"/>
        <v>100</v>
      </c>
      <c r="F128" s="159"/>
      <c r="G128" s="159"/>
    </row>
    <row r="129" spans="1:7" ht="68.25" customHeight="1" x14ac:dyDescent="0.25">
      <c r="A129" s="141" t="s">
        <v>754</v>
      </c>
      <c r="B129" s="136" t="s">
        <v>753</v>
      </c>
      <c r="C129" s="140">
        <v>25000</v>
      </c>
      <c r="D129" s="134">
        <v>25000</v>
      </c>
      <c r="E129" s="133">
        <f t="shared" si="3"/>
        <v>100</v>
      </c>
      <c r="F129" s="159"/>
      <c r="G129" s="159"/>
    </row>
    <row r="130" spans="1:7" ht="46.5" customHeight="1" x14ac:dyDescent="0.25">
      <c r="A130" s="141" t="s">
        <v>752</v>
      </c>
      <c r="B130" s="136" t="s">
        <v>751</v>
      </c>
      <c r="C130" s="140">
        <f>C131</f>
        <v>3499.8597</v>
      </c>
      <c r="D130" s="134">
        <f>D131</f>
        <v>3499.8597</v>
      </c>
      <c r="E130" s="133">
        <f t="shared" si="3"/>
        <v>100</v>
      </c>
      <c r="F130" s="159"/>
      <c r="G130" s="159"/>
    </row>
    <row r="131" spans="1:7" ht="71.25" customHeight="1" x14ac:dyDescent="0.25">
      <c r="A131" s="141" t="s">
        <v>750</v>
      </c>
      <c r="B131" s="136" t="s">
        <v>749</v>
      </c>
      <c r="C131" s="140">
        <v>3499.8597</v>
      </c>
      <c r="D131" s="134">
        <v>3499.8597</v>
      </c>
      <c r="E131" s="133">
        <f t="shared" si="3"/>
        <v>100</v>
      </c>
      <c r="F131" s="159"/>
      <c r="G131" s="159"/>
    </row>
    <row r="132" spans="1:7" ht="63.75" customHeight="1" x14ac:dyDescent="0.25">
      <c r="A132" s="141" t="s">
        <v>748</v>
      </c>
      <c r="B132" s="136" t="s">
        <v>747</v>
      </c>
      <c r="C132" s="140">
        <f>C133</f>
        <v>1706.51721</v>
      </c>
      <c r="D132" s="134">
        <f>D133</f>
        <v>1706.51721</v>
      </c>
      <c r="E132" s="133">
        <f t="shared" si="3"/>
        <v>100</v>
      </c>
      <c r="F132" s="159"/>
      <c r="G132" s="159"/>
    </row>
    <row r="133" spans="1:7" ht="61.5" customHeight="1" x14ac:dyDescent="0.25">
      <c r="A133" s="141" t="s">
        <v>746</v>
      </c>
      <c r="B133" s="136" t="s">
        <v>745</v>
      </c>
      <c r="C133" s="140">
        <v>1706.51721</v>
      </c>
      <c r="D133" s="134">
        <v>1706.51721</v>
      </c>
      <c r="E133" s="133">
        <f t="shared" si="3"/>
        <v>100</v>
      </c>
      <c r="F133" s="159"/>
      <c r="G133" s="159"/>
    </row>
    <row r="134" spans="1:7" ht="47.25" customHeight="1" x14ac:dyDescent="0.25">
      <c r="A134" s="141" t="s">
        <v>744</v>
      </c>
      <c r="B134" s="136" t="s">
        <v>743</v>
      </c>
      <c r="C134" s="140">
        <f>C135</f>
        <v>2971.3062199999999</v>
      </c>
      <c r="D134" s="134">
        <f>D135</f>
        <v>2971.3062199999999</v>
      </c>
      <c r="E134" s="133">
        <f t="shared" si="3"/>
        <v>100</v>
      </c>
      <c r="F134" s="159"/>
      <c r="G134" s="159"/>
    </row>
    <row r="135" spans="1:7" ht="64.5" customHeight="1" x14ac:dyDescent="0.25">
      <c r="A135" s="141" t="s">
        <v>742</v>
      </c>
      <c r="B135" s="136" t="s">
        <v>741</v>
      </c>
      <c r="C135" s="140">
        <v>2971.3062199999999</v>
      </c>
      <c r="D135" s="134">
        <v>2971.3062199999999</v>
      </c>
      <c r="E135" s="133">
        <f t="shared" si="3"/>
        <v>100</v>
      </c>
      <c r="F135" s="159"/>
      <c r="G135" s="159"/>
    </row>
    <row r="136" spans="1:7" ht="53.25" customHeight="1" x14ac:dyDescent="0.25">
      <c r="A136" s="141" t="s">
        <v>740</v>
      </c>
      <c r="B136" s="136" t="s">
        <v>739</v>
      </c>
      <c r="C136" s="140">
        <f>C137</f>
        <v>3074.1003900000001</v>
      </c>
      <c r="D136" s="134">
        <f>D137</f>
        <v>3074.1003900000001</v>
      </c>
      <c r="E136" s="133">
        <f t="shared" si="3"/>
        <v>100</v>
      </c>
      <c r="F136" s="159"/>
      <c r="G136" s="159"/>
    </row>
    <row r="137" spans="1:7" ht="28.5" customHeight="1" x14ac:dyDescent="0.25">
      <c r="A137" s="141" t="s">
        <v>738</v>
      </c>
      <c r="B137" s="136" t="s">
        <v>737</v>
      </c>
      <c r="C137" s="140">
        <v>3074.1003900000001</v>
      </c>
      <c r="D137" s="134">
        <v>3074.1003900000001</v>
      </c>
      <c r="E137" s="133">
        <f t="shared" si="3"/>
        <v>100</v>
      </c>
      <c r="F137" s="159"/>
      <c r="G137" s="159"/>
    </row>
    <row r="138" spans="1:7" s="145" customFormat="1" x14ac:dyDescent="0.25">
      <c r="A138" s="137" t="s">
        <v>736</v>
      </c>
      <c r="B138" s="144" t="s">
        <v>735</v>
      </c>
      <c r="C138" s="143">
        <f>C139</f>
        <v>97178.993580000009</v>
      </c>
      <c r="D138" s="146">
        <f>D139</f>
        <v>91936.350300000006</v>
      </c>
      <c r="E138" s="158">
        <f t="shared" si="3"/>
        <v>94.605168167661517</v>
      </c>
      <c r="F138" s="163"/>
      <c r="G138" s="163"/>
    </row>
    <row r="139" spans="1:7" ht="14.25" customHeight="1" x14ac:dyDescent="0.25">
      <c r="A139" s="141" t="s">
        <v>734</v>
      </c>
      <c r="B139" s="136" t="s">
        <v>733</v>
      </c>
      <c r="C139" s="140">
        <f>C140+C143+C144+C146+C147+C149+C150+C151+C152+C153+C154+C155+C156+C157</f>
        <v>97178.993580000009</v>
      </c>
      <c r="D139" s="134">
        <f>D140+D143+D144+D146+D147+D149+D150+D151+D152+D153+D154+D155</f>
        <v>91936.350300000006</v>
      </c>
      <c r="E139" s="133">
        <f t="shared" si="3"/>
        <v>94.605168167661517</v>
      </c>
      <c r="F139" s="172"/>
      <c r="G139" s="159"/>
    </row>
    <row r="140" spans="1:7" ht="84" customHeight="1" x14ac:dyDescent="0.25">
      <c r="A140" s="153" t="s">
        <v>732</v>
      </c>
      <c r="B140" s="171" t="s">
        <v>731</v>
      </c>
      <c r="C140" s="143">
        <v>9.31</v>
      </c>
      <c r="D140" s="134">
        <v>9.31</v>
      </c>
      <c r="E140" s="133">
        <f t="shared" si="3"/>
        <v>100</v>
      </c>
      <c r="F140" s="159" t="s">
        <v>730</v>
      </c>
      <c r="G140" s="159"/>
    </row>
    <row r="141" spans="1:7" ht="61.5" hidden="1" customHeight="1" x14ac:dyDescent="0.25">
      <c r="A141" s="153"/>
      <c r="B141" s="171" t="s">
        <v>729</v>
      </c>
      <c r="C141" s="143"/>
      <c r="D141" s="134"/>
      <c r="E141" s="133" t="e">
        <f t="shared" si="3"/>
        <v>#DIV/0!</v>
      </c>
      <c r="F141" s="159"/>
      <c r="G141" s="159"/>
    </row>
    <row r="142" spans="1:7" ht="76.5" hidden="1" customHeight="1" x14ac:dyDescent="0.25">
      <c r="A142" s="153"/>
      <c r="B142" s="171" t="s">
        <v>728</v>
      </c>
      <c r="C142" s="143"/>
      <c r="D142" s="134"/>
      <c r="E142" s="133" t="e">
        <f t="shared" si="3"/>
        <v>#DIV/0!</v>
      </c>
      <c r="F142" s="159"/>
      <c r="G142" s="159"/>
    </row>
    <row r="143" spans="1:7" ht="78" customHeight="1" x14ac:dyDescent="0.25">
      <c r="A143" s="153" t="s">
        <v>727</v>
      </c>
      <c r="B143" s="171" t="s">
        <v>726</v>
      </c>
      <c r="C143" s="143">
        <v>59702.3</v>
      </c>
      <c r="D143" s="134">
        <v>59702.3</v>
      </c>
      <c r="E143" s="133">
        <f t="shared" si="3"/>
        <v>100</v>
      </c>
      <c r="F143" s="159"/>
      <c r="G143" s="159"/>
    </row>
    <row r="144" spans="1:7" ht="58.5" customHeight="1" x14ac:dyDescent="0.25">
      <c r="A144" s="153" t="s">
        <v>725</v>
      </c>
      <c r="B144" s="165" t="s">
        <v>724</v>
      </c>
      <c r="C144" s="143">
        <v>2562</v>
      </c>
      <c r="D144" s="134">
        <v>2562</v>
      </c>
      <c r="E144" s="133">
        <f t="shared" si="3"/>
        <v>100</v>
      </c>
      <c r="F144" s="159"/>
      <c r="G144" s="159"/>
    </row>
    <row r="145" spans="1:7" ht="94.5" hidden="1" x14ac:dyDescent="0.25">
      <c r="A145" s="153"/>
      <c r="B145" s="165" t="s">
        <v>723</v>
      </c>
      <c r="C145" s="143"/>
      <c r="D145" s="134"/>
      <c r="E145" s="133" t="e">
        <f t="shared" si="3"/>
        <v>#DIV/0!</v>
      </c>
      <c r="F145" s="159"/>
      <c r="G145" s="159"/>
    </row>
    <row r="146" spans="1:7" ht="77.25" customHeight="1" x14ac:dyDescent="0.25">
      <c r="A146" s="153" t="s">
        <v>722</v>
      </c>
      <c r="B146" s="165" t="s">
        <v>721</v>
      </c>
      <c r="C146" s="143">
        <v>741.9</v>
      </c>
      <c r="D146" s="134">
        <v>741.9</v>
      </c>
      <c r="E146" s="133">
        <f t="shared" si="3"/>
        <v>100</v>
      </c>
      <c r="F146" s="159"/>
      <c r="G146" s="159"/>
    </row>
    <row r="147" spans="1:7" ht="79.5" customHeight="1" x14ac:dyDescent="0.25">
      <c r="A147" s="153" t="s">
        <v>720</v>
      </c>
      <c r="B147" s="165" t="s">
        <v>719</v>
      </c>
      <c r="C147" s="143">
        <v>624.86630000000002</v>
      </c>
      <c r="D147" s="134">
        <v>624.86630000000002</v>
      </c>
      <c r="E147" s="133">
        <f t="shared" si="3"/>
        <v>100</v>
      </c>
      <c r="F147" s="159"/>
      <c r="G147" s="159"/>
    </row>
    <row r="148" spans="1:7" ht="110.25" hidden="1" x14ac:dyDescent="0.25">
      <c r="A148" s="153"/>
      <c r="B148" s="165" t="s">
        <v>718</v>
      </c>
      <c r="C148" s="143"/>
      <c r="D148" s="134"/>
      <c r="E148" s="133" t="e">
        <f t="shared" si="3"/>
        <v>#DIV/0!</v>
      </c>
      <c r="F148" s="159"/>
      <c r="G148" s="159"/>
    </row>
    <row r="149" spans="1:7" ht="110.25" x14ac:dyDescent="0.25">
      <c r="A149" s="153" t="s">
        <v>717</v>
      </c>
      <c r="B149" s="165" t="s">
        <v>716</v>
      </c>
      <c r="C149" s="143">
        <v>3362.44</v>
      </c>
      <c r="D149" s="134">
        <v>3362.44</v>
      </c>
      <c r="E149" s="133">
        <f t="shared" si="3"/>
        <v>100</v>
      </c>
      <c r="F149" s="159"/>
      <c r="G149" s="159"/>
    </row>
    <row r="150" spans="1:7" ht="78.75" x14ac:dyDescent="0.25">
      <c r="A150" s="153" t="s">
        <v>715</v>
      </c>
      <c r="B150" s="170" t="s">
        <v>714</v>
      </c>
      <c r="C150" s="143">
        <v>800</v>
      </c>
      <c r="D150" s="134">
        <v>800</v>
      </c>
      <c r="E150" s="133">
        <f t="shared" si="3"/>
        <v>100</v>
      </c>
      <c r="F150" s="159"/>
      <c r="G150" s="159"/>
    </row>
    <row r="151" spans="1:7" ht="110.25" x14ac:dyDescent="0.25">
      <c r="A151" s="153" t="s">
        <v>713</v>
      </c>
      <c r="B151" s="170" t="s">
        <v>712</v>
      </c>
      <c r="C151" s="143">
        <v>2501.1999999999998</v>
      </c>
      <c r="D151" s="134">
        <v>2501.1999999999998</v>
      </c>
      <c r="E151" s="133">
        <f t="shared" si="3"/>
        <v>100</v>
      </c>
      <c r="F151" s="159"/>
      <c r="G151" s="159"/>
    </row>
    <row r="152" spans="1:7" ht="78.75" x14ac:dyDescent="0.25">
      <c r="A152" s="153" t="s">
        <v>711</v>
      </c>
      <c r="B152" s="170" t="s">
        <v>710</v>
      </c>
      <c r="C152" s="143">
        <v>12005.1</v>
      </c>
      <c r="D152" s="134">
        <v>12005.1</v>
      </c>
      <c r="E152" s="133">
        <f t="shared" si="3"/>
        <v>100</v>
      </c>
      <c r="F152" s="159"/>
      <c r="G152" s="159"/>
    </row>
    <row r="153" spans="1:7" ht="47.25" x14ac:dyDescent="0.25">
      <c r="A153" s="153" t="s">
        <v>709</v>
      </c>
      <c r="B153" s="170" t="s">
        <v>708</v>
      </c>
      <c r="C153" s="143">
        <v>387.23399999999998</v>
      </c>
      <c r="D153" s="134">
        <v>387.23399999999998</v>
      </c>
      <c r="E153" s="133">
        <f t="shared" si="3"/>
        <v>100</v>
      </c>
      <c r="F153" s="159"/>
      <c r="G153" s="159"/>
    </row>
    <row r="154" spans="1:7" s="166" customFormat="1" ht="62.25" customHeight="1" x14ac:dyDescent="0.25">
      <c r="A154" s="169" t="s">
        <v>707</v>
      </c>
      <c r="B154" s="168" t="s">
        <v>706</v>
      </c>
      <c r="C154" s="143">
        <v>180</v>
      </c>
      <c r="D154" s="146">
        <v>180</v>
      </c>
      <c r="E154" s="158">
        <f t="shared" si="3"/>
        <v>100</v>
      </c>
      <c r="F154" s="167"/>
      <c r="G154" s="167"/>
    </row>
    <row r="155" spans="1:7" s="138" customFormat="1" ht="111.75" customHeight="1" x14ac:dyDescent="0.25">
      <c r="A155" s="153" t="s">
        <v>705</v>
      </c>
      <c r="B155" s="165" t="s">
        <v>704</v>
      </c>
      <c r="C155" s="143">
        <v>9060</v>
      </c>
      <c r="D155" s="134">
        <v>9060</v>
      </c>
      <c r="E155" s="133">
        <f t="shared" si="3"/>
        <v>100</v>
      </c>
      <c r="F155" s="164"/>
      <c r="G155" s="164"/>
    </row>
    <row r="156" spans="1:7" s="138" customFormat="1" ht="84" customHeight="1" x14ac:dyDescent="0.25">
      <c r="A156" s="153" t="s">
        <v>703</v>
      </c>
      <c r="B156" s="165" t="s">
        <v>702</v>
      </c>
      <c r="C156" s="143">
        <v>160.54328000000001</v>
      </c>
      <c r="D156" s="134"/>
      <c r="E156" s="133"/>
      <c r="F156" s="164"/>
      <c r="G156" s="164"/>
    </row>
    <row r="157" spans="1:7" s="138" customFormat="1" ht="157.5" x14ac:dyDescent="0.25">
      <c r="A157" s="153" t="s">
        <v>701</v>
      </c>
      <c r="B157" s="165" t="s">
        <v>700</v>
      </c>
      <c r="C157" s="143">
        <v>5082.1000000000004</v>
      </c>
      <c r="D157" s="134"/>
      <c r="E157" s="133"/>
      <c r="F157" s="164"/>
      <c r="G157" s="164"/>
    </row>
    <row r="158" spans="1:7" s="145" customFormat="1" ht="33.75" customHeight="1" x14ac:dyDescent="0.25">
      <c r="A158" s="137" t="s">
        <v>699</v>
      </c>
      <c r="B158" s="144" t="s">
        <v>698</v>
      </c>
      <c r="C158" s="143">
        <f>C173+C188+C190+C192+C194+C196</f>
        <v>210318.39970000001</v>
      </c>
      <c r="D158" s="134">
        <f>D173+D188+D190+D192+D194+D196</f>
        <v>210218.59969999999</v>
      </c>
      <c r="E158" s="133">
        <f t="shared" ref="E158:E189" si="4">D158/C158*100</f>
        <v>99.952548136471947</v>
      </c>
      <c r="F158" s="163"/>
      <c r="G158" s="163"/>
    </row>
    <row r="159" spans="1:7" ht="37.5" hidden="1" customHeight="1" x14ac:dyDescent="0.25">
      <c r="A159" s="141" t="s">
        <v>697</v>
      </c>
      <c r="B159" s="136" t="s">
        <v>696</v>
      </c>
      <c r="C159" s="140">
        <f>C160</f>
        <v>0</v>
      </c>
      <c r="D159" s="134"/>
      <c r="E159" s="133" t="e">
        <f t="shared" si="4"/>
        <v>#DIV/0!</v>
      </c>
      <c r="F159" s="159"/>
      <c r="G159" s="159"/>
    </row>
    <row r="160" spans="1:7" ht="51.75" hidden="1" customHeight="1" x14ac:dyDescent="0.25">
      <c r="A160" s="141" t="s">
        <v>695</v>
      </c>
      <c r="B160" s="136" t="s">
        <v>694</v>
      </c>
      <c r="C160" s="140"/>
      <c r="D160" s="134"/>
      <c r="E160" s="133" t="e">
        <f t="shared" si="4"/>
        <v>#DIV/0!</v>
      </c>
      <c r="F160" s="159"/>
      <c r="G160" s="159"/>
    </row>
    <row r="161" spans="1:7" ht="33" hidden="1" customHeight="1" x14ac:dyDescent="0.25">
      <c r="A161" s="141" t="s">
        <v>693</v>
      </c>
      <c r="B161" s="136" t="s">
        <v>692</v>
      </c>
      <c r="C161" s="140">
        <f>C162</f>
        <v>0</v>
      </c>
      <c r="D161" s="134"/>
      <c r="E161" s="133" t="e">
        <f t="shared" si="4"/>
        <v>#DIV/0!</v>
      </c>
      <c r="F161" s="159"/>
      <c r="G161" s="159"/>
    </row>
    <row r="162" spans="1:7" ht="48" hidden="1" customHeight="1" x14ac:dyDescent="0.25">
      <c r="A162" s="141" t="s">
        <v>691</v>
      </c>
      <c r="B162" s="136" t="s">
        <v>690</v>
      </c>
      <c r="C162" s="140"/>
      <c r="D162" s="134"/>
      <c r="E162" s="133" t="e">
        <f t="shared" si="4"/>
        <v>#DIV/0!</v>
      </c>
      <c r="F162" s="159"/>
      <c r="G162" s="159"/>
    </row>
    <row r="163" spans="1:7" ht="57" hidden="1" customHeight="1" x14ac:dyDescent="0.25">
      <c r="A163" s="141" t="s">
        <v>689</v>
      </c>
      <c r="B163" s="136" t="s">
        <v>688</v>
      </c>
      <c r="C163" s="140">
        <f>C164</f>
        <v>0</v>
      </c>
      <c r="D163" s="134"/>
      <c r="E163" s="133" t="e">
        <f t="shared" si="4"/>
        <v>#DIV/0!</v>
      </c>
      <c r="F163" s="159"/>
      <c r="G163" s="159"/>
    </row>
    <row r="164" spans="1:7" ht="68.25" hidden="1" customHeight="1" x14ac:dyDescent="0.25">
      <c r="A164" s="141" t="s">
        <v>687</v>
      </c>
      <c r="B164" s="136" t="s">
        <v>686</v>
      </c>
      <c r="C164" s="140"/>
      <c r="D164" s="134"/>
      <c r="E164" s="133" t="e">
        <f t="shared" si="4"/>
        <v>#DIV/0!</v>
      </c>
      <c r="F164" s="159"/>
      <c r="G164" s="159"/>
    </row>
    <row r="165" spans="1:7" ht="99" hidden="1" customHeight="1" x14ac:dyDescent="0.25">
      <c r="A165" s="162" t="s">
        <v>685</v>
      </c>
      <c r="B165" s="161" t="s">
        <v>684</v>
      </c>
      <c r="C165" s="160">
        <f>SUM(C166)</f>
        <v>0</v>
      </c>
      <c r="D165" s="134"/>
      <c r="E165" s="133" t="e">
        <f t="shared" si="4"/>
        <v>#DIV/0!</v>
      </c>
      <c r="F165" s="159"/>
      <c r="G165" s="159"/>
    </row>
    <row r="166" spans="1:7" ht="66" hidden="1" customHeight="1" x14ac:dyDescent="0.25">
      <c r="A166" s="162" t="s">
        <v>683</v>
      </c>
      <c r="B166" s="161" t="s">
        <v>682</v>
      </c>
      <c r="C166" s="160"/>
      <c r="D166" s="134"/>
      <c r="E166" s="133" t="e">
        <f t="shared" si="4"/>
        <v>#DIV/0!</v>
      </c>
      <c r="F166" s="159"/>
      <c r="G166" s="159"/>
    </row>
    <row r="167" spans="1:7" ht="66" hidden="1" customHeight="1" x14ac:dyDescent="0.25">
      <c r="A167" s="141" t="s">
        <v>681</v>
      </c>
      <c r="B167" s="136" t="s">
        <v>680</v>
      </c>
      <c r="C167" s="143">
        <f>C168</f>
        <v>0</v>
      </c>
      <c r="D167" s="134"/>
      <c r="E167" s="133" t="e">
        <f t="shared" si="4"/>
        <v>#DIV/0!</v>
      </c>
      <c r="F167" s="159"/>
      <c r="G167" s="159"/>
    </row>
    <row r="168" spans="1:7" ht="62.25" hidden="1" customHeight="1" x14ac:dyDescent="0.25">
      <c r="A168" s="141" t="s">
        <v>679</v>
      </c>
      <c r="B168" s="136" t="s">
        <v>678</v>
      </c>
      <c r="C168" s="143"/>
      <c r="D168" s="134"/>
      <c r="E168" s="133" t="e">
        <f t="shared" si="4"/>
        <v>#DIV/0!</v>
      </c>
      <c r="F168" s="159"/>
      <c r="G168" s="159"/>
    </row>
    <row r="169" spans="1:7" ht="58.5" hidden="1" customHeight="1" x14ac:dyDescent="0.25">
      <c r="A169" s="141" t="s">
        <v>677</v>
      </c>
      <c r="B169" s="136" t="s">
        <v>676</v>
      </c>
      <c r="C169" s="143">
        <f>C170</f>
        <v>0</v>
      </c>
      <c r="D169" s="134"/>
      <c r="E169" s="133" t="e">
        <f t="shared" si="4"/>
        <v>#DIV/0!</v>
      </c>
    </row>
    <row r="170" spans="1:7" ht="32.25" hidden="1" customHeight="1" x14ac:dyDescent="0.25">
      <c r="A170" s="141" t="s">
        <v>675</v>
      </c>
      <c r="B170" s="136" t="s">
        <v>674</v>
      </c>
      <c r="C170" s="143"/>
      <c r="D170" s="134"/>
      <c r="E170" s="133" t="e">
        <f t="shared" si="4"/>
        <v>#DIV/0!</v>
      </c>
    </row>
    <row r="171" spans="1:7" ht="27" hidden="1" customHeight="1" x14ac:dyDescent="0.25">
      <c r="A171" s="141" t="s">
        <v>673</v>
      </c>
      <c r="B171" s="136" t="s">
        <v>672</v>
      </c>
      <c r="C171" s="143">
        <f>C172</f>
        <v>0</v>
      </c>
      <c r="D171" s="134"/>
      <c r="E171" s="133" t="e">
        <f t="shared" si="4"/>
        <v>#DIV/0!</v>
      </c>
    </row>
    <row r="172" spans="1:7" ht="26.25" hidden="1" customHeight="1" x14ac:dyDescent="0.25">
      <c r="A172" s="141" t="s">
        <v>671</v>
      </c>
      <c r="B172" s="136" t="s">
        <v>670</v>
      </c>
      <c r="C172" s="143"/>
      <c r="D172" s="134"/>
      <c r="E172" s="133" t="e">
        <f t="shared" si="4"/>
        <v>#DIV/0!</v>
      </c>
    </row>
    <row r="173" spans="1:7" s="145" customFormat="1" ht="47.25" x14ac:dyDescent="0.25">
      <c r="A173" s="137" t="s">
        <v>669</v>
      </c>
      <c r="B173" s="144" t="s">
        <v>668</v>
      </c>
      <c r="C173" s="143">
        <f>C174</f>
        <v>205528.80370000002</v>
      </c>
      <c r="D173" s="146">
        <f>D174</f>
        <v>205528.80370000002</v>
      </c>
      <c r="E173" s="158">
        <f t="shared" si="4"/>
        <v>100</v>
      </c>
      <c r="F173" s="157"/>
    </row>
    <row r="174" spans="1:7" ht="47.25" x14ac:dyDescent="0.25">
      <c r="A174" s="141" t="s">
        <v>667</v>
      </c>
      <c r="B174" s="136" t="s">
        <v>666</v>
      </c>
      <c r="C174" s="143">
        <f>C175+C176+C177+C178+C179+C180+C181+C182+C183+C184+C185+C186+C187</f>
        <v>205528.80370000002</v>
      </c>
      <c r="D174" s="134">
        <f>D175+D176+D177+D178+D179+D180+D181+D182+D183+D184+D185+D186+D187</f>
        <v>205528.80370000002</v>
      </c>
      <c r="E174" s="133">
        <f t="shared" si="4"/>
        <v>100</v>
      </c>
      <c r="F174" s="156"/>
    </row>
    <row r="175" spans="1:7" s="150" customFormat="1" ht="95.25" customHeight="1" x14ac:dyDescent="0.25">
      <c r="A175" s="153"/>
      <c r="B175" s="152" t="s">
        <v>665</v>
      </c>
      <c r="C175" s="151">
        <v>5863</v>
      </c>
      <c r="D175" s="134">
        <v>5863</v>
      </c>
      <c r="E175" s="133">
        <f t="shared" si="4"/>
        <v>100</v>
      </c>
      <c r="F175" s="155"/>
    </row>
    <row r="176" spans="1:7" s="150" customFormat="1" ht="97.5" customHeight="1" x14ac:dyDescent="0.25">
      <c r="A176" s="153" t="s">
        <v>664</v>
      </c>
      <c r="B176" s="154" t="s">
        <v>663</v>
      </c>
      <c r="C176" s="151">
        <v>346.64600000000002</v>
      </c>
      <c r="D176" s="134">
        <v>346.64600000000002</v>
      </c>
      <c r="E176" s="133">
        <f t="shared" si="4"/>
        <v>100</v>
      </c>
    </row>
    <row r="177" spans="1:5" s="150" customFormat="1" ht="90" x14ac:dyDescent="0.25">
      <c r="A177" s="153" t="s">
        <v>662</v>
      </c>
      <c r="B177" s="152" t="s">
        <v>661</v>
      </c>
      <c r="C177" s="151">
        <v>0.3</v>
      </c>
      <c r="D177" s="134">
        <v>0.3</v>
      </c>
      <c r="E177" s="133">
        <f t="shared" si="4"/>
        <v>100</v>
      </c>
    </row>
    <row r="178" spans="1:5" s="150" customFormat="1" ht="75" x14ac:dyDescent="0.25">
      <c r="A178" s="153" t="s">
        <v>660</v>
      </c>
      <c r="B178" s="154" t="s">
        <v>659</v>
      </c>
      <c r="C178" s="151">
        <v>1470.2577000000001</v>
      </c>
      <c r="D178" s="134">
        <v>1470.2577000000001</v>
      </c>
      <c r="E178" s="133">
        <f t="shared" si="4"/>
        <v>100</v>
      </c>
    </row>
    <row r="179" spans="1:5" s="150" customFormat="1" ht="167.25" customHeight="1" x14ac:dyDescent="0.25">
      <c r="A179" s="153" t="s">
        <v>658</v>
      </c>
      <c r="B179" s="152" t="s">
        <v>657</v>
      </c>
      <c r="C179" s="151">
        <v>195225.4</v>
      </c>
      <c r="D179" s="134">
        <v>195225.4</v>
      </c>
      <c r="E179" s="133">
        <f t="shared" si="4"/>
        <v>100</v>
      </c>
    </row>
    <row r="180" spans="1:5" s="150" customFormat="1" ht="51" customHeight="1" x14ac:dyDescent="0.25">
      <c r="A180" s="153" t="s">
        <v>656</v>
      </c>
      <c r="B180" s="154" t="s">
        <v>655</v>
      </c>
      <c r="C180" s="151">
        <v>710</v>
      </c>
      <c r="D180" s="134">
        <v>710</v>
      </c>
      <c r="E180" s="133">
        <f t="shared" si="4"/>
        <v>100</v>
      </c>
    </row>
    <row r="181" spans="1:5" s="150" customFormat="1" ht="75" x14ac:dyDescent="0.25">
      <c r="A181" s="153" t="s">
        <v>654</v>
      </c>
      <c r="B181" s="152" t="s">
        <v>653</v>
      </c>
      <c r="C181" s="151">
        <v>911</v>
      </c>
      <c r="D181" s="134">
        <v>911</v>
      </c>
      <c r="E181" s="133">
        <f t="shared" si="4"/>
        <v>100</v>
      </c>
    </row>
    <row r="182" spans="1:5" s="150" customFormat="1" ht="75" x14ac:dyDescent="0.25">
      <c r="A182" s="153" t="s">
        <v>652</v>
      </c>
      <c r="B182" s="152" t="s">
        <v>651</v>
      </c>
      <c r="C182" s="151">
        <v>51.6</v>
      </c>
      <c r="D182" s="134">
        <v>51.6</v>
      </c>
      <c r="E182" s="133">
        <f t="shared" si="4"/>
        <v>100</v>
      </c>
    </row>
    <row r="183" spans="1:5" s="150" customFormat="1" ht="90" x14ac:dyDescent="0.25">
      <c r="A183" s="153" t="s">
        <v>650</v>
      </c>
      <c r="B183" s="152" t="s">
        <v>649</v>
      </c>
      <c r="C183" s="151">
        <v>211.2</v>
      </c>
      <c r="D183" s="134">
        <v>211.2</v>
      </c>
      <c r="E183" s="133">
        <f t="shared" si="4"/>
        <v>100</v>
      </c>
    </row>
    <row r="184" spans="1:5" s="150" customFormat="1" ht="60" x14ac:dyDescent="0.25">
      <c r="A184" s="153" t="s">
        <v>648</v>
      </c>
      <c r="B184" s="152" t="s">
        <v>647</v>
      </c>
      <c r="C184" s="151">
        <v>459.2</v>
      </c>
      <c r="D184" s="134">
        <v>459.2</v>
      </c>
      <c r="E184" s="133">
        <f t="shared" si="4"/>
        <v>100</v>
      </c>
    </row>
    <row r="185" spans="1:5" s="150" customFormat="1" ht="127.5" customHeight="1" x14ac:dyDescent="0.25">
      <c r="A185" s="153" t="s">
        <v>646</v>
      </c>
      <c r="B185" s="152" t="s">
        <v>645</v>
      </c>
      <c r="C185" s="151">
        <v>201.8</v>
      </c>
      <c r="D185" s="134">
        <v>201.8</v>
      </c>
      <c r="E185" s="133">
        <f t="shared" si="4"/>
        <v>100</v>
      </c>
    </row>
    <row r="186" spans="1:5" s="150" customFormat="1" ht="60" x14ac:dyDescent="0.25">
      <c r="A186" s="153" t="s">
        <v>644</v>
      </c>
      <c r="B186" s="152" t="s">
        <v>643</v>
      </c>
      <c r="C186" s="151">
        <v>0.1</v>
      </c>
      <c r="D186" s="134">
        <v>0.1</v>
      </c>
      <c r="E186" s="133">
        <f t="shared" si="4"/>
        <v>100</v>
      </c>
    </row>
    <row r="187" spans="1:5" s="150" customFormat="1" ht="90" x14ac:dyDescent="0.25">
      <c r="A187" s="141" t="s">
        <v>642</v>
      </c>
      <c r="B187" s="152" t="s">
        <v>641</v>
      </c>
      <c r="C187" s="151">
        <v>78.3</v>
      </c>
      <c r="D187" s="134">
        <v>78.3</v>
      </c>
      <c r="E187" s="133">
        <f t="shared" si="4"/>
        <v>100</v>
      </c>
    </row>
    <row r="188" spans="1:5" s="147" customFormat="1" ht="96" customHeight="1" x14ac:dyDescent="0.25">
      <c r="A188" s="149" t="s">
        <v>640</v>
      </c>
      <c r="B188" s="136" t="s">
        <v>639</v>
      </c>
      <c r="C188" s="148">
        <f>C189</f>
        <v>2569.1759999999999</v>
      </c>
      <c r="D188" s="134">
        <f>D189</f>
        <v>2569.1759999999999</v>
      </c>
      <c r="E188" s="133">
        <f t="shared" si="4"/>
        <v>100</v>
      </c>
    </row>
    <row r="189" spans="1:5" ht="102.75" customHeight="1" x14ac:dyDescent="0.25">
      <c r="A189" s="141" t="s">
        <v>638</v>
      </c>
      <c r="B189" s="136" t="s">
        <v>637</v>
      </c>
      <c r="C189" s="143">
        <v>2569.1759999999999</v>
      </c>
      <c r="D189" s="134">
        <v>2569.1759999999999</v>
      </c>
      <c r="E189" s="133">
        <f t="shared" si="4"/>
        <v>100</v>
      </c>
    </row>
    <row r="190" spans="1:5" ht="47.25" x14ac:dyDescent="0.25">
      <c r="A190" s="141" t="s">
        <v>636</v>
      </c>
      <c r="B190" s="136" t="s">
        <v>635</v>
      </c>
      <c r="C190" s="143">
        <f>C191</f>
        <v>888.8</v>
      </c>
      <c r="D190" s="134">
        <f>D191</f>
        <v>888.8</v>
      </c>
      <c r="E190" s="133">
        <f t="shared" ref="E190:E209" si="5">D190/C190*100</f>
        <v>100</v>
      </c>
    </row>
    <row r="191" spans="1:5" ht="56.25" customHeight="1" x14ac:dyDescent="0.25">
      <c r="A191" s="141" t="s">
        <v>634</v>
      </c>
      <c r="B191" s="136" t="s">
        <v>633</v>
      </c>
      <c r="C191" s="143">
        <v>888.8</v>
      </c>
      <c r="D191" s="134">
        <v>888.8</v>
      </c>
      <c r="E191" s="133">
        <f t="shared" si="5"/>
        <v>100</v>
      </c>
    </row>
    <row r="192" spans="1:5" ht="63.75" customHeight="1" x14ac:dyDescent="0.25">
      <c r="A192" s="141" t="s">
        <v>632</v>
      </c>
      <c r="B192" s="136" t="s">
        <v>631</v>
      </c>
      <c r="C192" s="143">
        <f>C193</f>
        <v>113.2</v>
      </c>
      <c r="D192" s="134">
        <f>D193</f>
        <v>13.4</v>
      </c>
      <c r="E192" s="133">
        <f t="shared" si="5"/>
        <v>11.837455830388691</v>
      </c>
    </row>
    <row r="193" spans="1:5" ht="67.5" customHeight="1" x14ac:dyDescent="0.25">
      <c r="A193" s="141" t="s">
        <v>630</v>
      </c>
      <c r="B193" s="136" t="s">
        <v>629</v>
      </c>
      <c r="C193" s="143">
        <v>113.2</v>
      </c>
      <c r="D193" s="134">
        <v>13.4</v>
      </c>
      <c r="E193" s="133">
        <f t="shared" si="5"/>
        <v>11.837455830388691</v>
      </c>
    </row>
    <row r="194" spans="1:5" ht="64.5" customHeight="1" x14ac:dyDescent="0.25">
      <c r="A194" s="141" t="s">
        <v>628</v>
      </c>
      <c r="B194" s="136" t="s">
        <v>627</v>
      </c>
      <c r="C194" s="143">
        <f>C195</f>
        <v>609.21</v>
      </c>
      <c r="D194" s="134">
        <f>D195</f>
        <v>609.21</v>
      </c>
      <c r="E194" s="133">
        <f t="shared" si="5"/>
        <v>100</v>
      </c>
    </row>
    <row r="195" spans="1:5" ht="78.75" customHeight="1" x14ac:dyDescent="0.25">
      <c r="A195" s="141" t="s">
        <v>626</v>
      </c>
      <c r="B195" s="136" t="s">
        <v>625</v>
      </c>
      <c r="C195" s="143">
        <v>609.21</v>
      </c>
      <c r="D195" s="134">
        <v>609.21</v>
      </c>
      <c r="E195" s="133">
        <f t="shared" si="5"/>
        <v>100</v>
      </c>
    </row>
    <row r="196" spans="1:5" ht="90" customHeight="1" x14ac:dyDescent="0.25">
      <c r="A196" s="141" t="s">
        <v>624</v>
      </c>
      <c r="B196" s="136" t="s">
        <v>623</v>
      </c>
      <c r="C196" s="143">
        <f>C197</f>
        <v>609.21</v>
      </c>
      <c r="D196" s="134">
        <f>D197</f>
        <v>609.21</v>
      </c>
      <c r="E196" s="133">
        <f t="shared" si="5"/>
        <v>100</v>
      </c>
    </row>
    <row r="197" spans="1:5" ht="94.5" x14ac:dyDescent="0.25">
      <c r="A197" s="141" t="s">
        <v>622</v>
      </c>
      <c r="B197" s="136" t="s">
        <v>621</v>
      </c>
      <c r="C197" s="143">
        <v>609.21</v>
      </c>
      <c r="D197" s="134">
        <v>609.21</v>
      </c>
      <c r="E197" s="133">
        <f t="shared" si="5"/>
        <v>100</v>
      </c>
    </row>
    <row r="198" spans="1:5" s="145" customFormat="1" x14ac:dyDescent="0.25">
      <c r="A198" s="137" t="s">
        <v>620</v>
      </c>
      <c r="B198" s="144" t="s">
        <v>619</v>
      </c>
      <c r="C198" s="143">
        <f>C199+C201+C202</f>
        <v>3696.1619999999998</v>
      </c>
      <c r="D198" s="146">
        <f>D199+D201+D202</f>
        <v>3696.1619999999998</v>
      </c>
      <c r="E198" s="133">
        <f t="shared" si="5"/>
        <v>100</v>
      </c>
    </row>
    <row r="199" spans="1:5" ht="63" x14ac:dyDescent="0.25">
      <c r="A199" s="137" t="s">
        <v>618</v>
      </c>
      <c r="B199" s="144" t="s">
        <v>617</v>
      </c>
      <c r="C199" s="143">
        <f>C200</f>
        <v>100</v>
      </c>
      <c r="D199" s="134">
        <f>D200</f>
        <v>100</v>
      </c>
      <c r="E199" s="133">
        <f t="shared" si="5"/>
        <v>100</v>
      </c>
    </row>
    <row r="200" spans="1:5" ht="78.75" x14ac:dyDescent="0.25">
      <c r="A200" s="137" t="s">
        <v>616</v>
      </c>
      <c r="B200" s="144" t="s">
        <v>615</v>
      </c>
      <c r="C200" s="143">
        <v>100</v>
      </c>
      <c r="D200" s="134">
        <v>100</v>
      </c>
      <c r="E200" s="133">
        <f t="shared" si="5"/>
        <v>100</v>
      </c>
    </row>
    <row r="201" spans="1:5" ht="49.5" customHeight="1" x14ac:dyDescent="0.25">
      <c r="A201" s="137" t="s">
        <v>614</v>
      </c>
      <c r="B201" s="144" t="s">
        <v>613</v>
      </c>
      <c r="C201" s="143">
        <v>2269.6</v>
      </c>
      <c r="D201" s="134">
        <v>2269.6</v>
      </c>
      <c r="E201" s="133">
        <f t="shared" si="5"/>
        <v>100</v>
      </c>
    </row>
    <row r="202" spans="1:5" ht="31.5" x14ac:dyDescent="0.25">
      <c r="A202" s="137" t="s">
        <v>612</v>
      </c>
      <c r="B202" s="144" t="s">
        <v>611</v>
      </c>
      <c r="C202" s="143">
        <v>1326.5619999999999</v>
      </c>
      <c r="D202" s="134">
        <v>1326.5619999999999</v>
      </c>
      <c r="E202" s="133">
        <f t="shared" si="5"/>
        <v>100</v>
      </c>
    </row>
    <row r="203" spans="1:5" ht="110.25" x14ac:dyDescent="0.25">
      <c r="A203" s="137" t="s">
        <v>610</v>
      </c>
      <c r="B203" s="144" t="s">
        <v>609</v>
      </c>
      <c r="C203" s="143">
        <f>C204+C205</f>
        <v>2037.55565</v>
      </c>
      <c r="D203" s="134">
        <f>D204+D205</f>
        <v>2037.55565</v>
      </c>
      <c r="E203" s="133">
        <f t="shared" si="5"/>
        <v>100</v>
      </c>
    </row>
    <row r="204" spans="1:5" ht="67.5" customHeight="1" x14ac:dyDescent="0.25">
      <c r="A204" s="137" t="s">
        <v>608</v>
      </c>
      <c r="B204" s="144" t="s">
        <v>607</v>
      </c>
      <c r="C204" s="143">
        <f>C207</f>
        <v>1500</v>
      </c>
      <c r="D204" s="134">
        <f>D207</f>
        <v>1500</v>
      </c>
      <c r="E204" s="133">
        <f t="shared" si="5"/>
        <v>100</v>
      </c>
    </row>
    <row r="205" spans="1:5" ht="36.75" customHeight="1" x14ac:dyDescent="0.25">
      <c r="A205" s="137" t="s">
        <v>606</v>
      </c>
      <c r="B205" s="144" t="s">
        <v>605</v>
      </c>
      <c r="C205" s="143">
        <f>C206</f>
        <v>537.55565000000001</v>
      </c>
      <c r="D205" s="134">
        <f>D206</f>
        <v>537.55565000000001</v>
      </c>
      <c r="E205" s="133">
        <f t="shared" si="5"/>
        <v>100</v>
      </c>
    </row>
    <row r="206" spans="1:5" ht="47.25" x14ac:dyDescent="0.25">
      <c r="A206" s="137" t="s">
        <v>604</v>
      </c>
      <c r="B206" s="144" t="s">
        <v>603</v>
      </c>
      <c r="C206" s="143">
        <v>537.55565000000001</v>
      </c>
      <c r="D206" s="142">
        <v>537.55565000000001</v>
      </c>
      <c r="E206" s="133">
        <f t="shared" si="5"/>
        <v>100</v>
      </c>
    </row>
    <row r="207" spans="1:5" s="138" customFormat="1" ht="63" x14ac:dyDescent="0.25">
      <c r="A207" s="141" t="s">
        <v>602</v>
      </c>
      <c r="B207" s="136" t="s">
        <v>601</v>
      </c>
      <c r="C207" s="140">
        <v>1500</v>
      </c>
      <c r="D207" s="139">
        <v>1500</v>
      </c>
      <c r="E207" s="133">
        <f t="shared" si="5"/>
        <v>100</v>
      </c>
    </row>
    <row r="208" spans="1:5" ht="52.5" customHeight="1" x14ac:dyDescent="0.25">
      <c r="A208" s="137" t="s">
        <v>600</v>
      </c>
      <c r="B208" s="136" t="s">
        <v>599</v>
      </c>
      <c r="C208" s="135">
        <f>C209</f>
        <v>-1924.90041</v>
      </c>
      <c r="D208" s="134">
        <f>D209</f>
        <v>-1924.90041</v>
      </c>
      <c r="E208" s="133">
        <f t="shared" si="5"/>
        <v>100</v>
      </c>
    </row>
    <row r="209" spans="1:5" ht="63" x14ac:dyDescent="0.25">
      <c r="A209" s="137" t="s">
        <v>598</v>
      </c>
      <c r="B209" s="136" t="s">
        <v>597</v>
      </c>
      <c r="C209" s="135">
        <v>-1924.90041</v>
      </c>
      <c r="D209" s="134">
        <v>-1924.90041</v>
      </c>
      <c r="E209" s="133">
        <f t="shared" si="5"/>
        <v>100</v>
      </c>
    </row>
  </sheetData>
  <mergeCells count="2">
    <mergeCell ref="A4:E4"/>
    <mergeCell ref="C2:E2"/>
  </mergeCells>
  <pageMargins left="0.70866141732283472" right="0" top="0" bottom="0" header="0.31496062992125984" footer="0.31496062992125984"/>
  <pageSetup paperSize="9" scale="53" orientation="portrait" r:id="rId1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49.42578125" style="13" customWidth="1"/>
    <col min="3" max="3" width="9.140625" style="12"/>
    <col min="4" max="4" width="12.7109375" style="11" customWidth="1"/>
    <col min="5" max="5" width="17.42578125" style="11" customWidth="1"/>
    <col min="6" max="6" width="17.85546875" customWidth="1"/>
  </cols>
  <sheetData>
    <row r="1" spans="1:6" s="13" customFormat="1" ht="12.75" customHeight="1" x14ac:dyDescent="0.25">
      <c r="A1" s="31"/>
      <c r="C1" s="32" t="s">
        <v>249</v>
      </c>
      <c r="D1" s="214" t="s">
        <v>541</v>
      </c>
      <c r="E1" s="215"/>
      <c r="F1" s="215"/>
    </row>
    <row r="2" spans="1:6" s="13" customFormat="1" ht="33.75" customHeight="1" x14ac:dyDescent="0.2">
      <c r="A2" s="31"/>
      <c r="D2" s="211" t="s">
        <v>983</v>
      </c>
      <c r="E2" s="212"/>
      <c r="F2" s="213"/>
    </row>
    <row r="3" spans="1:6" s="13" customFormat="1" ht="9" customHeight="1" x14ac:dyDescent="0.2">
      <c r="A3" s="31"/>
      <c r="B3" s="30"/>
      <c r="C3" s="30"/>
      <c r="D3" s="29"/>
      <c r="E3" s="29"/>
    </row>
    <row r="4" spans="1:6" s="13" customFormat="1" ht="12.75" x14ac:dyDescent="0.2">
      <c r="A4" s="220" t="s">
        <v>542</v>
      </c>
      <c r="B4" s="221"/>
      <c r="C4" s="221"/>
      <c r="D4" s="218"/>
      <c r="E4" s="218"/>
    </row>
    <row r="5" spans="1:6" s="13" customFormat="1" ht="29.25" customHeight="1" x14ac:dyDescent="0.25">
      <c r="A5" s="216" t="s">
        <v>543</v>
      </c>
      <c r="B5" s="217"/>
      <c r="C5" s="217"/>
      <c r="D5" s="218"/>
      <c r="E5" s="218"/>
      <c r="F5" s="219"/>
    </row>
    <row r="6" spans="1:6" s="13" customFormat="1" ht="18" customHeight="1" x14ac:dyDescent="0.2">
      <c r="A6" s="64"/>
      <c r="B6" s="65"/>
      <c r="C6" s="65"/>
      <c r="D6" s="63"/>
      <c r="F6" s="28" t="s">
        <v>203</v>
      </c>
    </row>
    <row r="7" spans="1:6" s="14" customFormat="1" ht="33" customHeight="1" x14ac:dyDescent="0.2">
      <c r="A7" s="27" t="s">
        <v>248</v>
      </c>
      <c r="B7" s="222" t="s">
        <v>247</v>
      </c>
      <c r="C7" s="223"/>
      <c r="D7" s="10" t="s">
        <v>539</v>
      </c>
      <c r="E7" s="10" t="s">
        <v>538</v>
      </c>
      <c r="F7" s="10" t="s">
        <v>537</v>
      </c>
    </row>
    <row r="8" spans="1:6" s="14" customFormat="1" ht="18.75" customHeight="1" x14ac:dyDescent="0.2">
      <c r="A8" s="20" t="s">
        <v>199</v>
      </c>
      <c r="B8" s="207" t="s">
        <v>246</v>
      </c>
      <c r="C8" s="224"/>
      <c r="D8" s="18">
        <f>SUM(D9:D16)</f>
        <v>29378.13132</v>
      </c>
      <c r="E8" s="18">
        <f>SUM(E9:E16)</f>
        <v>29187.695309999999</v>
      </c>
      <c r="F8" s="18">
        <f>E8/D8*100</f>
        <v>99.351776299432785</v>
      </c>
    </row>
    <row r="9" spans="1:6" s="14" customFormat="1" ht="25.5" x14ac:dyDescent="0.2">
      <c r="A9" s="24" t="s">
        <v>245</v>
      </c>
      <c r="B9" s="23" t="s">
        <v>15</v>
      </c>
      <c r="C9" s="22" t="s">
        <v>27</v>
      </c>
      <c r="D9" s="21">
        <f>'прил 4 вед стр 2018г'!G591</f>
        <v>1612.0890899999999</v>
      </c>
      <c r="E9" s="21">
        <f>'прил 4 вед стр 2018г'!H591</f>
        <v>1612.0684099999999</v>
      </c>
      <c r="F9" s="18">
        <f t="shared" ref="F9:F66" si="0">E9/D9*100</f>
        <v>99.99871719248469</v>
      </c>
    </row>
    <row r="10" spans="1:6" s="14" customFormat="1" ht="25.5" x14ac:dyDescent="0.2">
      <c r="A10" s="24" t="s">
        <v>244</v>
      </c>
      <c r="B10" s="23" t="s">
        <v>15</v>
      </c>
      <c r="C10" s="22" t="s">
        <v>6</v>
      </c>
      <c r="D10" s="21">
        <f>'прил 4 вед стр 2018г'!G592</f>
        <v>2139.45586</v>
      </c>
      <c r="E10" s="21">
        <f>'прил 4 вед стр 2018г'!H592</f>
        <v>2138.4780700000001</v>
      </c>
      <c r="F10" s="18">
        <f t="shared" si="0"/>
        <v>99.954297257621377</v>
      </c>
    </row>
    <row r="11" spans="1:6" s="14" customFormat="1" ht="12.75" x14ac:dyDescent="0.2">
      <c r="A11" s="24" t="s">
        <v>243</v>
      </c>
      <c r="B11" s="23" t="s">
        <v>15</v>
      </c>
      <c r="C11" s="22" t="s">
        <v>59</v>
      </c>
      <c r="D11" s="21">
        <f>'прил 4 вед стр 2018г'!G593</f>
        <v>17278.955099999999</v>
      </c>
      <c r="E11" s="21">
        <f>'прил 4 вед стр 2018г'!H593</f>
        <v>17229.63407</v>
      </c>
      <c r="F11" s="18">
        <f t="shared" si="0"/>
        <v>99.714560112491995</v>
      </c>
    </row>
    <row r="12" spans="1:6" s="14" customFormat="1" ht="12.75" x14ac:dyDescent="0.2">
      <c r="A12" s="24" t="s">
        <v>242</v>
      </c>
      <c r="B12" s="23" t="s">
        <v>15</v>
      </c>
      <c r="C12" s="22" t="s">
        <v>36</v>
      </c>
      <c r="D12" s="21">
        <f>'прил 4 вед стр 2018г'!G594</f>
        <v>113.2</v>
      </c>
      <c r="E12" s="21">
        <f>'прил 4 вед стр 2018г'!H594</f>
        <v>13.4</v>
      </c>
      <c r="F12" s="18">
        <f t="shared" si="0"/>
        <v>11.837455830388691</v>
      </c>
    </row>
    <row r="13" spans="1:6" s="14" customFormat="1" ht="26.25" customHeight="1" x14ac:dyDescent="0.2">
      <c r="A13" s="24" t="s">
        <v>241</v>
      </c>
      <c r="B13" s="23" t="s">
        <v>15</v>
      </c>
      <c r="C13" s="22" t="s">
        <v>53</v>
      </c>
      <c r="D13" s="21">
        <f>'прил 4 вед стр 2018г'!G595</f>
        <v>6357.4821000000002</v>
      </c>
      <c r="E13" s="21">
        <f>'прил 4 вед стр 2018г'!H595</f>
        <v>6334.7167499999996</v>
      </c>
      <c r="F13" s="18">
        <f t="shared" si="0"/>
        <v>99.641912479785034</v>
      </c>
    </row>
    <row r="14" spans="1:6" s="14" customFormat="1" ht="12" customHeight="1" x14ac:dyDescent="0.2">
      <c r="A14" s="24" t="s">
        <v>170</v>
      </c>
      <c r="B14" s="23" t="s">
        <v>15</v>
      </c>
      <c r="C14" s="22" t="s">
        <v>81</v>
      </c>
      <c r="D14" s="21">
        <f>'прил 4 вед стр 2018г'!G596</f>
        <v>878.54917</v>
      </c>
      <c r="E14" s="21">
        <f>'прил 4 вед стр 2018г'!H596</f>
        <v>878.28216999999995</v>
      </c>
      <c r="F14" s="18">
        <f t="shared" si="0"/>
        <v>99.969608986142461</v>
      </c>
    </row>
    <row r="15" spans="1:6" s="14" customFormat="1" ht="12.75" x14ac:dyDescent="0.2">
      <c r="A15" s="24" t="s">
        <v>167</v>
      </c>
      <c r="B15" s="23" t="s">
        <v>15</v>
      </c>
      <c r="C15" s="22" t="s">
        <v>37</v>
      </c>
      <c r="D15" s="21">
        <f>'прил 4 вед стр 2018г'!G597</f>
        <v>0</v>
      </c>
      <c r="E15" s="21">
        <f>'прил 4 вед стр 2018г'!H597</f>
        <v>0</v>
      </c>
      <c r="F15" s="18" t="e">
        <f t="shared" si="0"/>
        <v>#DIV/0!</v>
      </c>
    </row>
    <row r="16" spans="1:6" s="14" customFormat="1" ht="12.75" x14ac:dyDescent="0.2">
      <c r="A16" s="7" t="s">
        <v>166</v>
      </c>
      <c r="B16" s="23" t="s">
        <v>15</v>
      </c>
      <c r="C16" s="22" t="s">
        <v>24</v>
      </c>
      <c r="D16" s="21">
        <f>'прил 4 вед стр 2018г'!G598</f>
        <v>998.40000000000009</v>
      </c>
      <c r="E16" s="21">
        <f>'прил 4 вед стр 2018г'!H598</f>
        <v>981.11583999999993</v>
      </c>
      <c r="F16" s="18">
        <f t="shared" si="0"/>
        <v>98.268814102564079</v>
      </c>
    </row>
    <row r="17" spans="1:6" s="17" customFormat="1" ht="12.75" x14ac:dyDescent="0.2">
      <c r="A17" s="20" t="s">
        <v>157</v>
      </c>
      <c r="B17" s="207" t="s">
        <v>240</v>
      </c>
      <c r="C17" s="224"/>
      <c r="D17" s="18">
        <f>D18</f>
        <v>888.8</v>
      </c>
      <c r="E17" s="18">
        <f>E18</f>
        <v>888.8</v>
      </c>
      <c r="F17" s="18">
        <f t="shared" si="0"/>
        <v>100</v>
      </c>
    </row>
    <row r="18" spans="1:6" s="14" customFormat="1" ht="16.5" customHeight="1" x14ac:dyDescent="0.2">
      <c r="A18" s="24" t="s">
        <v>239</v>
      </c>
      <c r="B18" s="23" t="s">
        <v>27</v>
      </c>
      <c r="C18" s="22" t="s">
        <v>6</v>
      </c>
      <c r="D18" s="21">
        <f>'прил 4 вед стр 2018г'!G600</f>
        <v>888.8</v>
      </c>
      <c r="E18" s="21">
        <f>'прил 4 вед стр 2018г'!H600</f>
        <v>888.8</v>
      </c>
      <c r="F18" s="18">
        <f t="shared" si="0"/>
        <v>100</v>
      </c>
    </row>
    <row r="19" spans="1:6" s="17" customFormat="1" ht="25.5" x14ac:dyDescent="0.2">
      <c r="A19" s="20" t="s">
        <v>154</v>
      </c>
      <c r="B19" s="207" t="s">
        <v>238</v>
      </c>
      <c r="C19" s="208"/>
      <c r="D19" s="18">
        <f>SUM(D20:D22)</f>
        <v>5896.4094699999996</v>
      </c>
      <c r="E19" s="18">
        <f>SUM(E20:E22)</f>
        <v>4971.4908699999996</v>
      </c>
      <c r="F19" s="18">
        <f t="shared" si="0"/>
        <v>84.313867537425281</v>
      </c>
    </row>
    <row r="20" spans="1:6" s="14" customFormat="1" ht="28.5" customHeight="1" x14ac:dyDescent="0.2">
      <c r="A20" s="24" t="s">
        <v>237</v>
      </c>
      <c r="B20" s="23" t="s">
        <v>6</v>
      </c>
      <c r="C20" s="22" t="s">
        <v>68</v>
      </c>
      <c r="D20" s="21">
        <f>'прил 4 вед стр 2018г'!G604</f>
        <v>5203.4494699999996</v>
      </c>
      <c r="E20" s="21">
        <f>'прил 4 вед стр 2018г'!H604</f>
        <v>4285.0108700000001</v>
      </c>
      <c r="F20" s="18">
        <f t="shared" si="0"/>
        <v>82.349427907483857</v>
      </c>
    </row>
    <row r="21" spans="1:6" s="14" customFormat="1" ht="28.5" customHeight="1" x14ac:dyDescent="0.2">
      <c r="A21" s="5" t="s">
        <v>461</v>
      </c>
      <c r="B21" s="23" t="s">
        <v>6</v>
      </c>
      <c r="C21" s="22" t="s">
        <v>54</v>
      </c>
      <c r="D21" s="21">
        <f>'прил 4 вед стр 2018г'!G603</f>
        <v>667</v>
      </c>
      <c r="E21" s="21">
        <f>'прил 4 вед стр 2018г'!H603</f>
        <v>667</v>
      </c>
      <c r="F21" s="18">
        <f t="shared" si="0"/>
        <v>100</v>
      </c>
    </row>
    <row r="22" spans="1:6" s="14" customFormat="1" ht="27" customHeight="1" x14ac:dyDescent="0.2">
      <c r="A22" s="24" t="s">
        <v>148</v>
      </c>
      <c r="B22" s="23" t="s">
        <v>6</v>
      </c>
      <c r="C22" s="22" t="s">
        <v>7</v>
      </c>
      <c r="D22" s="21">
        <f>'прил 4 вед стр 2018г'!G605</f>
        <v>25.96</v>
      </c>
      <c r="E22" s="21">
        <f>'прил 4 вед стр 2018г'!H605</f>
        <v>19.48</v>
      </c>
      <c r="F22" s="18">
        <f t="shared" si="0"/>
        <v>75.038520801232664</v>
      </c>
    </row>
    <row r="23" spans="1:6" s="17" customFormat="1" ht="12.75" x14ac:dyDescent="0.2">
      <c r="A23" s="20" t="s">
        <v>143</v>
      </c>
      <c r="B23" s="207" t="s">
        <v>236</v>
      </c>
      <c r="C23" s="208"/>
      <c r="D23" s="18">
        <f>SUM(D24:D27)</f>
        <v>32244.935799999999</v>
      </c>
      <c r="E23" s="18">
        <f>SUM(E24:E27)</f>
        <v>26823.710310000002</v>
      </c>
      <c r="F23" s="18">
        <f t="shared" si="0"/>
        <v>83.187358400632945</v>
      </c>
    </row>
    <row r="24" spans="1:6" s="14" customFormat="1" ht="12.75" x14ac:dyDescent="0.2">
      <c r="A24" s="24" t="s">
        <v>142</v>
      </c>
      <c r="B24" s="23" t="s">
        <v>59</v>
      </c>
      <c r="C24" s="22" t="s">
        <v>36</v>
      </c>
      <c r="D24" s="21">
        <f>'прил 4 вед стр 2018г'!G608</f>
        <v>767</v>
      </c>
      <c r="E24" s="21">
        <f>'прил 4 вед стр 2018г'!H608</f>
        <v>767</v>
      </c>
      <c r="F24" s="21">
        <f t="shared" si="0"/>
        <v>100</v>
      </c>
    </row>
    <row r="25" spans="1:6" s="14" customFormat="1" ht="12.75" x14ac:dyDescent="0.2">
      <c r="A25" s="24" t="s">
        <v>235</v>
      </c>
      <c r="B25" s="23" t="s">
        <v>59</v>
      </c>
      <c r="C25" s="22" t="s">
        <v>68</v>
      </c>
      <c r="D25" s="21">
        <f>'прил 4 вед стр 2018г'!G610</f>
        <v>15289.57402</v>
      </c>
      <c r="E25" s="21">
        <f>'прил 4 вед стр 2018г'!H610</f>
        <v>9927.0997499999994</v>
      </c>
      <c r="F25" s="21">
        <f t="shared" ref="F25" si="1">E25/D25*100</f>
        <v>64.927248705650982</v>
      </c>
    </row>
    <row r="26" spans="1:6" s="14" customFormat="1" ht="12.75" x14ac:dyDescent="0.2">
      <c r="A26" s="5" t="s">
        <v>497</v>
      </c>
      <c r="B26" s="23" t="s">
        <v>59</v>
      </c>
      <c r="C26" s="22" t="s">
        <v>54</v>
      </c>
      <c r="D26" s="21">
        <f>'прил 4 вед стр 2018г'!G609</f>
        <v>380</v>
      </c>
      <c r="E26" s="21">
        <f>'прил 4 вед стр 2018г'!H609</f>
        <v>380</v>
      </c>
      <c r="F26" s="21">
        <f t="shared" si="0"/>
        <v>100</v>
      </c>
    </row>
    <row r="27" spans="1:6" s="14" customFormat="1" ht="16.5" customHeight="1" x14ac:dyDescent="0.2">
      <c r="A27" s="24" t="s">
        <v>234</v>
      </c>
      <c r="B27" s="23" t="s">
        <v>59</v>
      </c>
      <c r="C27" s="22" t="s">
        <v>28</v>
      </c>
      <c r="D27" s="21">
        <f>'прил 4 вед стр 2018г'!G611</f>
        <v>15808.361779999999</v>
      </c>
      <c r="E27" s="21">
        <f>'прил 4 вед стр 2018г'!H611</f>
        <v>15749.610560000001</v>
      </c>
      <c r="F27" s="21">
        <f t="shared" si="0"/>
        <v>99.628353520639138</v>
      </c>
    </row>
    <row r="28" spans="1:6" s="17" customFormat="1" ht="12.75" x14ac:dyDescent="0.2">
      <c r="A28" s="20" t="s">
        <v>233</v>
      </c>
      <c r="B28" s="209" t="s">
        <v>232</v>
      </c>
      <c r="C28" s="210"/>
      <c r="D28" s="18">
        <f>SUM(D29:D31)</f>
        <v>29287.436070000003</v>
      </c>
      <c r="E28" s="18">
        <f>SUM(E29:E31)</f>
        <v>28967.594830000002</v>
      </c>
      <c r="F28" s="18">
        <f t="shared" si="0"/>
        <v>98.907923386548589</v>
      </c>
    </row>
    <row r="29" spans="1:6" s="14" customFormat="1" ht="12.75" x14ac:dyDescent="0.2">
      <c r="A29" s="24" t="s">
        <v>131</v>
      </c>
      <c r="B29" s="23" t="s">
        <v>36</v>
      </c>
      <c r="C29" s="22" t="s">
        <v>15</v>
      </c>
      <c r="D29" s="21">
        <f>'прил 4 вед стр 2018г'!G613</f>
        <v>10.79532</v>
      </c>
      <c r="E29" s="21">
        <f>'прил 4 вед стр 2018г'!H613</f>
        <v>10.79532</v>
      </c>
      <c r="F29" s="21">
        <f t="shared" si="0"/>
        <v>100</v>
      </c>
    </row>
    <row r="30" spans="1:6" s="14" customFormat="1" ht="12.75" x14ac:dyDescent="0.2">
      <c r="A30" s="24" t="s">
        <v>130</v>
      </c>
      <c r="B30" s="23" t="s">
        <v>36</v>
      </c>
      <c r="C30" s="22" t="s">
        <v>27</v>
      </c>
      <c r="D30" s="21">
        <f>'прил 4 вед стр 2018г'!G614</f>
        <v>27831.406750000002</v>
      </c>
      <c r="E30" s="21">
        <f>'прил 4 вед стр 2018г'!H614</f>
        <v>27515.770510000002</v>
      </c>
      <c r="F30" s="21">
        <f t="shared" si="0"/>
        <v>98.865899080002478</v>
      </c>
    </row>
    <row r="31" spans="1:6" s="14" customFormat="1" ht="12.75" x14ac:dyDescent="0.2">
      <c r="A31" s="24" t="s">
        <v>231</v>
      </c>
      <c r="B31" s="23" t="s">
        <v>36</v>
      </c>
      <c r="C31" s="22" t="s">
        <v>6</v>
      </c>
      <c r="D31" s="21">
        <f>'прил 4 вед стр 2018г'!G615</f>
        <v>1445.2339999999999</v>
      </c>
      <c r="E31" s="21">
        <f>'прил 4 вед стр 2018г'!H615</f>
        <v>1441.029</v>
      </c>
      <c r="F31" s="21">
        <f t="shared" si="0"/>
        <v>99.709043656598169</v>
      </c>
    </row>
    <row r="32" spans="1:6" s="17" customFormat="1" ht="12.75" hidden="1" x14ac:dyDescent="0.2">
      <c r="A32" s="20" t="s">
        <v>230</v>
      </c>
      <c r="B32" s="209" t="s">
        <v>229</v>
      </c>
      <c r="C32" s="210"/>
      <c r="D32" s="18">
        <f>'прил 4 вед стр 2018г'!G616</f>
        <v>0</v>
      </c>
      <c r="E32" s="18">
        <f>'прил 4 вед стр 2018г'!H616</f>
        <v>0</v>
      </c>
      <c r="F32" s="18" t="e">
        <f t="shared" si="0"/>
        <v>#DIV/0!</v>
      </c>
    </row>
    <row r="33" spans="1:6" s="14" customFormat="1" ht="25.5" hidden="1" x14ac:dyDescent="0.2">
      <c r="A33" s="26" t="s">
        <v>228</v>
      </c>
      <c r="B33" s="23" t="s">
        <v>53</v>
      </c>
      <c r="C33" s="22" t="s">
        <v>36</v>
      </c>
      <c r="D33" s="21">
        <f>'прил 4 вед стр 2018г'!G617</f>
        <v>0</v>
      </c>
      <c r="E33" s="21">
        <f>'прил 4 вед стр 2018г'!H617</f>
        <v>0</v>
      </c>
      <c r="F33" s="21" t="e">
        <f t="shared" si="0"/>
        <v>#DIV/0!</v>
      </c>
    </row>
    <row r="34" spans="1:6" s="17" customFormat="1" ht="12.75" x14ac:dyDescent="0.2">
      <c r="A34" s="20" t="s">
        <v>227</v>
      </c>
      <c r="B34" s="209" t="s">
        <v>226</v>
      </c>
      <c r="C34" s="210"/>
      <c r="D34" s="18">
        <f>SUM(D35:D40)</f>
        <v>410890.69331</v>
      </c>
      <c r="E34" s="18">
        <f>SUM(E35:E40)</f>
        <v>405813.78843999997</v>
      </c>
      <c r="F34" s="18">
        <f t="shared" si="0"/>
        <v>98.764414733003036</v>
      </c>
    </row>
    <row r="35" spans="1:6" s="14" customFormat="1" ht="12.75" x14ac:dyDescent="0.2">
      <c r="A35" s="24" t="s">
        <v>119</v>
      </c>
      <c r="B35" s="23" t="s">
        <v>81</v>
      </c>
      <c r="C35" s="22" t="s">
        <v>15</v>
      </c>
      <c r="D35" s="21">
        <f>'прил 4 вед стр 2018г'!G619</f>
        <v>79352.206770000004</v>
      </c>
      <c r="E35" s="21">
        <f>'прил 4 вед стр 2018г'!H619</f>
        <v>79264.328770000007</v>
      </c>
      <c r="F35" s="21">
        <f t="shared" si="0"/>
        <v>99.889255757871098</v>
      </c>
    </row>
    <row r="36" spans="1:6" s="14" customFormat="1" ht="12.75" x14ac:dyDescent="0.2">
      <c r="A36" s="24" t="s">
        <v>112</v>
      </c>
      <c r="B36" s="23" t="s">
        <v>81</v>
      </c>
      <c r="C36" s="22" t="s">
        <v>27</v>
      </c>
      <c r="D36" s="21">
        <f>'прил 4 вед стр 2018г'!G620</f>
        <v>283219.85339</v>
      </c>
      <c r="E36" s="21">
        <f>'прил 4 вед стр 2018г'!H620</f>
        <v>278233.83867999999</v>
      </c>
      <c r="F36" s="21">
        <f t="shared" si="0"/>
        <v>98.239525001400878</v>
      </c>
    </row>
    <row r="37" spans="1:6" s="14" customFormat="1" ht="16.5" customHeight="1" x14ac:dyDescent="0.2">
      <c r="A37" s="5" t="s">
        <v>284</v>
      </c>
      <c r="B37" s="23" t="s">
        <v>81</v>
      </c>
      <c r="C37" s="22" t="s">
        <v>6</v>
      </c>
      <c r="D37" s="21">
        <f>'прил 4 вед стр 2018г'!G621</f>
        <v>30730.651010000001</v>
      </c>
      <c r="E37" s="21">
        <f>'прил 4 вед стр 2018г'!H621</f>
        <v>30730.651010000001</v>
      </c>
      <c r="F37" s="21">
        <f t="shared" si="0"/>
        <v>100</v>
      </c>
    </row>
    <row r="38" spans="1:6" s="14" customFormat="1" ht="25.5" x14ac:dyDescent="0.2">
      <c r="A38" s="24" t="s">
        <v>225</v>
      </c>
      <c r="B38" s="23" t="s">
        <v>81</v>
      </c>
      <c r="C38" s="22" t="s">
        <v>36</v>
      </c>
      <c r="D38" s="21">
        <f>'прил 4 вед стр 2018г'!G622</f>
        <v>75</v>
      </c>
      <c r="E38" s="21">
        <f>'прил 4 вед стр 2018г'!H622</f>
        <v>75</v>
      </c>
      <c r="F38" s="21">
        <f t="shared" si="0"/>
        <v>100</v>
      </c>
    </row>
    <row r="39" spans="1:6" s="14" customFormat="1" ht="18" customHeight="1" x14ac:dyDescent="0.2">
      <c r="A39" s="24" t="s">
        <v>93</v>
      </c>
      <c r="B39" s="23" t="s">
        <v>81</v>
      </c>
      <c r="C39" s="22" t="s">
        <v>81</v>
      </c>
      <c r="D39" s="21">
        <f>'прил 4 вед стр 2018г'!G623</f>
        <v>1757.5216999999998</v>
      </c>
      <c r="E39" s="21">
        <f>'прил 4 вед стр 2018г'!H623</f>
        <v>1757.5216999999998</v>
      </c>
      <c r="F39" s="21">
        <f t="shared" si="0"/>
        <v>100</v>
      </c>
    </row>
    <row r="40" spans="1:6" s="14" customFormat="1" ht="16.5" customHeight="1" x14ac:dyDescent="0.2">
      <c r="A40" s="24" t="s">
        <v>92</v>
      </c>
      <c r="B40" s="23" t="s">
        <v>81</v>
      </c>
      <c r="C40" s="22" t="s">
        <v>68</v>
      </c>
      <c r="D40" s="21">
        <f>'прил 4 вед стр 2018г'!G624</f>
        <v>15755.460439999999</v>
      </c>
      <c r="E40" s="21">
        <f>'прил 4 вед стр 2018г'!H624</f>
        <v>15752.448280000001</v>
      </c>
      <c r="F40" s="21">
        <f t="shared" si="0"/>
        <v>99.980881802778981</v>
      </c>
    </row>
    <row r="41" spans="1:6" s="17" customFormat="1" ht="12.75" x14ac:dyDescent="0.2">
      <c r="A41" s="20" t="s">
        <v>224</v>
      </c>
      <c r="B41" s="209" t="s">
        <v>223</v>
      </c>
      <c r="C41" s="210"/>
      <c r="D41" s="18">
        <f>SUM(D42:D43)</f>
        <v>50835.301370000001</v>
      </c>
      <c r="E41" s="18">
        <f>SUM(E42:E43)</f>
        <v>50835.301370000001</v>
      </c>
      <c r="F41" s="18">
        <f t="shared" si="0"/>
        <v>100</v>
      </c>
    </row>
    <row r="42" spans="1:6" s="14" customFormat="1" ht="12.75" x14ac:dyDescent="0.2">
      <c r="A42" s="24" t="s">
        <v>78</v>
      </c>
      <c r="B42" s="23" t="s">
        <v>73</v>
      </c>
      <c r="C42" s="22" t="s">
        <v>15</v>
      </c>
      <c r="D42" s="21">
        <f>'прил 4 вед стр 2018г'!G626</f>
        <v>47491.564230000004</v>
      </c>
      <c r="E42" s="21">
        <f>'прил 4 вед стр 2018г'!H626</f>
        <v>47491.564230000004</v>
      </c>
      <c r="F42" s="21">
        <f t="shared" si="0"/>
        <v>100</v>
      </c>
    </row>
    <row r="43" spans="1:6" s="14" customFormat="1" ht="12.75" customHeight="1" x14ac:dyDescent="0.2">
      <c r="A43" s="24" t="s">
        <v>222</v>
      </c>
      <c r="B43" s="23" t="s">
        <v>73</v>
      </c>
      <c r="C43" s="22" t="s">
        <v>59</v>
      </c>
      <c r="D43" s="21">
        <f>'прил 4 вед стр 2018г'!G627</f>
        <v>3343.7371399999997</v>
      </c>
      <c r="E43" s="21">
        <f>'прил 4 вед стр 2018г'!H627</f>
        <v>3343.7371399999997</v>
      </c>
      <c r="F43" s="21">
        <f t="shared" si="0"/>
        <v>100</v>
      </c>
    </row>
    <row r="44" spans="1:6" s="17" customFormat="1" ht="12.75" hidden="1" x14ac:dyDescent="0.2">
      <c r="A44" s="20" t="s">
        <v>221</v>
      </c>
      <c r="B44" s="209" t="s">
        <v>220</v>
      </c>
      <c r="C44" s="210"/>
      <c r="D44" s="18">
        <f>D48+D45</f>
        <v>0</v>
      </c>
      <c r="E44" s="18">
        <f>E48+E45</f>
        <v>0</v>
      </c>
      <c r="F44" s="18" t="e">
        <f t="shared" si="0"/>
        <v>#DIV/0!</v>
      </c>
    </row>
    <row r="45" spans="1:6" s="14" customFormat="1" ht="12.75" hidden="1" x14ac:dyDescent="0.2">
      <c r="A45" s="24" t="s">
        <v>72</v>
      </c>
      <c r="B45" s="23" t="s">
        <v>68</v>
      </c>
      <c r="C45" s="22" t="s">
        <v>15</v>
      </c>
      <c r="D45" s="21">
        <f>'прил 4 вед стр 2018г'!G629</f>
        <v>0</v>
      </c>
      <c r="E45" s="21"/>
      <c r="F45" s="18" t="e">
        <f t="shared" si="0"/>
        <v>#DIV/0!</v>
      </c>
    </row>
    <row r="46" spans="1:6" s="14" customFormat="1" ht="12.75" hidden="1" x14ac:dyDescent="0.2">
      <c r="A46" s="24" t="s">
        <v>219</v>
      </c>
      <c r="B46" s="23" t="s">
        <v>68</v>
      </c>
      <c r="C46" s="22" t="s">
        <v>27</v>
      </c>
      <c r="D46" s="21"/>
      <c r="E46" s="21"/>
      <c r="F46" s="18" t="e">
        <f t="shared" si="0"/>
        <v>#DIV/0!</v>
      </c>
    </row>
    <row r="47" spans="1:6" s="14" customFormat="1" ht="12.75" hidden="1" x14ac:dyDescent="0.2">
      <c r="A47" s="24" t="s">
        <v>218</v>
      </c>
      <c r="B47" s="23" t="s">
        <v>68</v>
      </c>
      <c r="C47" s="22" t="s">
        <v>59</v>
      </c>
      <c r="D47" s="21"/>
      <c r="E47" s="21"/>
      <c r="F47" s="18" t="e">
        <f t="shared" si="0"/>
        <v>#DIV/0!</v>
      </c>
    </row>
    <row r="48" spans="1:6" s="14" customFormat="1" ht="18" hidden="1" customHeight="1" x14ac:dyDescent="0.2">
      <c r="A48" s="24" t="s">
        <v>69</v>
      </c>
      <c r="B48" s="23" t="s">
        <v>68</v>
      </c>
      <c r="C48" s="22" t="s">
        <v>68</v>
      </c>
      <c r="D48" s="21">
        <f>'прил 4 вед стр 2018г'!G632</f>
        <v>0</v>
      </c>
      <c r="E48" s="21">
        <f>'прил 4 вед стр 2018г'!H632</f>
        <v>0</v>
      </c>
      <c r="F48" s="21" t="e">
        <f t="shared" si="0"/>
        <v>#DIV/0!</v>
      </c>
    </row>
    <row r="49" spans="1:6" s="17" customFormat="1" ht="12.75" x14ac:dyDescent="0.2">
      <c r="A49" s="20" t="s">
        <v>67</v>
      </c>
      <c r="B49" s="209" t="s">
        <v>217</v>
      </c>
      <c r="C49" s="210"/>
      <c r="D49" s="18">
        <f>SUM(D50:D54)</f>
        <v>8428.4257500000003</v>
      </c>
      <c r="E49" s="18">
        <f>SUM(E50:E54)</f>
        <v>8428.4257500000003</v>
      </c>
      <c r="F49" s="18">
        <f t="shared" si="0"/>
        <v>100</v>
      </c>
    </row>
    <row r="50" spans="1:6" s="14" customFormat="1" ht="12.75" x14ac:dyDescent="0.2">
      <c r="A50" s="24" t="s">
        <v>66</v>
      </c>
      <c r="B50" s="23" t="s">
        <v>54</v>
      </c>
      <c r="C50" s="22" t="s">
        <v>15</v>
      </c>
      <c r="D50" s="21">
        <f>'прил 4 вед стр 2018г'!G634</f>
        <v>675.72936000000004</v>
      </c>
      <c r="E50" s="21">
        <f>'прил 4 вед стр 2018г'!H634</f>
        <v>675.72936000000004</v>
      </c>
      <c r="F50" s="21">
        <f t="shared" si="0"/>
        <v>100</v>
      </c>
    </row>
    <row r="51" spans="1:6" s="14" customFormat="1" ht="12.75" hidden="1" x14ac:dyDescent="0.2">
      <c r="A51" s="24" t="s">
        <v>216</v>
      </c>
      <c r="B51" s="23" t="s">
        <v>54</v>
      </c>
      <c r="C51" s="22" t="s">
        <v>27</v>
      </c>
      <c r="D51" s="21">
        <f>'прил 4 вед стр 2018г'!G635</f>
        <v>0</v>
      </c>
      <c r="E51" s="21">
        <f>'прил 4 вед стр 2018г'!H635</f>
        <v>0</v>
      </c>
      <c r="F51" s="21" t="e">
        <f t="shared" si="0"/>
        <v>#DIV/0!</v>
      </c>
    </row>
    <row r="52" spans="1:6" s="14" customFormat="1" ht="11.25" customHeight="1" x14ac:dyDescent="0.2">
      <c r="A52" s="24" t="s">
        <v>215</v>
      </c>
      <c r="B52" s="23" t="s">
        <v>54</v>
      </c>
      <c r="C52" s="22" t="s">
        <v>6</v>
      </c>
      <c r="D52" s="21">
        <f>'прил 4 вед стр 2018г'!G636</f>
        <v>5002.25713</v>
      </c>
      <c r="E52" s="21">
        <f>'прил 4 вед стр 2018г'!H636</f>
        <v>5002.25713</v>
      </c>
      <c r="F52" s="21">
        <f t="shared" si="0"/>
        <v>100</v>
      </c>
    </row>
    <row r="53" spans="1:6" s="14" customFormat="1" ht="12.75" x14ac:dyDescent="0.2">
      <c r="A53" s="24" t="s">
        <v>214</v>
      </c>
      <c r="B53" s="23" t="s">
        <v>54</v>
      </c>
      <c r="C53" s="22" t="s">
        <v>59</v>
      </c>
      <c r="D53" s="21">
        <f>'прил 4 вед стр 2018г'!G637</f>
        <v>2569.1760000000004</v>
      </c>
      <c r="E53" s="21">
        <f>'прил 4 вед стр 2018г'!H637</f>
        <v>2569.1760000000004</v>
      </c>
      <c r="F53" s="21">
        <f t="shared" si="0"/>
        <v>100</v>
      </c>
    </row>
    <row r="54" spans="1:6" s="14" customFormat="1" ht="15" customHeight="1" x14ac:dyDescent="0.2">
      <c r="A54" s="24" t="s">
        <v>58</v>
      </c>
      <c r="B54" s="23" t="s">
        <v>54</v>
      </c>
      <c r="C54" s="22" t="s">
        <v>53</v>
      </c>
      <c r="D54" s="21">
        <f>'прил 4 вед стр 2018г'!G638</f>
        <v>181.26326</v>
      </c>
      <c r="E54" s="21">
        <f>'прил 4 вед стр 2018г'!H638</f>
        <v>181.26326</v>
      </c>
      <c r="F54" s="21">
        <f t="shared" si="0"/>
        <v>100</v>
      </c>
    </row>
    <row r="55" spans="1:6" s="17" customFormat="1" ht="12.75" x14ac:dyDescent="0.2">
      <c r="A55" s="20" t="s">
        <v>50</v>
      </c>
      <c r="B55" s="209" t="s">
        <v>213</v>
      </c>
      <c r="C55" s="210"/>
      <c r="D55" s="18">
        <f>D56+D57</f>
        <v>1910.6</v>
      </c>
      <c r="E55" s="18">
        <f>E56+E57</f>
        <v>1910.6</v>
      </c>
      <c r="F55" s="18">
        <f t="shared" si="0"/>
        <v>100</v>
      </c>
    </row>
    <row r="56" spans="1:6" s="14" customFormat="1" ht="12.75" x14ac:dyDescent="0.2">
      <c r="A56" s="24" t="s">
        <v>212</v>
      </c>
      <c r="B56" s="23" t="s">
        <v>37</v>
      </c>
      <c r="C56" s="22" t="s">
        <v>15</v>
      </c>
      <c r="D56" s="21">
        <f>'прил 4 вед стр 2018г'!G640</f>
        <v>1910.6</v>
      </c>
      <c r="E56" s="21">
        <f>'прил 4 вед стр 2018г'!H640</f>
        <v>1910.6</v>
      </c>
      <c r="F56" s="21">
        <f t="shared" si="0"/>
        <v>100</v>
      </c>
    </row>
    <row r="57" spans="1:6" s="14" customFormat="1" ht="12" hidden="1" customHeight="1" x14ac:dyDescent="0.2">
      <c r="A57" s="24" t="s">
        <v>42</v>
      </c>
      <c r="B57" s="25" t="s">
        <v>37</v>
      </c>
      <c r="C57" s="23" t="s">
        <v>36</v>
      </c>
      <c r="D57" s="21">
        <f>'прил 4 вед стр 2018г'!G641</f>
        <v>0</v>
      </c>
      <c r="E57" s="21">
        <f>'прил 4 вед стр 2018г'!H641</f>
        <v>0</v>
      </c>
      <c r="F57" s="21" t="e">
        <f t="shared" si="0"/>
        <v>#DIV/0!</v>
      </c>
    </row>
    <row r="58" spans="1:6" s="17" customFormat="1" ht="15.75" customHeight="1" x14ac:dyDescent="0.2">
      <c r="A58" s="20" t="s">
        <v>33</v>
      </c>
      <c r="B58" s="209" t="s">
        <v>211</v>
      </c>
      <c r="C58" s="210"/>
      <c r="D58" s="18">
        <f>D59</f>
        <v>1729.92</v>
      </c>
      <c r="E58" s="18">
        <f>E59</f>
        <v>1729.92</v>
      </c>
      <c r="F58" s="18">
        <f t="shared" si="0"/>
        <v>100</v>
      </c>
    </row>
    <row r="59" spans="1:6" s="14" customFormat="1" ht="14.25" customHeight="1" x14ac:dyDescent="0.2">
      <c r="A59" s="24" t="s">
        <v>32</v>
      </c>
      <c r="B59" s="23" t="s">
        <v>28</v>
      </c>
      <c r="C59" s="22" t="s">
        <v>27</v>
      </c>
      <c r="D59" s="21">
        <f>'прил 4 вед стр 2018г'!G643</f>
        <v>1729.92</v>
      </c>
      <c r="E59" s="21">
        <f>'прил 4 вед стр 2018г'!H643</f>
        <v>1729.92</v>
      </c>
      <c r="F59" s="21">
        <f t="shared" si="0"/>
        <v>100</v>
      </c>
    </row>
    <row r="60" spans="1:6" s="17" customFormat="1" ht="16.5" customHeight="1" x14ac:dyDescent="0.2">
      <c r="A60" s="20" t="s">
        <v>210</v>
      </c>
      <c r="B60" s="209" t="s">
        <v>209</v>
      </c>
      <c r="C60" s="210"/>
      <c r="D60" s="18">
        <f>SUM(D61)</f>
        <v>2.0076200000000002</v>
      </c>
      <c r="E60" s="18">
        <f>SUM(E61)</f>
        <v>2.0076200000000002</v>
      </c>
      <c r="F60" s="18">
        <f t="shared" si="0"/>
        <v>100</v>
      </c>
    </row>
    <row r="61" spans="1:6" s="14" customFormat="1" ht="27.75" customHeight="1" x14ac:dyDescent="0.2">
      <c r="A61" s="24" t="s">
        <v>25</v>
      </c>
      <c r="B61" s="23" t="s">
        <v>24</v>
      </c>
      <c r="C61" s="22" t="s">
        <v>15</v>
      </c>
      <c r="D61" s="21">
        <f>'прил 4 вед стр 2018г'!G645</f>
        <v>2.0076200000000002</v>
      </c>
      <c r="E61" s="21">
        <f>'прил 4 вед стр 2018г'!H645</f>
        <v>2.0076200000000002</v>
      </c>
      <c r="F61" s="21">
        <f t="shared" si="0"/>
        <v>100</v>
      </c>
    </row>
    <row r="62" spans="1:6" s="17" customFormat="1" ht="26.25" customHeight="1" x14ac:dyDescent="0.2">
      <c r="A62" s="20" t="s">
        <v>208</v>
      </c>
      <c r="B62" s="209" t="s">
        <v>207</v>
      </c>
      <c r="C62" s="210"/>
      <c r="D62" s="18">
        <f>SUM(D63:D64)</f>
        <v>40742.984970000005</v>
      </c>
      <c r="E62" s="18">
        <f>SUM(E63:E64)</f>
        <v>40742.984970000005</v>
      </c>
      <c r="F62" s="18">
        <f t="shared" si="0"/>
        <v>100</v>
      </c>
    </row>
    <row r="63" spans="1:6" s="14" customFormat="1" ht="30" customHeight="1" x14ac:dyDescent="0.2">
      <c r="A63" s="24" t="s">
        <v>206</v>
      </c>
      <c r="B63" s="23" t="s">
        <v>7</v>
      </c>
      <c r="C63" s="22" t="s">
        <v>15</v>
      </c>
      <c r="D63" s="21">
        <f>'прил 4 вед стр 2018г'!G647</f>
        <v>25970</v>
      </c>
      <c r="E63" s="21">
        <f>'прил 4 вед стр 2018г'!H647</f>
        <v>25970</v>
      </c>
      <c r="F63" s="21">
        <f t="shared" si="0"/>
        <v>100</v>
      </c>
    </row>
    <row r="64" spans="1:6" s="14" customFormat="1" ht="30.75" customHeight="1" x14ac:dyDescent="0.2">
      <c r="A64" s="24" t="s">
        <v>205</v>
      </c>
      <c r="B64" s="23" t="s">
        <v>7</v>
      </c>
      <c r="C64" s="22" t="s">
        <v>6</v>
      </c>
      <c r="D64" s="21">
        <f>'прил 4 вед стр 2018г'!G648</f>
        <v>14772.984970000001</v>
      </c>
      <c r="E64" s="21">
        <f>'прил 4 вед стр 2018г'!H648</f>
        <v>14772.984970000001</v>
      </c>
      <c r="F64" s="21">
        <f t="shared" si="0"/>
        <v>100</v>
      </c>
    </row>
    <row r="65" spans="1:6" s="17" customFormat="1" ht="17.25" hidden="1" customHeight="1" x14ac:dyDescent="0.2">
      <c r="A65" s="57" t="s">
        <v>262</v>
      </c>
      <c r="B65" s="66" t="s">
        <v>263</v>
      </c>
      <c r="C65" s="19" t="s">
        <v>263</v>
      </c>
      <c r="D65" s="72">
        <f>'прил 4 вед стр 2018г'!G649</f>
        <v>0</v>
      </c>
      <c r="E65" s="72">
        <f>'прил 4 вед стр 2018г'!H649</f>
        <v>0</v>
      </c>
      <c r="F65" s="18" t="e">
        <f t="shared" si="0"/>
        <v>#DIV/0!</v>
      </c>
    </row>
    <row r="66" spans="1:6" s="17" customFormat="1" ht="12.75" x14ac:dyDescent="0.2">
      <c r="A66" s="20" t="s">
        <v>204</v>
      </c>
      <c r="B66" s="66"/>
      <c r="C66" s="19"/>
      <c r="D66" s="18">
        <f>D8+D17+D19+D23+D28+D34+D41+D44+D49+D55+D58+D60+D62+D65+D32</f>
        <v>612235.64568000007</v>
      </c>
      <c r="E66" s="18">
        <f>E8+E17+E19+E23+E28+E34+E41+E44+E49+E55+E58+E60+E62+E65+E32</f>
        <v>600302.3194700001</v>
      </c>
      <c r="F66" s="18">
        <f t="shared" si="0"/>
        <v>98.050860596862861</v>
      </c>
    </row>
    <row r="67" spans="1:6" s="14" customFormat="1" ht="12.75" x14ac:dyDescent="0.2">
      <c r="A67" s="13"/>
      <c r="C67" s="16"/>
      <c r="D67" s="76"/>
      <c r="E67" s="2"/>
      <c r="F67" s="76"/>
    </row>
    <row r="68" spans="1:6" s="14" customFormat="1" ht="12.75" x14ac:dyDescent="0.2">
      <c r="A68" s="13"/>
      <c r="C68" s="16"/>
      <c r="D68" s="15"/>
      <c r="E68" s="15"/>
    </row>
    <row r="69" spans="1:6" s="14" customFormat="1" ht="12.75" x14ac:dyDescent="0.2">
      <c r="A69" s="13"/>
      <c r="C69" s="16"/>
      <c r="D69" s="15"/>
      <c r="E69" s="15"/>
    </row>
  </sheetData>
  <mergeCells count="19">
    <mergeCell ref="B34:C34"/>
    <mergeCell ref="A4:E4"/>
    <mergeCell ref="B7:C7"/>
    <mergeCell ref="B8:C8"/>
    <mergeCell ref="B17:C17"/>
    <mergeCell ref="B19:C19"/>
    <mergeCell ref="B62:C62"/>
    <mergeCell ref="B41:C41"/>
    <mergeCell ref="B44:C44"/>
    <mergeCell ref="B49:C49"/>
    <mergeCell ref="B55:C55"/>
    <mergeCell ref="B58:C58"/>
    <mergeCell ref="B60:C60"/>
    <mergeCell ref="B23:C23"/>
    <mergeCell ref="B28:C28"/>
    <mergeCell ref="B32:C32"/>
    <mergeCell ref="D2:F2"/>
    <mergeCell ref="D1:F1"/>
    <mergeCell ref="A5:F5"/>
  </mergeCells>
  <pageMargins left="0.9055118110236221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8"/>
  <sheetViews>
    <sheetView tabSelected="1" view="pageBreakPreview" zoomScaleNormal="100" zoomScaleSheetLayoutView="100" workbookViewId="0">
      <selection activeCell="F4" sqref="F4"/>
    </sheetView>
  </sheetViews>
  <sheetFormatPr defaultRowHeight="12.75" x14ac:dyDescent="0.2"/>
  <cols>
    <col min="1" max="1" width="41.85546875" style="34" customWidth="1"/>
    <col min="2" max="2" width="6.28515625" style="33" customWidth="1"/>
    <col min="3" max="3" width="6.140625" style="33" customWidth="1"/>
    <col min="4" max="4" width="5.5703125" style="33" customWidth="1"/>
    <col min="5" max="5" width="11.140625" style="33" customWidth="1"/>
    <col min="6" max="6" width="6" style="33" customWidth="1"/>
    <col min="7" max="7" width="13.7109375" style="61" customWidth="1"/>
    <col min="8" max="8" width="14.85546875" style="61" customWidth="1"/>
    <col min="9" max="9" width="13.7109375" style="2" customWidth="1"/>
    <col min="10" max="10" width="16.140625" style="33" customWidth="1"/>
    <col min="11" max="11" width="11.5703125" style="33" customWidth="1"/>
    <col min="12" max="16384" width="9.140625" style="33"/>
  </cols>
  <sheetData>
    <row r="1" spans="1:11" ht="15" x14ac:dyDescent="0.25">
      <c r="B1" s="46"/>
      <c r="C1" s="46"/>
      <c r="D1" s="46"/>
      <c r="E1" s="47"/>
      <c r="F1" s="47"/>
      <c r="G1" s="227" t="s">
        <v>540</v>
      </c>
      <c r="H1" s="228"/>
      <c r="I1" s="228"/>
    </row>
    <row r="2" spans="1:11" s="46" customFormat="1" ht="36" customHeight="1" x14ac:dyDescent="0.2">
      <c r="A2" s="55"/>
      <c r="E2" s="54"/>
      <c r="F2" s="56"/>
      <c r="G2" s="231" t="s">
        <v>983</v>
      </c>
      <c r="H2" s="231"/>
      <c r="I2" s="231"/>
    </row>
    <row r="3" spans="1:11" s="46" customFormat="1" ht="30" customHeight="1" x14ac:dyDescent="0.2">
      <c r="A3" s="229" t="s">
        <v>544</v>
      </c>
      <c r="B3" s="230"/>
      <c r="C3" s="230"/>
      <c r="D3" s="230"/>
      <c r="E3" s="230"/>
      <c r="F3" s="230"/>
      <c r="G3" s="230"/>
      <c r="H3" s="230"/>
      <c r="I3" s="230"/>
    </row>
    <row r="4" spans="1:11" ht="12.75" customHeight="1" x14ac:dyDescent="0.2">
      <c r="G4" s="58"/>
      <c r="H4" s="58"/>
      <c r="I4" s="81"/>
    </row>
    <row r="5" spans="1:11" s="41" customFormat="1" ht="12.75" customHeight="1" x14ac:dyDescent="0.2">
      <c r="A5" s="241" t="s">
        <v>261</v>
      </c>
      <c r="B5" s="53" t="s">
        <v>260</v>
      </c>
      <c r="C5" s="48"/>
      <c r="D5" s="48"/>
      <c r="E5" s="48"/>
      <c r="F5" s="49"/>
      <c r="G5" s="232" t="s">
        <v>545</v>
      </c>
      <c r="H5" s="235" t="s">
        <v>546</v>
      </c>
      <c r="I5" s="238" t="s">
        <v>547</v>
      </c>
    </row>
    <row r="6" spans="1:11" s="41" customFormat="1" ht="12.75" customHeight="1" x14ac:dyDescent="0.2">
      <c r="A6" s="242"/>
      <c r="B6" s="50"/>
      <c r="C6" s="51"/>
      <c r="D6" s="51"/>
      <c r="E6" s="51"/>
      <c r="F6" s="52"/>
      <c r="G6" s="233"/>
      <c r="H6" s="236"/>
      <c r="I6" s="239"/>
    </row>
    <row r="7" spans="1:11" s="41" customFormat="1" ht="25.5" customHeight="1" x14ac:dyDescent="0.2">
      <c r="A7" s="243"/>
      <c r="B7" s="45" t="s">
        <v>259</v>
      </c>
      <c r="C7" s="45" t="s">
        <v>202</v>
      </c>
      <c r="D7" s="45" t="s">
        <v>201</v>
      </c>
      <c r="E7" s="45" t="s">
        <v>200</v>
      </c>
      <c r="F7" s="45" t="s">
        <v>258</v>
      </c>
      <c r="G7" s="234"/>
      <c r="H7" s="237"/>
      <c r="I7" s="240"/>
    </row>
    <row r="8" spans="1:11" s="42" customFormat="1" ht="11.2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7</v>
      </c>
      <c r="H8" s="43">
        <v>8</v>
      </c>
      <c r="I8" s="43">
        <v>9</v>
      </c>
    </row>
    <row r="9" spans="1:11" s="41" customFormat="1" ht="44.25" customHeight="1" x14ac:dyDescent="0.2">
      <c r="A9" s="57" t="s">
        <v>289</v>
      </c>
      <c r="B9" s="6" t="s">
        <v>256</v>
      </c>
      <c r="C9" s="4"/>
      <c r="D9" s="4"/>
      <c r="E9" s="4"/>
      <c r="F9" s="4"/>
      <c r="G9" s="59">
        <f>G10+G103</f>
        <v>388636.40357999998</v>
      </c>
      <c r="H9" s="59">
        <f>H10+H103</f>
        <v>388373.97871</v>
      </c>
      <c r="I9" s="59">
        <f>H9/G9*100</f>
        <v>99.932475478986888</v>
      </c>
      <c r="J9" s="41">
        <v>388887.54943000001</v>
      </c>
      <c r="K9" s="74">
        <f t="shared" ref="K9:K36" si="0">I9-J9</f>
        <v>-388787.61695452104</v>
      </c>
    </row>
    <row r="10" spans="1:11" ht="12.75" customHeight="1" x14ac:dyDescent="0.2">
      <c r="A10" s="5" t="s">
        <v>120</v>
      </c>
      <c r="B10" s="4" t="s">
        <v>256</v>
      </c>
      <c r="C10" s="4" t="s">
        <v>81</v>
      </c>
      <c r="D10" s="4"/>
      <c r="E10" s="4"/>
      <c r="F10" s="4"/>
      <c r="G10" s="60">
        <f>G26+G67+G75+G11+G51+G62</f>
        <v>386067.22758000001</v>
      </c>
      <c r="H10" s="60">
        <f>H26+H67+H75+H11+H51+H62</f>
        <v>385804.80271000002</v>
      </c>
      <c r="I10" s="60">
        <f t="shared" ref="I10:I73" si="1">H10/G10*100</f>
        <v>99.932026121034681</v>
      </c>
      <c r="J10" s="74">
        <f>J9-I9</f>
        <v>388787.61695452104</v>
      </c>
      <c r="K10" s="74">
        <f t="shared" si="0"/>
        <v>-388687.68492840003</v>
      </c>
    </row>
    <row r="11" spans="1:11" ht="12.75" customHeight="1" x14ac:dyDescent="0.2">
      <c r="A11" s="5" t="s">
        <v>119</v>
      </c>
      <c r="B11" s="4" t="s">
        <v>256</v>
      </c>
      <c r="C11" s="4" t="s">
        <v>81</v>
      </c>
      <c r="D11" s="4" t="s">
        <v>15</v>
      </c>
      <c r="E11" s="4"/>
      <c r="F11" s="4"/>
      <c r="G11" s="60">
        <f t="shared" ref="G11:H12" si="2">G12</f>
        <v>78868.328770000007</v>
      </c>
      <c r="H11" s="60">
        <f t="shared" si="2"/>
        <v>78868.328770000007</v>
      </c>
      <c r="I11" s="60">
        <f t="shared" si="1"/>
        <v>100</v>
      </c>
      <c r="K11" s="74">
        <f t="shared" si="0"/>
        <v>100</v>
      </c>
    </row>
    <row r="12" spans="1:11" ht="42" customHeight="1" x14ac:dyDescent="0.2">
      <c r="A12" s="5" t="s">
        <v>297</v>
      </c>
      <c r="B12" s="4" t="s">
        <v>256</v>
      </c>
      <c r="C12" s="4" t="s">
        <v>81</v>
      </c>
      <c r="D12" s="4" t="s">
        <v>15</v>
      </c>
      <c r="E12" s="4" t="s">
        <v>60</v>
      </c>
      <c r="F12" s="4"/>
      <c r="G12" s="60">
        <f t="shared" si="2"/>
        <v>78868.328770000007</v>
      </c>
      <c r="H12" s="60">
        <f t="shared" si="2"/>
        <v>78868.328770000007</v>
      </c>
      <c r="I12" s="60">
        <f t="shared" si="1"/>
        <v>100</v>
      </c>
      <c r="K12" s="74">
        <f t="shared" si="0"/>
        <v>100</v>
      </c>
    </row>
    <row r="13" spans="1:11" ht="24" customHeight="1" x14ac:dyDescent="0.2">
      <c r="A13" s="5" t="s">
        <v>118</v>
      </c>
      <c r="B13" s="4" t="s">
        <v>256</v>
      </c>
      <c r="C13" s="4" t="s">
        <v>81</v>
      </c>
      <c r="D13" s="4" t="s">
        <v>15</v>
      </c>
      <c r="E13" s="4" t="s">
        <v>117</v>
      </c>
      <c r="F13" s="4"/>
      <c r="G13" s="60">
        <f>G14+G20+G22+G18+G16+G24</f>
        <v>78868.328770000007</v>
      </c>
      <c r="H13" s="60">
        <f t="shared" ref="H13" si="3">H14+H20+H22+H18+H16+H24</f>
        <v>78868.328770000007</v>
      </c>
      <c r="I13" s="60">
        <f t="shared" si="1"/>
        <v>100</v>
      </c>
      <c r="K13" s="74">
        <f t="shared" si="0"/>
        <v>100</v>
      </c>
    </row>
    <row r="14" spans="1:11" ht="48" customHeight="1" x14ac:dyDescent="0.2">
      <c r="A14" s="5" t="s">
        <v>257</v>
      </c>
      <c r="B14" s="4" t="s">
        <v>256</v>
      </c>
      <c r="C14" s="4" t="s">
        <v>81</v>
      </c>
      <c r="D14" s="4" t="s">
        <v>15</v>
      </c>
      <c r="E14" s="4" t="s">
        <v>116</v>
      </c>
      <c r="F14" s="4"/>
      <c r="G14" s="60">
        <f>G15</f>
        <v>9456.2438000000002</v>
      </c>
      <c r="H14" s="60">
        <f>H15</f>
        <v>9456.2438000000002</v>
      </c>
      <c r="I14" s="60">
        <f t="shared" si="1"/>
        <v>100</v>
      </c>
      <c r="K14" s="74">
        <f t="shared" si="0"/>
        <v>100</v>
      </c>
    </row>
    <row r="15" spans="1:11" ht="24" customHeight="1" x14ac:dyDescent="0.2">
      <c r="A15" s="5" t="s">
        <v>29</v>
      </c>
      <c r="B15" s="4" t="s">
        <v>256</v>
      </c>
      <c r="C15" s="4" t="s">
        <v>81</v>
      </c>
      <c r="D15" s="4" t="s">
        <v>15</v>
      </c>
      <c r="E15" s="4" t="s">
        <v>116</v>
      </c>
      <c r="F15" s="4" t="s">
        <v>26</v>
      </c>
      <c r="G15" s="60">
        <v>9456.2438000000002</v>
      </c>
      <c r="H15" s="60">
        <f>3346.69+1001.291+3859.7058+1248.557</f>
        <v>9456.2438000000002</v>
      </c>
      <c r="I15" s="60">
        <f t="shared" si="1"/>
        <v>100</v>
      </c>
      <c r="J15" s="33">
        <f>3346.69+1001.291+3859.7058+1248.557</f>
        <v>9456.2438000000002</v>
      </c>
      <c r="K15" s="74">
        <f t="shared" si="0"/>
        <v>-9356.2438000000002</v>
      </c>
    </row>
    <row r="16" spans="1:11" ht="24" customHeight="1" x14ac:dyDescent="0.2">
      <c r="A16" s="5" t="s">
        <v>107</v>
      </c>
      <c r="B16" s="4" t="s">
        <v>256</v>
      </c>
      <c r="C16" s="4" t="s">
        <v>81</v>
      </c>
      <c r="D16" s="4" t="s">
        <v>15</v>
      </c>
      <c r="E16" s="4" t="s">
        <v>115</v>
      </c>
      <c r="F16" s="4"/>
      <c r="G16" s="60">
        <f>G17</f>
        <v>11617.20953</v>
      </c>
      <c r="H16" s="60">
        <f>H17</f>
        <v>11617.20953</v>
      </c>
      <c r="I16" s="60">
        <f t="shared" si="1"/>
        <v>100</v>
      </c>
      <c r="K16" s="74">
        <f t="shared" si="0"/>
        <v>100</v>
      </c>
    </row>
    <row r="17" spans="1:11" ht="24" customHeight="1" x14ac:dyDescent="0.2">
      <c r="A17" s="5" t="s">
        <v>29</v>
      </c>
      <c r="B17" s="4" t="s">
        <v>256</v>
      </c>
      <c r="C17" s="4" t="s">
        <v>81</v>
      </c>
      <c r="D17" s="4" t="s">
        <v>15</v>
      </c>
      <c r="E17" s="4" t="s">
        <v>115</v>
      </c>
      <c r="F17" s="4" t="s">
        <v>26</v>
      </c>
      <c r="G17" s="60">
        <v>11617.20953</v>
      </c>
      <c r="H17" s="60">
        <f>8186.09072+3431.11881</f>
        <v>11617.20953</v>
      </c>
      <c r="I17" s="60">
        <f t="shared" si="1"/>
        <v>100</v>
      </c>
      <c r="J17" s="74">
        <f>8186.09072+3431.11881</f>
        <v>11617.20953</v>
      </c>
      <c r="K17" s="74">
        <f t="shared" si="0"/>
        <v>-11517.20953</v>
      </c>
    </row>
    <row r="18" spans="1:11" ht="38.25" customHeight="1" x14ac:dyDescent="0.2">
      <c r="A18" s="8" t="s">
        <v>105</v>
      </c>
      <c r="B18" s="4" t="s">
        <v>256</v>
      </c>
      <c r="C18" s="4" t="s">
        <v>81</v>
      </c>
      <c r="D18" s="4" t="s">
        <v>15</v>
      </c>
      <c r="E18" s="4" t="s">
        <v>114</v>
      </c>
      <c r="F18" s="4"/>
      <c r="G18" s="60">
        <f>G19</f>
        <v>239.923</v>
      </c>
      <c r="H18" s="60">
        <f>H19</f>
        <v>239.923</v>
      </c>
      <c r="I18" s="60">
        <f t="shared" si="1"/>
        <v>100</v>
      </c>
      <c r="K18" s="74">
        <f t="shared" si="0"/>
        <v>100</v>
      </c>
    </row>
    <row r="19" spans="1:11" ht="24" customHeight="1" x14ac:dyDescent="0.2">
      <c r="A19" s="5" t="s">
        <v>29</v>
      </c>
      <c r="B19" s="4" t="s">
        <v>256</v>
      </c>
      <c r="C19" s="4" t="s">
        <v>81</v>
      </c>
      <c r="D19" s="4" t="s">
        <v>15</v>
      </c>
      <c r="E19" s="4" t="s">
        <v>114</v>
      </c>
      <c r="F19" s="4" t="s">
        <v>26</v>
      </c>
      <c r="G19" s="60">
        <v>239.923</v>
      </c>
      <c r="H19" s="60">
        <f>199.923+40</f>
        <v>239.923</v>
      </c>
      <c r="I19" s="60">
        <f t="shared" si="1"/>
        <v>100</v>
      </c>
      <c r="J19" s="33">
        <f>199.923+40</f>
        <v>239.923</v>
      </c>
      <c r="K19" s="74">
        <f t="shared" si="0"/>
        <v>-139.923</v>
      </c>
    </row>
    <row r="20" spans="1:11" ht="42.75" customHeight="1" x14ac:dyDescent="0.2">
      <c r="A20" s="5" t="s">
        <v>426</v>
      </c>
      <c r="B20" s="4" t="s">
        <v>256</v>
      </c>
      <c r="C20" s="4" t="s">
        <v>81</v>
      </c>
      <c r="D20" s="4" t="s">
        <v>15</v>
      </c>
      <c r="E20" s="4" t="s">
        <v>113</v>
      </c>
      <c r="F20" s="4"/>
      <c r="G20" s="60">
        <f>G21</f>
        <v>47127.901969999999</v>
      </c>
      <c r="H20" s="60">
        <f>H21</f>
        <v>47127.901969999999</v>
      </c>
      <c r="I20" s="60">
        <f t="shared" si="1"/>
        <v>100</v>
      </c>
      <c r="K20" s="74">
        <f t="shared" si="0"/>
        <v>100</v>
      </c>
    </row>
    <row r="21" spans="1:11" ht="24" customHeight="1" x14ac:dyDescent="0.2">
      <c r="A21" s="5" t="s">
        <v>29</v>
      </c>
      <c r="B21" s="4" t="s">
        <v>256</v>
      </c>
      <c r="C21" s="4" t="s">
        <v>81</v>
      </c>
      <c r="D21" s="4" t="s">
        <v>15</v>
      </c>
      <c r="E21" s="4" t="s">
        <v>113</v>
      </c>
      <c r="F21" s="4" t="s">
        <v>26</v>
      </c>
      <c r="G21" s="60">
        <v>47127.901969999999</v>
      </c>
      <c r="H21" s="60">
        <f>31238.50076+15889.40121</f>
        <v>47127.901969999999</v>
      </c>
      <c r="I21" s="60">
        <f t="shared" si="1"/>
        <v>100</v>
      </c>
      <c r="J21" s="33">
        <f>35470.002+17351.685</f>
        <v>52821.687000000005</v>
      </c>
      <c r="K21" s="74">
        <f t="shared" si="0"/>
        <v>-52721.687000000005</v>
      </c>
    </row>
    <row r="22" spans="1:11" ht="38.25" customHeight="1" x14ac:dyDescent="0.2">
      <c r="A22" s="5" t="s">
        <v>427</v>
      </c>
      <c r="B22" s="4" t="s">
        <v>256</v>
      </c>
      <c r="C22" s="4" t="s">
        <v>81</v>
      </c>
      <c r="D22" s="4" t="s">
        <v>15</v>
      </c>
      <c r="E22" s="4" t="s">
        <v>500</v>
      </c>
      <c r="F22" s="4"/>
      <c r="G22" s="60">
        <f>G23</f>
        <v>62.75</v>
      </c>
      <c r="H22" s="60">
        <f>H23</f>
        <v>62.75</v>
      </c>
      <c r="I22" s="60">
        <f t="shared" si="1"/>
        <v>100</v>
      </c>
      <c r="K22" s="74">
        <f t="shared" si="0"/>
        <v>100</v>
      </c>
    </row>
    <row r="23" spans="1:11" ht="24" customHeight="1" x14ac:dyDescent="0.2">
      <c r="A23" s="5" t="s">
        <v>29</v>
      </c>
      <c r="B23" s="4" t="s">
        <v>256</v>
      </c>
      <c r="C23" s="4" t="s">
        <v>81</v>
      </c>
      <c r="D23" s="4" t="s">
        <v>15</v>
      </c>
      <c r="E23" s="4" t="s">
        <v>501</v>
      </c>
      <c r="F23" s="4" t="s">
        <v>26</v>
      </c>
      <c r="G23" s="60">
        <v>62.75</v>
      </c>
      <c r="H23" s="60">
        <v>62.75</v>
      </c>
      <c r="I23" s="60">
        <f t="shared" si="1"/>
        <v>100</v>
      </c>
      <c r="J23" s="33">
        <v>62.75</v>
      </c>
      <c r="K23" s="74">
        <f t="shared" si="0"/>
        <v>37.25</v>
      </c>
    </row>
    <row r="24" spans="1:11" ht="24" customHeight="1" x14ac:dyDescent="0.2">
      <c r="A24" s="5" t="s">
        <v>450</v>
      </c>
      <c r="B24" s="4" t="s">
        <v>256</v>
      </c>
      <c r="C24" s="4" t="s">
        <v>81</v>
      </c>
      <c r="D24" s="4" t="s">
        <v>15</v>
      </c>
      <c r="E24" s="4" t="s">
        <v>449</v>
      </c>
      <c r="F24" s="4"/>
      <c r="G24" s="60">
        <f>G25</f>
        <v>10364.30047</v>
      </c>
      <c r="H24" s="60">
        <f>H25</f>
        <v>10364.30047</v>
      </c>
      <c r="I24" s="60">
        <f t="shared" si="1"/>
        <v>100</v>
      </c>
      <c r="K24" s="74">
        <f t="shared" si="0"/>
        <v>100</v>
      </c>
    </row>
    <row r="25" spans="1:11" ht="24" customHeight="1" x14ac:dyDescent="0.2">
      <c r="A25" s="5" t="s">
        <v>29</v>
      </c>
      <c r="B25" s="4" t="s">
        <v>256</v>
      </c>
      <c r="C25" s="4" t="s">
        <v>81</v>
      </c>
      <c r="D25" s="4" t="s">
        <v>15</v>
      </c>
      <c r="E25" s="4" t="s">
        <v>449</v>
      </c>
      <c r="F25" s="4" t="s">
        <v>26</v>
      </c>
      <c r="G25" s="60">
        <v>10364.30047</v>
      </c>
      <c r="H25" s="60">
        <f>8688.17419+1676.12628</f>
        <v>10364.30047</v>
      </c>
      <c r="I25" s="60">
        <f t="shared" si="1"/>
        <v>100</v>
      </c>
      <c r="J25" s="33">
        <f>8564.366+1616.401</f>
        <v>10180.767</v>
      </c>
      <c r="K25" s="74">
        <f t="shared" si="0"/>
        <v>-10080.767</v>
      </c>
    </row>
    <row r="26" spans="1:11" ht="12.75" customHeight="1" x14ac:dyDescent="0.2">
      <c r="A26" s="5" t="s">
        <v>112</v>
      </c>
      <c r="B26" s="4" t="s">
        <v>256</v>
      </c>
      <c r="C26" s="4" t="s">
        <v>81</v>
      </c>
      <c r="D26" s="4" t="s">
        <v>27</v>
      </c>
      <c r="E26" s="4"/>
      <c r="F26" s="4"/>
      <c r="G26" s="60">
        <f>G27+G47+G49</f>
        <v>265963.73038999998</v>
      </c>
      <c r="H26" s="60">
        <f>H27+H47+H49</f>
        <v>265704.31767999998</v>
      </c>
      <c r="I26" s="60">
        <f t="shared" si="1"/>
        <v>99.902463125472181</v>
      </c>
      <c r="J26" s="74">
        <f>I26-266214.87624</f>
        <v>-266114.97377687454</v>
      </c>
      <c r="K26" s="74">
        <f t="shared" si="0"/>
        <v>266214.87624000001</v>
      </c>
    </row>
    <row r="27" spans="1:11" ht="37.5" customHeight="1" x14ac:dyDescent="0.2">
      <c r="A27" s="5" t="s">
        <v>297</v>
      </c>
      <c r="B27" s="4" t="s">
        <v>256</v>
      </c>
      <c r="C27" s="4" t="s">
        <v>81</v>
      </c>
      <c r="D27" s="4" t="s">
        <v>27</v>
      </c>
      <c r="E27" s="4" t="s">
        <v>60</v>
      </c>
      <c r="F27" s="4"/>
      <c r="G27" s="60">
        <f t="shared" ref="G27:H27" si="4">G28</f>
        <v>264674.25393999997</v>
      </c>
      <c r="H27" s="60">
        <f t="shared" si="4"/>
        <v>264414.84122999996</v>
      </c>
      <c r="I27" s="60">
        <f t="shared" si="1"/>
        <v>99.901987931905595</v>
      </c>
      <c r="K27" s="74">
        <f t="shared" si="0"/>
        <v>99.901987931905595</v>
      </c>
    </row>
    <row r="28" spans="1:11" ht="24" customHeight="1" x14ac:dyDescent="0.2">
      <c r="A28" s="5" t="s">
        <v>110</v>
      </c>
      <c r="B28" s="4" t="s">
        <v>256</v>
      </c>
      <c r="C28" s="4" t="s">
        <v>81</v>
      </c>
      <c r="D28" s="4" t="s">
        <v>27</v>
      </c>
      <c r="E28" s="4" t="s">
        <v>109</v>
      </c>
      <c r="F28" s="4"/>
      <c r="G28" s="60">
        <f>G29+G31+G33+G37+G35+G39+G41+G43+G45</f>
        <v>264674.25393999997</v>
      </c>
      <c r="H28" s="60">
        <f t="shared" ref="H28" si="5">H29+H31+H33+H37+H35+H39+H41+H43+H45</f>
        <v>264414.84122999996</v>
      </c>
      <c r="I28" s="60">
        <f t="shared" si="1"/>
        <v>99.901987931905595</v>
      </c>
      <c r="K28" s="74">
        <f t="shared" si="0"/>
        <v>99.901987931905595</v>
      </c>
    </row>
    <row r="29" spans="1:11" ht="48" customHeight="1" x14ac:dyDescent="0.2">
      <c r="A29" s="5" t="s">
        <v>108</v>
      </c>
      <c r="B29" s="4" t="s">
        <v>256</v>
      </c>
      <c r="C29" s="4" t="s">
        <v>81</v>
      </c>
      <c r="D29" s="4" t="s">
        <v>27</v>
      </c>
      <c r="E29" s="4" t="s">
        <v>94</v>
      </c>
      <c r="F29" s="4"/>
      <c r="G29" s="60">
        <f>G30</f>
        <v>52861.588909999999</v>
      </c>
      <c r="H29" s="60">
        <f>H30</f>
        <v>52602.176200000002</v>
      </c>
      <c r="I29" s="60">
        <f t="shared" si="1"/>
        <v>99.509260475613658</v>
      </c>
      <c r="K29" s="74">
        <f t="shared" si="0"/>
        <v>99.509260475613658</v>
      </c>
    </row>
    <row r="30" spans="1:11" ht="24" customHeight="1" x14ac:dyDescent="0.2">
      <c r="A30" s="5" t="s">
        <v>29</v>
      </c>
      <c r="B30" s="4" t="s">
        <v>256</v>
      </c>
      <c r="C30" s="4" t="s">
        <v>81</v>
      </c>
      <c r="D30" s="4" t="s">
        <v>27</v>
      </c>
      <c r="E30" s="4" t="s">
        <v>94</v>
      </c>
      <c r="F30" s="4">
        <v>600</v>
      </c>
      <c r="G30" s="60">
        <v>52861.588909999999</v>
      </c>
      <c r="H30" s="60">
        <f>43944.7042+8657.472</f>
        <v>52602.176200000002</v>
      </c>
      <c r="I30" s="60">
        <f t="shared" si="1"/>
        <v>99.509260475613658</v>
      </c>
      <c r="J30" s="33">
        <f>30771.888+9877.129</f>
        <v>40649.017</v>
      </c>
      <c r="K30" s="74">
        <f t="shared" si="0"/>
        <v>-40549.507739524386</v>
      </c>
    </row>
    <row r="31" spans="1:11" ht="34.5" customHeight="1" x14ac:dyDescent="0.2">
      <c r="A31" s="5" t="s">
        <v>291</v>
      </c>
      <c r="B31" s="4" t="s">
        <v>256</v>
      </c>
      <c r="C31" s="4" t="s">
        <v>81</v>
      </c>
      <c r="D31" s="4" t="s">
        <v>27</v>
      </c>
      <c r="E31" s="4" t="s">
        <v>106</v>
      </c>
      <c r="F31" s="4"/>
      <c r="G31" s="60">
        <f>G32</f>
        <v>21882.00029</v>
      </c>
      <c r="H31" s="60">
        <f>H32</f>
        <v>21882.00029</v>
      </c>
      <c r="I31" s="60">
        <f t="shared" si="1"/>
        <v>100</v>
      </c>
      <c r="K31" s="74">
        <f t="shared" si="0"/>
        <v>100</v>
      </c>
    </row>
    <row r="32" spans="1:11" ht="24" customHeight="1" x14ac:dyDescent="0.2">
      <c r="A32" s="5" t="s">
        <v>29</v>
      </c>
      <c r="B32" s="4" t="s">
        <v>256</v>
      </c>
      <c r="C32" s="4" t="s">
        <v>81</v>
      </c>
      <c r="D32" s="4" t="s">
        <v>27</v>
      </c>
      <c r="E32" s="4" t="s">
        <v>106</v>
      </c>
      <c r="F32" s="4" t="s">
        <v>26</v>
      </c>
      <c r="G32" s="60">
        <v>21882.00029</v>
      </c>
      <c r="H32" s="60">
        <v>21882.00029</v>
      </c>
      <c r="I32" s="60">
        <f t="shared" si="1"/>
        <v>100</v>
      </c>
      <c r="J32" s="33">
        <f>25335.09749</f>
        <v>25335.09749</v>
      </c>
      <c r="K32" s="74">
        <f t="shared" si="0"/>
        <v>-25235.09749</v>
      </c>
    </row>
    <row r="33" spans="1:11" ht="21" customHeight="1" x14ac:dyDescent="0.2">
      <c r="A33" s="5" t="s">
        <v>105</v>
      </c>
      <c r="B33" s="4" t="s">
        <v>256</v>
      </c>
      <c r="C33" s="4" t="s">
        <v>81</v>
      </c>
      <c r="D33" s="4" t="s">
        <v>27</v>
      </c>
      <c r="E33" s="4" t="s">
        <v>104</v>
      </c>
      <c r="F33" s="4"/>
      <c r="G33" s="60">
        <f>G34</f>
        <v>2675.741</v>
      </c>
      <c r="H33" s="60">
        <f>H34</f>
        <v>2675.741</v>
      </c>
      <c r="I33" s="60">
        <f t="shared" si="1"/>
        <v>100</v>
      </c>
      <c r="K33" s="74">
        <f t="shared" si="0"/>
        <v>100</v>
      </c>
    </row>
    <row r="34" spans="1:11" ht="24" customHeight="1" x14ac:dyDescent="0.2">
      <c r="A34" s="5" t="s">
        <v>29</v>
      </c>
      <c r="B34" s="4" t="s">
        <v>256</v>
      </c>
      <c r="C34" s="4" t="s">
        <v>81</v>
      </c>
      <c r="D34" s="4" t="s">
        <v>27</v>
      </c>
      <c r="E34" s="4" t="s">
        <v>104</v>
      </c>
      <c r="F34" s="4" t="s">
        <v>26</v>
      </c>
      <c r="G34" s="60">
        <v>2675.741</v>
      </c>
      <c r="H34" s="60">
        <v>2675.741</v>
      </c>
      <c r="I34" s="60">
        <f t="shared" si="1"/>
        <v>100</v>
      </c>
      <c r="J34" s="33">
        <v>2675.741</v>
      </c>
      <c r="K34" s="74">
        <f t="shared" si="0"/>
        <v>-2575.741</v>
      </c>
    </row>
    <row r="35" spans="1:11" ht="48" customHeight="1" x14ac:dyDescent="0.2">
      <c r="A35" s="5" t="s">
        <v>103</v>
      </c>
      <c r="B35" s="4" t="s">
        <v>256</v>
      </c>
      <c r="C35" s="4" t="s">
        <v>81</v>
      </c>
      <c r="D35" s="4" t="s">
        <v>27</v>
      </c>
      <c r="E35" s="4" t="s">
        <v>488</v>
      </c>
      <c r="F35" s="4"/>
      <c r="G35" s="60">
        <f>G36</f>
        <v>9235.2258000000002</v>
      </c>
      <c r="H35" s="60">
        <f>H36</f>
        <v>9235.2258000000002</v>
      </c>
      <c r="I35" s="60">
        <f t="shared" si="1"/>
        <v>100</v>
      </c>
      <c r="K35" s="74">
        <f t="shared" si="0"/>
        <v>100</v>
      </c>
    </row>
    <row r="36" spans="1:11" ht="24" customHeight="1" x14ac:dyDescent="0.2">
      <c r="A36" s="5" t="s">
        <v>29</v>
      </c>
      <c r="B36" s="4" t="s">
        <v>256</v>
      </c>
      <c r="C36" s="4" t="s">
        <v>81</v>
      </c>
      <c r="D36" s="4" t="s">
        <v>27</v>
      </c>
      <c r="E36" s="4" t="s">
        <v>488</v>
      </c>
      <c r="F36" s="4" t="s">
        <v>26</v>
      </c>
      <c r="G36" s="60">
        <v>9235.2258000000002</v>
      </c>
      <c r="H36" s="60">
        <v>9235.2258000000002</v>
      </c>
      <c r="I36" s="60">
        <f t="shared" si="1"/>
        <v>100</v>
      </c>
      <c r="J36" s="33">
        <f>3510.736</f>
        <v>3510.7359999999999</v>
      </c>
      <c r="K36" s="74">
        <f t="shared" si="0"/>
        <v>-3410.7359999999999</v>
      </c>
    </row>
    <row r="37" spans="1:11" ht="36" customHeight="1" x14ac:dyDescent="0.2">
      <c r="A37" s="8" t="s">
        <v>426</v>
      </c>
      <c r="B37" s="4" t="s">
        <v>256</v>
      </c>
      <c r="C37" s="4" t="s">
        <v>81</v>
      </c>
      <c r="D37" s="4" t="s">
        <v>27</v>
      </c>
      <c r="E37" s="4" t="s">
        <v>102</v>
      </c>
      <c r="F37" s="4"/>
      <c r="G37" s="60">
        <f>G38</f>
        <v>142270.39702999999</v>
      </c>
      <c r="H37" s="60">
        <f>H38</f>
        <v>142270.39702999999</v>
      </c>
      <c r="I37" s="60">
        <f t="shared" si="1"/>
        <v>100</v>
      </c>
      <c r="K37" s="74">
        <f t="shared" ref="K37:K61" si="6">I37-J37</f>
        <v>100</v>
      </c>
    </row>
    <row r="38" spans="1:11" ht="24" customHeight="1" x14ac:dyDescent="0.2">
      <c r="A38" s="5" t="s">
        <v>29</v>
      </c>
      <c r="B38" s="4" t="s">
        <v>256</v>
      </c>
      <c r="C38" s="4" t="s">
        <v>81</v>
      </c>
      <c r="D38" s="4" t="s">
        <v>27</v>
      </c>
      <c r="E38" s="4" t="s">
        <v>102</v>
      </c>
      <c r="F38" s="4" t="s">
        <v>26</v>
      </c>
      <c r="G38" s="60">
        <v>142270.39702999999</v>
      </c>
      <c r="H38" s="60">
        <v>142270.39702999999</v>
      </c>
      <c r="I38" s="60">
        <f t="shared" si="1"/>
        <v>100</v>
      </c>
      <c r="J38" s="33">
        <f>131258.369</f>
        <v>131258.36900000001</v>
      </c>
      <c r="K38" s="74">
        <f t="shared" si="6"/>
        <v>-131158.36900000001</v>
      </c>
    </row>
    <row r="39" spans="1:11" ht="36" customHeight="1" x14ac:dyDescent="0.2">
      <c r="A39" s="5" t="s">
        <v>445</v>
      </c>
      <c r="B39" s="4" t="s">
        <v>256</v>
      </c>
      <c r="C39" s="4" t="s">
        <v>81</v>
      </c>
      <c r="D39" s="4" t="s">
        <v>27</v>
      </c>
      <c r="E39" s="4" t="s">
        <v>441</v>
      </c>
      <c r="F39" s="4"/>
      <c r="G39" s="60">
        <f>G40</f>
        <v>699.01</v>
      </c>
      <c r="H39" s="60">
        <f>H40</f>
        <v>699.01</v>
      </c>
      <c r="I39" s="60">
        <f t="shared" si="1"/>
        <v>100</v>
      </c>
      <c r="K39" s="74">
        <f t="shared" si="6"/>
        <v>100</v>
      </c>
    </row>
    <row r="40" spans="1:11" ht="28.5" customHeight="1" x14ac:dyDescent="0.2">
      <c r="A40" s="5" t="s">
        <v>29</v>
      </c>
      <c r="B40" s="4" t="s">
        <v>256</v>
      </c>
      <c r="C40" s="4" t="s">
        <v>81</v>
      </c>
      <c r="D40" s="4" t="s">
        <v>27</v>
      </c>
      <c r="E40" s="4" t="s">
        <v>494</v>
      </c>
      <c r="F40" s="4" t="s">
        <v>26</v>
      </c>
      <c r="G40" s="60">
        <v>699.01</v>
      </c>
      <c r="H40" s="60">
        <v>699.01</v>
      </c>
      <c r="I40" s="60">
        <f t="shared" si="1"/>
        <v>100</v>
      </c>
      <c r="J40" s="33">
        <f>19.86+910.15</f>
        <v>930.01</v>
      </c>
      <c r="K40" s="74">
        <f t="shared" si="6"/>
        <v>-830.01</v>
      </c>
    </row>
    <row r="41" spans="1:11" ht="36" customHeight="1" x14ac:dyDescent="0.2">
      <c r="A41" s="5" t="s">
        <v>451</v>
      </c>
      <c r="B41" s="4" t="s">
        <v>256</v>
      </c>
      <c r="C41" s="4" t="s">
        <v>81</v>
      </c>
      <c r="D41" s="4" t="s">
        <v>27</v>
      </c>
      <c r="E41" s="4" t="s">
        <v>495</v>
      </c>
      <c r="F41" s="4"/>
      <c r="G41" s="60">
        <f>G42</f>
        <v>2614.2860000000001</v>
      </c>
      <c r="H41" s="60">
        <f>H42</f>
        <v>2614.2860000000001</v>
      </c>
      <c r="I41" s="60">
        <f t="shared" si="1"/>
        <v>100</v>
      </c>
      <c r="K41" s="74">
        <f t="shared" si="6"/>
        <v>100</v>
      </c>
    </row>
    <row r="42" spans="1:11" ht="28.5" customHeight="1" x14ac:dyDescent="0.2">
      <c r="A42" s="5" t="s">
        <v>29</v>
      </c>
      <c r="B42" s="4" t="s">
        <v>256</v>
      </c>
      <c r="C42" s="4" t="s">
        <v>81</v>
      </c>
      <c r="D42" s="4" t="s">
        <v>27</v>
      </c>
      <c r="E42" s="4" t="s">
        <v>495</v>
      </c>
      <c r="F42" s="4" t="s">
        <v>26</v>
      </c>
      <c r="G42" s="60">
        <v>2614.2860000000001</v>
      </c>
      <c r="H42" s="60">
        <v>2614.2860000000001</v>
      </c>
      <c r="I42" s="60">
        <f t="shared" si="1"/>
        <v>100</v>
      </c>
      <c r="J42" s="33">
        <v>2614.2860000000001</v>
      </c>
      <c r="K42" s="74">
        <f t="shared" si="6"/>
        <v>-2514.2860000000001</v>
      </c>
    </row>
    <row r="43" spans="1:11" ht="36" customHeight="1" x14ac:dyDescent="0.2">
      <c r="A43" s="5" t="s">
        <v>458</v>
      </c>
      <c r="B43" s="4" t="s">
        <v>256</v>
      </c>
      <c r="C43" s="4" t="s">
        <v>81</v>
      </c>
      <c r="D43" s="4" t="s">
        <v>27</v>
      </c>
      <c r="E43" s="4" t="s">
        <v>452</v>
      </c>
      <c r="F43" s="4"/>
      <c r="G43" s="60">
        <f>G44</f>
        <v>3571.2887000000001</v>
      </c>
      <c r="H43" s="60">
        <f>H44</f>
        <v>3571.2887000000001</v>
      </c>
      <c r="I43" s="60">
        <f t="shared" si="1"/>
        <v>100</v>
      </c>
      <c r="K43" s="74">
        <f t="shared" si="6"/>
        <v>100</v>
      </c>
    </row>
    <row r="44" spans="1:11" ht="28.5" customHeight="1" x14ac:dyDescent="0.2">
      <c r="A44" s="5" t="s">
        <v>29</v>
      </c>
      <c r="B44" s="4" t="s">
        <v>256</v>
      </c>
      <c r="C44" s="4" t="s">
        <v>81</v>
      </c>
      <c r="D44" s="4" t="s">
        <v>27</v>
      </c>
      <c r="E44" s="4" t="s">
        <v>452</v>
      </c>
      <c r="F44" s="4" t="s">
        <v>26</v>
      </c>
      <c r="G44" s="60">
        <v>3571.2887000000001</v>
      </c>
      <c r="H44" s="60">
        <v>3571.2887000000001</v>
      </c>
      <c r="I44" s="60">
        <f t="shared" si="1"/>
        <v>100</v>
      </c>
      <c r="J44" s="33">
        <f>71.429+3499.8597</f>
        <v>3571.2887000000001</v>
      </c>
      <c r="K44" s="74">
        <f t="shared" si="6"/>
        <v>-3471.2887000000001</v>
      </c>
    </row>
    <row r="45" spans="1:11" ht="24" customHeight="1" x14ac:dyDescent="0.2">
      <c r="A45" s="5" t="s">
        <v>450</v>
      </c>
      <c r="B45" s="4" t="s">
        <v>256</v>
      </c>
      <c r="C45" s="4" t="s">
        <v>81</v>
      </c>
      <c r="D45" s="4" t="s">
        <v>27</v>
      </c>
      <c r="E45" s="4" t="s">
        <v>453</v>
      </c>
      <c r="F45" s="4"/>
      <c r="G45" s="60">
        <f>G46</f>
        <v>28864.716209999999</v>
      </c>
      <c r="H45" s="60">
        <f>H46</f>
        <v>28864.716209999999</v>
      </c>
      <c r="I45" s="60">
        <f t="shared" si="1"/>
        <v>100</v>
      </c>
      <c r="K45" s="74">
        <f t="shared" si="6"/>
        <v>100</v>
      </c>
    </row>
    <row r="46" spans="1:11" ht="24" customHeight="1" x14ac:dyDescent="0.2">
      <c r="A46" s="5" t="s">
        <v>29</v>
      </c>
      <c r="B46" s="4" t="s">
        <v>256</v>
      </c>
      <c r="C46" s="4" t="s">
        <v>81</v>
      </c>
      <c r="D46" s="4" t="s">
        <v>27</v>
      </c>
      <c r="E46" s="4" t="s">
        <v>453</v>
      </c>
      <c r="F46" s="4" t="s">
        <v>26</v>
      </c>
      <c r="G46" s="60">
        <v>28864.716209999999</v>
      </c>
      <c r="H46" s="60">
        <v>28864.716209999999</v>
      </c>
      <c r="I46" s="60">
        <f t="shared" si="1"/>
        <v>100</v>
      </c>
      <c r="J46" s="33">
        <f>23847.08555</f>
        <v>23847.08555</v>
      </c>
      <c r="K46" s="74">
        <f t="shared" si="6"/>
        <v>-23747.08555</v>
      </c>
    </row>
    <row r="47" spans="1:11" ht="24" customHeight="1" x14ac:dyDescent="0.2">
      <c r="A47" s="5" t="s">
        <v>46</v>
      </c>
      <c r="B47" s="4" t="s">
        <v>256</v>
      </c>
      <c r="C47" s="4" t="s">
        <v>81</v>
      </c>
      <c r="D47" s="4" t="s">
        <v>27</v>
      </c>
      <c r="E47" s="4" t="s">
        <v>44</v>
      </c>
      <c r="F47" s="4"/>
      <c r="G47" s="60">
        <f>G48</f>
        <v>939.17645000000005</v>
      </c>
      <c r="H47" s="60">
        <f>H48</f>
        <v>939.17645000000005</v>
      </c>
      <c r="I47" s="60">
        <f t="shared" si="1"/>
        <v>100</v>
      </c>
      <c r="K47" s="74">
        <f t="shared" si="6"/>
        <v>100</v>
      </c>
    </row>
    <row r="48" spans="1:11" ht="24" customHeight="1" x14ac:dyDescent="0.2">
      <c r="A48" s="5" t="s">
        <v>29</v>
      </c>
      <c r="B48" s="4" t="s">
        <v>256</v>
      </c>
      <c r="C48" s="4" t="s">
        <v>81</v>
      </c>
      <c r="D48" s="4" t="s">
        <v>27</v>
      </c>
      <c r="E48" s="4" t="s">
        <v>44</v>
      </c>
      <c r="F48" s="4" t="s">
        <v>26</v>
      </c>
      <c r="G48" s="60">
        <v>939.17645000000005</v>
      </c>
      <c r="H48" s="60">
        <f>438.97045+500.206</f>
        <v>939.17645000000005</v>
      </c>
      <c r="I48" s="60">
        <f t="shared" si="1"/>
        <v>100</v>
      </c>
      <c r="J48" s="74">
        <f>438.97045+500.206</f>
        <v>939.17645000000005</v>
      </c>
      <c r="K48" s="74">
        <f t="shared" si="6"/>
        <v>-839.17645000000005</v>
      </c>
    </row>
    <row r="49" spans="1:11" ht="24" customHeight="1" x14ac:dyDescent="0.2">
      <c r="A49" s="5" t="s">
        <v>534</v>
      </c>
      <c r="B49" s="4" t="s">
        <v>256</v>
      </c>
      <c r="C49" s="4" t="s">
        <v>81</v>
      </c>
      <c r="D49" s="4" t="s">
        <v>27</v>
      </c>
      <c r="E49" s="4" t="s">
        <v>522</v>
      </c>
      <c r="F49" s="4"/>
      <c r="G49" s="60">
        <f>G50</f>
        <v>350.3</v>
      </c>
      <c r="H49" s="60">
        <f>H50</f>
        <v>350.3</v>
      </c>
      <c r="I49" s="60">
        <f t="shared" si="1"/>
        <v>100</v>
      </c>
      <c r="J49" s="74"/>
      <c r="K49" s="74"/>
    </row>
    <row r="50" spans="1:11" ht="24" customHeight="1" x14ac:dyDescent="0.2">
      <c r="A50" s="5" t="s">
        <v>29</v>
      </c>
      <c r="B50" s="4" t="s">
        <v>256</v>
      </c>
      <c r="C50" s="4" t="s">
        <v>81</v>
      </c>
      <c r="D50" s="4" t="s">
        <v>27</v>
      </c>
      <c r="E50" s="4" t="s">
        <v>522</v>
      </c>
      <c r="F50" s="4" t="s">
        <v>26</v>
      </c>
      <c r="G50" s="60">
        <v>350.3</v>
      </c>
      <c r="H50" s="60">
        <v>350.3</v>
      </c>
      <c r="I50" s="60">
        <f t="shared" si="1"/>
        <v>100</v>
      </c>
      <c r="J50" s="74"/>
      <c r="K50" s="74"/>
    </row>
    <row r="51" spans="1:11" ht="12.75" customHeight="1" x14ac:dyDescent="0.2">
      <c r="A51" s="5" t="s">
        <v>284</v>
      </c>
      <c r="B51" s="4" t="s">
        <v>256</v>
      </c>
      <c r="C51" s="4" t="s">
        <v>81</v>
      </c>
      <c r="D51" s="4" t="s">
        <v>6</v>
      </c>
      <c r="E51" s="4"/>
      <c r="F51" s="4"/>
      <c r="G51" s="60">
        <f>G52</f>
        <v>23802.186280000002</v>
      </c>
      <c r="H51" s="60">
        <f t="shared" ref="H51" si="7">H52</f>
        <v>23802.186280000002</v>
      </c>
      <c r="I51" s="60">
        <f t="shared" si="1"/>
        <v>100</v>
      </c>
      <c r="J51" s="33">
        <v>23802.186280000002</v>
      </c>
      <c r="K51" s="74">
        <f t="shared" si="6"/>
        <v>-23702.186280000002</v>
      </c>
    </row>
    <row r="52" spans="1:11" ht="48.75" customHeight="1" x14ac:dyDescent="0.2">
      <c r="A52" s="5" t="s">
        <v>297</v>
      </c>
      <c r="B52" s="4" t="s">
        <v>256</v>
      </c>
      <c r="C52" s="4" t="s">
        <v>81</v>
      </c>
      <c r="D52" s="4" t="s">
        <v>6</v>
      </c>
      <c r="E52" s="4" t="s">
        <v>60</v>
      </c>
      <c r="F52" s="4"/>
      <c r="G52" s="60">
        <f>G53</f>
        <v>23802.186280000002</v>
      </c>
      <c r="H52" s="60">
        <f>H53</f>
        <v>23802.186280000002</v>
      </c>
      <c r="I52" s="60">
        <f t="shared" si="1"/>
        <v>100</v>
      </c>
      <c r="K52" s="74">
        <f t="shared" si="6"/>
        <v>100</v>
      </c>
    </row>
    <row r="53" spans="1:11" ht="24" customHeight="1" x14ac:dyDescent="0.2">
      <c r="A53" s="5" t="s">
        <v>101</v>
      </c>
      <c r="B53" s="4" t="s">
        <v>256</v>
      </c>
      <c r="C53" s="4" t="s">
        <v>81</v>
      </c>
      <c r="D53" s="4" t="s">
        <v>6</v>
      </c>
      <c r="E53" s="4" t="s">
        <v>100</v>
      </c>
      <c r="F53" s="4"/>
      <c r="G53" s="60">
        <f>G54+G56+G58+G60</f>
        <v>23802.186280000002</v>
      </c>
      <c r="H53" s="60">
        <f>H54+H56+H58+H60</f>
        <v>23802.186280000002</v>
      </c>
      <c r="I53" s="60">
        <f t="shared" si="1"/>
        <v>100</v>
      </c>
      <c r="K53" s="74">
        <f t="shared" si="6"/>
        <v>100</v>
      </c>
    </row>
    <row r="54" spans="1:11" ht="41.25" customHeight="1" x14ac:dyDescent="0.2">
      <c r="A54" s="8" t="s">
        <v>99</v>
      </c>
      <c r="B54" s="4" t="s">
        <v>256</v>
      </c>
      <c r="C54" s="4" t="s">
        <v>81</v>
      </c>
      <c r="D54" s="4" t="s">
        <v>6</v>
      </c>
      <c r="E54" s="4" t="s">
        <v>98</v>
      </c>
      <c r="F54" s="4"/>
      <c r="G54" s="60">
        <f>G55</f>
        <v>12852.853010000001</v>
      </c>
      <c r="H54" s="60">
        <f>H55</f>
        <v>12852.853010000001</v>
      </c>
      <c r="I54" s="60">
        <f t="shared" si="1"/>
        <v>100</v>
      </c>
      <c r="K54" s="74">
        <f t="shared" si="6"/>
        <v>100</v>
      </c>
    </row>
    <row r="55" spans="1:11" ht="24" customHeight="1" x14ac:dyDescent="0.2">
      <c r="A55" s="5" t="s">
        <v>29</v>
      </c>
      <c r="B55" s="4" t="s">
        <v>256</v>
      </c>
      <c r="C55" s="4" t="s">
        <v>81</v>
      </c>
      <c r="D55" s="4" t="s">
        <v>6</v>
      </c>
      <c r="E55" s="4" t="s">
        <v>98</v>
      </c>
      <c r="F55" s="4" t="s">
        <v>26</v>
      </c>
      <c r="G55" s="60">
        <v>12852.853010000001</v>
      </c>
      <c r="H55" s="60">
        <f>12570.10301+282.75</f>
        <v>12852.853010000001</v>
      </c>
      <c r="I55" s="60">
        <f t="shared" si="1"/>
        <v>100</v>
      </c>
      <c r="J55" s="33">
        <f>12084.151+27.35</f>
        <v>12111.501</v>
      </c>
      <c r="K55" s="74">
        <f t="shared" si="6"/>
        <v>-12011.501</v>
      </c>
    </row>
    <row r="56" spans="1:11" ht="36" customHeight="1" x14ac:dyDescent="0.2">
      <c r="A56" s="5" t="s">
        <v>97</v>
      </c>
      <c r="B56" s="4" t="s">
        <v>256</v>
      </c>
      <c r="C56" s="4" t="s">
        <v>81</v>
      </c>
      <c r="D56" s="4" t="s">
        <v>6</v>
      </c>
      <c r="E56" s="4" t="s">
        <v>96</v>
      </c>
      <c r="F56" s="4"/>
      <c r="G56" s="60">
        <f>G57</f>
        <v>6072.3116600000003</v>
      </c>
      <c r="H56" s="60">
        <f>H57</f>
        <v>6072.3116600000003</v>
      </c>
      <c r="I56" s="60">
        <f t="shared" si="1"/>
        <v>100</v>
      </c>
      <c r="K56" s="74">
        <f t="shared" si="6"/>
        <v>100</v>
      </c>
    </row>
    <row r="57" spans="1:11" ht="24" customHeight="1" x14ac:dyDescent="0.2">
      <c r="A57" s="5" t="s">
        <v>29</v>
      </c>
      <c r="B57" s="4" t="s">
        <v>256</v>
      </c>
      <c r="C57" s="4" t="s">
        <v>81</v>
      </c>
      <c r="D57" s="4" t="s">
        <v>6</v>
      </c>
      <c r="E57" s="4" t="s">
        <v>96</v>
      </c>
      <c r="F57" s="4" t="s">
        <v>26</v>
      </c>
      <c r="G57" s="60">
        <v>6072.3116600000003</v>
      </c>
      <c r="H57" s="60">
        <f>6054.81166+17.5</f>
        <v>6072.3116600000003</v>
      </c>
      <c r="I57" s="60">
        <f t="shared" si="1"/>
        <v>100</v>
      </c>
      <c r="J57" s="33">
        <f>5409.27+17.5</f>
        <v>5426.77</v>
      </c>
      <c r="K57" s="74">
        <f t="shared" si="6"/>
        <v>-5326.77</v>
      </c>
    </row>
    <row r="58" spans="1:11" ht="24" customHeight="1" x14ac:dyDescent="0.2">
      <c r="A58" s="5" t="s">
        <v>450</v>
      </c>
      <c r="B58" s="4" t="s">
        <v>256</v>
      </c>
      <c r="C58" s="4" t="s">
        <v>81</v>
      </c>
      <c r="D58" s="4" t="s">
        <v>6</v>
      </c>
      <c r="E58" s="4" t="s">
        <v>476</v>
      </c>
      <c r="F58" s="4"/>
      <c r="G58" s="60">
        <f>G59</f>
        <v>2342.3276099999998</v>
      </c>
      <c r="H58" s="60">
        <f>H59</f>
        <v>2342.3276100000003</v>
      </c>
      <c r="I58" s="60">
        <f t="shared" si="1"/>
        <v>100.00000000000003</v>
      </c>
      <c r="K58" s="74">
        <f t="shared" si="6"/>
        <v>100.00000000000003</v>
      </c>
    </row>
    <row r="59" spans="1:11" ht="24" customHeight="1" x14ac:dyDescent="0.2">
      <c r="A59" s="5" t="s">
        <v>29</v>
      </c>
      <c r="B59" s="4" t="s">
        <v>256</v>
      </c>
      <c r="C59" s="4" t="s">
        <v>81</v>
      </c>
      <c r="D59" s="4" t="s">
        <v>6</v>
      </c>
      <c r="E59" s="4" t="s">
        <v>476</v>
      </c>
      <c r="F59" s="4" t="s">
        <v>26</v>
      </c>
      <c r="G59" s="60">
        <v>2342.3276099999998</v>
      </c>
      <c r="H59" s="60">
        <f>1162.938+1179.38961</f>
        <v>2342.3276100000003</v>
      </c>
      <c r="I59" s="60">
        <f t="shared" si="1"/>
        <v>100.00000000000003</v>
      </c>
      <c r="J59" s="33">
        <f>639.226+1152.344</f>
        <v>1791.5700000000002</v>
      </c>
      <c r="K59" s="74">
        <f t="shared" si="6"/>
        <v>-1691.5700000000002</v>
      </c>
    </row>
    <row r="60" spans="1:11" ht="24" customHeight="1" x14ac:dyDescent="0.2">
      <c r="A60" s="5" t="s">
        <v>490</v>
      </c>
      <c r="B60" s="4" t="s">
        <v>256</v>
      </c>
      <c r="C60" s="4" t="s">
        <v>81</v>
      </c>
      <c r="D60" s="4" t="s">
        <v>6</v>
      </c>
      <c r="E60" s="4" t="s">
        <v>489</v>
      </c>
      <c r="F60" s="4"/>
      <c r="G60" s="60">
        <f>G61</f>
        <v>2534.694</v>
      </c>
      <c r="H60" s="60">
        <f>H61</f>
        <v>2534.694</v>
      </c>
      <c r="I60" s="60">
        <f t="shared" si="1"/>
        <v>100</v>
      </c>
      <c r="K60" s="74">
        <f t="shared" si="6"/>
        <v>100</v>
      </c>
    </row>
    <row r="61" spans="1:11" ht="24" customHeight="1" x14ac:dyDescent="0.2">
      <c r="A61" s="5" t="s">
        <v>29</v>
      </c>
      <c r="B61" s="4" t="s">
        <v>256</v>
      </c>
      <c r="C61" s="4" t="s">
        <v>81</v>
      </c>
      <c r="D61" s="4" t="s">
        <v>6</v>
      </c>
      <c r="E61" s="4" t="s">
        <v>489</v>
      </c>
      <c r="F61" s="4" t="s">
        <v>26</v>
      </c>
      <c r="G61" s="60">
        <v>2534.694</v>
      </c>
      <c r="H61" s="60">
        <f>301.442+2233.252</f>
        <v>2534.694</v>
      </c>
      <c r="I61" s="60">
        <f t="shared" si="1"/>
        <v>100</v>
      </c>
      <c r="J61" s="33">
        <f>1427.252+301.442</f>
        <v>1728.694</v>
      </c>
      <c r="K61" s="74">
        <f t="shared" si="6"/>
        <v>-1628.694</v>
      </c>
    </row>
    <row r="62" spans="1:11" x14ac:dyDescent="0.2">
      <c r="A62" s="80" t="s">
        <v>459</v>
      </c>
      <c r="B62" s="4" t="s">
        <v>256</v>
      </c>
      <c r="C62" s="4" t="s">
        <v>81</v>
      </c>
      <c r="D62" s="4" t="s">
        <v>36</v>
      </c>
      <c r="E62" s="4"/>
      <c r="F62" s="4"/>
      <c r="G62" s="89">
        <f t="shared" ref="G62:H65" si="8">G63</f>
        <v>30</v>
      </c>
      <c r="H62" s="89">
        <f t="shared" si="8"/>
        <v>30</v>
      </c>
      <c r="I62" s="60">
        <f t="shared" si="1"/>
        <v>100</v>
      </c>
      <c r="K62" s="74">
        <f t="shared" ref="K62:K90" si="9">I62-J62</f>
        <v>100</v>
      </c>
    </row>
    <row r="63" spans="1:11" ht="60" x14ac:dyDescent="0.2">
      <c r="A63" s="5" t="s">
        <v>311</v>
      </c>
      <c r="B63" s="4" t="s">
        <v>256</v>
      </c>
      <c r="C63" s="4" t="s">
        <v>81</v>
      </c>
      <c r="D63" s="4" t="s">
        <v>36</v>
      </c>
      <c r="E63" s="4" t="s">
        <v>12</v>
      </c>
      <c r="F63" s="4"/>
      <c r="G63" s="89">
        <f t="shared" si="8"/>
        <v>30</v>
      </c>
      <c r="H63" s="89">
        <f t="shared" si="8"/>
        <v>30</v>
      </c>
      <c r="I63" s="60">
        <f t="shared" si="1"/>
        <v>100</v>
      </c>
      <c r="K63" s="74">
        <f t="shared" si="9"/>
        <v>100</v>
      </c>
    </row>
    <row r="64" spans="1:11" ht="48" x14ac:dyDescent="0.2">
      <c r="A64" s="5" t="s">
        <v>177</v>
      </c>
      <c r="B64" s="4" t="s">
        <v>256</v>
      </c>
      <c r="C64" s="4" t="s">
        <v>81</v>
      </c>
      <c r="D64" s="4" t="s">
        <v>36</v>
      </c>
      <c r="E64" s="4" t="s">
        <v>312</v>
      </c>
      <c r="F64" s="4"/>
      <c r="G64" s="89">
        <f t="shared" si="8"/>
        <v>30</v>
      </c>
      <c r="H64" s="89">
        <f t="shared" si="8"/>
        <v>30</v>
      </c>
      <c r="I64" s="60">
        <f t="shared" si="1"/>
        <v>100</v>
      </c>
      <c r="K64" s="74">
        <f t="shared" si="9"/>
        <v>100</v>
      </c>
    </row>
    <row r="65" spans="1:11" ht="24" x14ac:dyDescent="0.2">
      <c r="A65" s="5" t="s">
        <v>313</v>
      </c>
      <c r="B65" s="4" t="s">
        <v>256</v>
      </c>
      <c r="C65" s="4" t="s">
        <v>81</v>
      </c>
      <c r="D65" s="4" t="s">
        <v>36</v>
      </c>
      <c r="E65" s="4" t="s">
        <v>266</v>
      </c>
      <c r="F65" s="4"/>
      <c r="G65" s="89">
        <f t="shared" si="8"/>
        <v>30</v>
      </c>
      <c r="H65" s="89">
        <f t="shared" si="8"/>
        <v>30</v>
      </c>
      <c r="I65" s="60">
        <f t="shared" si="1"/>
        <v>100</v>
      </c>
      <c r="K65" s="74">
        <f t="shared" si="9"/>
        <v>100</v>
      </c>
    </row>
    <row r="66" spans="1:11" ht="24" x14ac:dyDescent="0.2">
      <c r="A66" s="5" t="s">
        <v>47</v>
      </c>
      <c r="B66" s="4" t="s">
        <v>256</v>
      </c>
      <c r="C66" s="4" t="s">
        <v>81</v>
      </c>
      <c r="D66" s="4" t="s">
        <v>36</v>
      </c>
      <c r="E66" s="4" t="s">
        <v>266</v>
      </c>
      <c r="F66" s="4" t="s">
        <v>454</v>
      </c>
      <c r="G66" s="89">
        <v>30</v>
      </c>
      <c r="H66" s="89">
        <v>30</v>
      </c>
      <c r="I66" s="60">
        <f t="shared" si="1"/>
        <v>100</v>
      </c>
      <c r="J66" s="33">
        <v>30</v>
      </c>
      <c r="K66" s="74">
        <f t="shared" si="9"/>
        <v>70</v>
      </c>
    </row>
    <row r="67" spans="1:11" ht="12.75" customHeight="1" x14ac:dyDescent="0.2">
      <c r="A67" s="5" t="s">
        <v>93</v>
      </c>
      <c r="B67" s="4" t="s">
        <v>256</v>
      </c>
      <c r="C67" s="4" t="s">
        <v>81</v>
      </c>
      <c r="D67" s="4" t="s">
        <v>81</v>
      </c>
      <c r="E67" s="4"/>
      <c r="F67" s="4"/>
      <c r="G67" s="60">
        <f>G68+G73</f>
        <v>1647.5216999999998</v>
      </c>
      <c r="H67" s="60">
        <f>H68+H73</f>
        <v>1647.5216999999998</v>
      </c>
      <c r="I67" s="60">
        <f t="shared" si="1"/>
        <v>100</v>
      </c>
      <c r="K67" s="74">
        <f t="shared" si="9"/>
        <v>100</v>
      </c>
    </row>
    <row r="68" spans="1:11" ht="42.75" customHeight="1" x14ac:dyDescent="0.2">
      <c r="A68" s="5" t="s">
        <v>297</v>
      </c>
      <c r="B68" s="4" t="s">
        <v>256</v>
      </c>
      <c r="C68" s="4" t="s">
        <v>81</v>
      </c>
      <c r="D68" s="4" t="s">
        <v>81</v>
      </c>
      <c r="E68" s="4" t="s">
        <v>60</v>
      </c>
      <c r="F68" s="4"/>
      <c r="G68" s="90">
        <f>G69</f>
        <v>1470.2576999999999</v>
      </c>
      <c r="H68" s="90">
        <f>H69</f>
        <v>1470.2576999999999</v>
      </c>
      <c r="I68" s="60">
        <f t="shared" si="1"/>
        <v>100</v>
      </c>
      <c r="K68" s="74">
        <f t="shared" si="9"/>
        <v>100</v>
      </c>
    </row>
    <row r="69" spans="1:11" ht="26.25" customHeight="1" x14ac:dyDescent="0.2">
      <c r="A69" s="5" t="s">
        <v>298</v>
      </c>
      <c r="B69" s="4" t="s">
        <v>256</v>
      </c>
      <c r="C69" s="4" t="s">
        <v>81</v>
      </c>
      <c r="D69" s="4" t="s">
        <v>81</v>
      </c>
      <c r="E69" s="4" t="s">
        <v>299</v>
      </c>
      <c r="F69" s="4"/>
      <c r="G69" s="90">
        <f>G70</f>
        <v>1470.2576999999999</v>
      </c>
      <c r="H69" s="90">
        <f t="shared" ref="H69" si="10">H70</f>
        <v>1470.2576999999999</v>
      </c>
      <c r="I69" s="60">
        <f t="shared" si="1"/>
        <v>100</v>
      </c>
      <c r="K69" s="74">
        <f t="shared" si="9"/>
        <v>100</v>
      </c>
    </row>
    <row r="70" spans="1:11" ht="36" customHeight="1" x14ac:dyDescent="0.2">
      <c r="A70" s="5" t="s">
        <v>428</v>
      </c>
      <c r="B70" s="4" t="s">
        <v>256</v>
      </c>
      <c r="C70" s="4" t="s">
        <v>81</v>
      </c>
      <c r="D70" s="4" t="s">
        <v>81</v>
      </c>
      <c r="E70" s="4" t="s">
        <v>300</v>
      </c>
      <c r="F70" s="4"/>
      <c r="G70" s="90">
        <f>G72+G71</f>
        <v>1470.2576999999999</v>
      </c>
      <c r="H70" s="90">
        <f>H72+H71</f>
        <v>1470.2576999999999</v>
      </c>
      <c r="I70" s="60">
        <f t="shared" si="1"/>
        <v>100</v>
      </c>
      <c r="K70" s="74">
        <f t="shared" si="9"/>
        <v>100</v>
      </c>
    </row>
    <row r="71" spans="1:11" ht="12.75" customHeight="1" x14ac:dyDescent="0.2">
      <c r="A71" s="5" t="s">
        <v>45</v>
      </c>
      <c r="B71" s="4" t="s">
        <v>256</v>
      </c>
      <c r="C71" s="4" t="s">
        <v>81</v>
      </c>
      <c r="D71" s="4" t="s">
        <v>81</v>
      </c>
      <c r="E71" s="4" t="s">
        <v>300</v>
      </c>
      <c r="F71" s="4" t="s">
        <v>43</v>
      </c>
      <c r="G71" s="90">
        <v>277.45769999999999</v>
      </c>
      <c r="H71" s="90">
        <v>277.45769999999999</v>
      </c>
      <c r="I71" s="60">
        <f t="shared" si="1"/>
        <v>100</v>
      </c>
      <c r="J71" s="33">
        <v>233.3</v>
      </c>
      <c r="K71" s="74">
        <f t="shared" si="9"/>
        <v>-133.30000000000001</v>
      </c>
    </row>
    <row r="72" spans="1:11" ht="24" customHeight="1" x14ac:dyDescent="0.2">
      <c r="A72" s="5" t="s">
        <v>29</v>
      </c>
      <c r="B72" s="4" t="s">
        <v>256</v>
      </c>
      <c r="C72" s="4" t="s">
        <v>81</v>
      </c>
      <c r="D72" s="4" t="s">
        <v>81</v>
      </c>
      <c r="E72" s="4" t="s">
        <v>300</v>
      </c>
      <c r="F72" s="4" t="s">
        <v>26</v>
      </c>
      <c r="G72" s="90">
        <v>1192.8</v>
      </c>
      <c r="H72" s="90">
        <v>1192.8</v>
      </c>
      <c r="I72" s="60">
        <f t="shared" si="1"/>
        <v>100</v>
      </c>
      <c r="J72" s="33">
        <v>1192.8</v>
      </c>
      <c r="K72" s="74">
        <f t="shared" si="9"/>
        <v>-1092.8</v>
      </c>
    </row>
    <row r="73" spans="1:11" ht="24" customHeight="1" x14ac:dyDescent="0.2">
      <c r="A73" s="5" t="s">
        <v>46</v>
      </c>
      <c r="B73" s="4" t="s">
        <v>256</v>
      </c>
      <c r="C73" s="4" t="s">
        <v>81</v>
      </c>
      <c r="D73" s="4" t="s">
        <v>81</v>
      </c>
      <c r="E73" s="4" t="s">
        <v>44</v>
      </c>
      <c r="F73" s="4"/>
      <c r="G73" s="60">
        <f>G74</f>
        <v>177.26400000000001</v>
      </c>
      <c r="H73" s="60">
        <f>H74</f>
        <v>177.26400000000001</v>
      </c>
      <c r="I73" s="60">
        <f t="shared" si="1"/>
        <v>100</v>
      </c>
      <c r="K73" s="74">
        <f t="shared" si="9"/>
        <v>100</v>
      </c>
    </row>
    <row r="74" spans="1:11" ht="24" customHeight="1" x14ac:dyDescent="0.2">
      <c r="A74" s="5" t="s">
        <v>29</v>
      </c>
      <c r="B74" s="4" t="s">
        <v>256</v>
      </c>
      <c r="C74" s="4" t="s">
        <v>81</v>
      </c>
      <c r="D74" s="4" t="s">
        <v>81</v>
      </c>
      <c r="E74" s="4" t="s">
        <v>44</v>
      </c>
      <c r="F74" s="4" t="s">
        <v>26</v>
      </c>
      <c r="G74" s="60">
        <v>177.26400000000001</v>
      </c>
      <c r="H74" s="60">
        <v>177.26400000000001</v>
      </c>
      <c r="I74" s="60">
        <f t="shared" ref="I74:I137" si="11">H74/G74*100</f>
        <v>100</v>
      </c>
      <c r="J74" s="33">
        <v>177.26400000000001</v>
      </c>
      <c r="K74" s="74">
        <f t="shared" si="9"/>
        <v>-77.26400000000001</v>
      </c>
    </row>
    <row r="75" spans="1:11" ht="12.75" customHeight="1" x14ac:dyDescent="0.2">
      <c r="A75" s="5" t="s">
        <v>92</v>
      </c>
      <c r="B75" s="4" t="s">
        <v>256</v>
      </c>
      <c r="C75" s="4" t="s">
        <v>81</v>
      </c>
      <c r="D75" s="4" t="s">
        <v>68</v>
      </c>
      <c r="E75" s="4"/>
      <c r="F75" s="4"/>
      <c r="G75" s="60">
        <f>G76+G82+G91+G101</f>
        <v>15755.460439999999</v>
      </c>
      <c r="H75" s="60">
        <f>H76+H82+H91+H101</f>
        <v>15752.448280000001</v>
      </c>
      <c r="I75" s="60">
        <f t="shared" si="11"/>
        <v>99.980881802778981</v>
      </c>
      <c r="K75" s="74">
        <f t="shared" si="9"/>
        <v>99.980881802778981</v>
      </c>
    </row>
    <row r="76" spans="1:11" ht="48" customHeight="1" x14ac:dyDescent="0.2">
      <c r="A76" s="5" t="s">
        <v>302</v>
      </c>
      <c r="B76" s="4" t="s">
        <v>256</v>
      </c>
      <c r="C76" s="4" t="s">
        <v>81</v>
      </c>
      <c r="D76" s="4" t="s">
        <v>68</v>
      </c>
      <c r="E76" s="4" t="s">
        <v>506</v>
      </c>
      <c r="F76" s="4"/>
      <c r="G76" s="60">
        <f>G77+G80</f>
        <v>1300.1353999999999</v>
      </c>
      <c r="H76" s="60">
        <f>H77+H80</f>
        <v>1300.1353999999999</v>
      </c>
      <c r="I76" s="60">
        <f t="shared" si="11"/>
        <v>100</v>
      </c>
      <c r="K76" s="74">
        <f t="shared" si="9"/>
        <v>100</v>
      </c>
    </row>
    <row r="77" spans="1:11" ht="48" customHeight="1" x14ac:dyDescent="0.2">
      <c r="A77" s="5" t="s">
        <v>304</v>
      </c>
      <c r="B77" s="4" t="s">
        <v>256</v>
      </c>
      <c r="C77" s="4" t="s">
        <v>81</v>
      </c>
      <c r="D77" s="4" t="s">
        <v>68</v>
      </c>
      <c r="E77" s="4" t="s">
        <v>301</v>
      </c>
      <c r="F77" s="4"/>
      <c r="G77" s="60">
        <f t="shared" ref="G77:H78" si="12">G78</f>
        <v>1256.1053999999999</v>
      </c>
      <c r="H77" s="60">
        <f t="shared" si="12"/>
        <v>1256.1053999999999</v>
      </c>
      <c r="I77" s="60">
        <f t="shared" si="11"/>
        <v>100</v>
      </c>
      <c r="K77" s="74">
        <f t="shared" si="9"/>
        <v>100</v>
      </c>
    </row>
    <row r="78" spans="1:11" ht="24" customHeight="1" x14ac:dyDescent="0.2">
      <c r="A78" s="5" t="s">
        <v>88</v>
      </c>
      <c r="B78" s="4" t="s">
        <v>256</v>
      </c>
      <c r="C78" s="4" t="s">
        <v>81</v>
      </c>
      <c r="D78" s="4" t="s">
        <v>68</v>
      </c>
      <c r="E78" s="4" t="s">
        <v>90</v>
      </c>
      <c r="F78" s="4"/>
      <c r="G78" s="60">
        <f t="shared" si="12"/>
        <v>1256.1053999999999</v>
      </c>
      <c r="H78" s="60">
        <f t="shared" si="12"/>
        <v>1256.1053999999999</v>
      </c>
      <c r="I78" s="60">
        <f t="shared" si="11"/>
        <v>100</v>
      </c>
      <c r="K78" s="74">
        <f t="shared" si="9"/>
        <v>100</v>
      </c>
    </row>
    <row r="79" spans="1:11" ht="60" customHeight="1" x14ac:dyDescent="0.2">
      <c r="A79" s="5" t="s">
        <v>38</v>
      </c>
      <c r="B79" s="4" t="s">
        <v>256</v>
      </c>
      <c r="C79" s="4" t="s">
        <v>81</v>
      </c>
      <c r="D79" s="4" t="s">
        <v>68</v>
      </c>
      <c r="E79" s="4" t="s">
        <v>90</v>
      </c>
      <c r="F79" s="4" t="s">
        <v>34</v>
      </c>
      <c r="G79" s="60">
        <v>1256.1053999999999</v>
      </c>
      <c r="H79" s="60">
        <f>967.69397+288.41143</f>
        <v>1256.1053999999999</v>
      </c>
      <c r="I79" s="60">
        <f t="shared" si="11"/>
        <v>100</v>
      </c>
      <c r="J79" s="33">
        <f>845.49+255.34</f>
        <v>1100.83</v>
      </c>
      <c r="K79" s="74">
        <f t="shared" si="9"/>
        <v>-1000.8299999999999</v>
      </c>
    </row>
    <row r="80" spans="1:11" ht="24" customHeight="1" x14ac:dyDescent="0.2">
      <c r="A80" s="5" t="s">
        <v>450</v>
      </c>
      <c r="B80" s="4" t="s">
        <v>256</v>
      </c>
      <c r="C80" s="4" t="s">
        <v>81</v>
      </c>
      <c r="D80" s="4" t="s">
        <v>68</v>
      </c>
      <c r="E80" s="4" t="s">
        <v>455</v>
      </c>
      <c r="F80" s="4"/>
      <c r="G80" s="60">
        <f>G81</f>
        <v>44.03</v>
      </c>
      <c r="H80" s="60">
        <f>H81</f>
        <v>44.03</v>
      </c>
      <c r="I80" s="60">
        <f t="shared" si="11"/>
        <v>100</v>
      </c>
      <c r="K80" s="74">
        <f t="shared" si="9"/>
        <v>100</v>
      </c>
    </row>
    <row r="81" spans="1:11" ht="24" customHeight="1" x14ac:dyDescent="0.2">
      <c r="A81" s="5" t="s">
        <v>38</v>
      </c>
      <c r="B81" s="4" t="s">
        <v>256</v>
      </c>
      <c r="C81" s="4" t="s">
        <v>81</v>
      </c>
      <c r="D81" s="4" t="s">
        <v>68</v>
      </c>
      <c r="E81" s="4" t="s">
        <v>455</v>
      </c>
      <c r="F81" s="4" t="s">
        <v>34</v>
      </c>
      <c r="G81" s="60">
        <v>44.03</v>
      </c>
      <c r="H81" s="60">
        <f>33.817+10.213</f>
        <v>44.03</v>
      </c>
      <c r="I81" s="60">
        <f t="shared" si="11"/>
        <v>100</v>
      </c>
      <c r="J81" s="33">
        <f>33.817+10.213</f>
        <v>44.03</v>
      </c>
      <c r="K81" s="74">
        <f t="shared" si="9"/>
        <v>55.97</v>
      </c>
    </row>
    <row r="82" spans="1:11" ht="57" customHeight="1" x14ac:dyDescent="0.2">
      <c r="A82" s="5" t="s">
        <v>303</v>
      </c>
      <c r="B82" s="4" t="s">
        <v>256</v>
      </c>
      <c r="C82" s="4" t="s">
        <v>81</v>
      </c>
      <c r="D82" s="4" t="s">
        <v>68</v>
      </c>
      <c r="E82" s="4" t="s">
        <v>507</v>
      </c>
      <c r="F82" s="4"/>
      <c r="G82" s="60">
        <f>G83+G89</f>
        <v>6469.46504</v>
      </c>
      <c r="H82" s="60">
        <f>H83+H89</f>
        <v>6466.4528799999998</v>
      </c>
      <c r="I82" s="60">
        <f t="shared" si="11"/>
        <v>99.953440354320236</v>
      </c>
      <c r="J82" s="33" t="s">
        <v>89</v>
      </c>
      <c r="K82" s="74" t="e">
        <f t="shared" si="9"/>
        <v>#VALUE!</v>
      </c>
    </row>
    <row r="83" spans="1:11" ht="37.5" customHeight="1" x14ac:dyDescent="0.2">
      <c r="A83" s="5" t="s">
        <v>305</v>
      </c>
      <c r="B83" s="4" t="s">
        <v>256</v>
      </c>
      <c r="C83" s="4" t="s">
        <v>81</v>
      </c>
      <c r="D83" s="4" t="s">
        <v>68</v>
      </c>
      <c r="E83" s="4" t="s">
        <v>306</v>
      </c>
      <c r="F83" s="4"/>
      <c r="G83" s="60">
        <f>G84+G86</f>
        <v>5817.29504</v>
      </c>
      <c r="H83" s="60">
        <f>H84+H86</f>
        <v>5814.2828799999997</v>
      </c>
      <c r="I83" s="60">
        <f t="shared" si="11"/>
        <v>99.948220608043968</v>
      </c>
      <c r="K83" s="74">
        <f t="shared" si="9"/>
        <v>99.948220608043968</v>
      </c>
    </row>
    <row r="84" spans="1:11" ht="24" customHeight="1" x14ac:dyDescent="0.2">
      <c r="A84" s="5" t="s">
        <v>88</v>
      </c>
      <c r="B84" s="4" t="s">
        <v>256</v>
      </c>
      <c r="C84" s="4" t="s">
        <v>81</v>
      </c>
      <c r="D84" s="4" t="s">
        <v>68</v>
      </c>
      <c r="E84" s="4" t="s">
        <v>87</v>
      </c>
      <c r="F84" s="4"/>
      <c r="G84" s="60">
        <f>G85</f>
        <v>3844.07341</v>
      </c>
      <c r="H84" s="60">
        <f>H85</f>
        <v>3841.0612499999997</v>
      </c>
      <c r="I84" s="60">
        <f t="shared" si="11"/>
        <v>99.921641454812899</v>
      </c>
      <c r="K84" s="74">
        <f t="shared" si="9"/>
        <v>99.921641454812899</v>
      </c>
    </row>
    <row r="85" spans="1:11" ht="46.5" customHeight="1" x14ac:dyDescent="0.2">
      <c r="A85" s="5" t="s">
        <v>38</v>
      </c>
      <c r="B85" s="4" t="s">
        <v>256</v>
      </c>
      <c r="C85" s="4" t="s">
        <v>81</v>
      </c>
      <c r="D85" s="4" t="s">
        <v>68</v>
      </c>
      <c r="E85" s="4" t="s">
        <v>87</v>
      </c>
      <c r="F85" s="4" t="s">
        <v>34</v>
      </c>
      <c r="G85" s="60">
        <v>3844.07341</v>
      </c>
      <c r="H85" s="60">
        <f>2924.11281+42.6+874.34844</f>
        <v>3841.0612499999997</v>
      </c>
      <c r="I85" s="60">
        <f t="shared" si="11"/>
        <v>99.921641454812899</v>
      </c>
      <c r="J85" s="33">
        <f>2835.369+44.4+856.281</f>
        <v>3736.05</v>
      </c>
      <c r="K85" s="74">
        <f t="shared" si="9"/>
        <v>-3636.1283585451874</v>
      </c>
    </row>
    <row r="86" spans="1:11" ht="24" customHeight="1" x14ac:dyDescent="0.2">
      <c r="A86" s="5" t="s">
        <v>86</v>
      </c>
      <c r="B86" s="4" t="s">
        <v>256</v>
      </c>
      <c r="C86" s="4" t="s">
        <v>81</v>
      </c>
      <c r="D86" s="4" t="s">
        <v>68</v>
      </c>
      <c r="E86" s="4" t="s">
        <v>85</v>
      </c>
      <c r="F86" s="4"/>
      <c r="G86" s="60">
        <f>G87+G88</f>
        <v>1973.22163</v>
      </c>
      <c r="H86" s="60">
        <f>H87+H88</f>
        <v>1973.22163</v>
      </c>
      <c r="I86" s="60">
        <f t="shared" si="11"/>
        <v>100</v>
      </c>
      <c r="K86" s="74">
        <f t="shared" si="9"/>
        <v>100</v>
      </c>
    </row>
    <row r="87" spans="1:11" ht="24" customHeight="1" x14ac:dyDescent="0.2">
      <c r="A87" s="5" t="s">
        <v>47</v>
      </c>
      <c r="B87" s="4" t="s">
        <v>256</v>
      </c>
      <c r="C87" s="4" t="s">
        <v>81</v>
      </c>
      <c r="D87" s="4" t="s">
        <v>68</v>
      </c>
      <c r="E87" s="4" t="s">
        <v>85</v>
      </c>
      <c r="F87" s="4" t="s">
        <v>51</v>
      </c>
      <c r="G87" s="60">
        <v>1958.1376299999999</v>
      </c>
      <c r="H87" s="60">
        <v>1958.1376299999999</v>
      </c>
      <c r="I87" s="60">
        <f t="shared" si="11"/>
        <v>100</v>
      </c>
      <c r="J87" s="33">
        <f>1412.62863</f>
        <v>1412.6286299999999</v>
      </c>
      <c r="K87" s="74">
        <f t="shared" si="9"/>
        <v>-1312.6286299999999</v>
      </c>
    </row>
    <row r="88" spans="1:11" ht="24" customHeight="1" x14ac:dyDescent="0.2">
      <c r="A88" s="5" t="s">
        <v>74</v>
      </c>
      <c r="B88" s="4" t="s">
        <v>256</v>
      </c>
      <c r="C88" s="4" t="s">
        <v>81</v>
      </c>
      <c r="D88" s="4" t="s">
        <v>68</v>
      </c>
      <c r="E88" s="4" t="s">
        <v>85</v>
      </c>
      <c r="F88" s="4" t="s">
        <v>84</v>
      </c>
      <c r="G88" s="60">
        <v>15.084</v>
      </c>
      <c r="H88" s="60">
        <f>1.5+13.584</f>
        <v>15.084</v>
      </c>
      <c r="I88" s="60">
        <f t="shared" si="11"/>
        <v>100</v>
      </c>
      <c r="J88" s="33">
        <f>1.5+13.584</f>
        <v>15.084</v>
      </c>
      <c r="K88" s="74">
        <f t="shared" si="9"/>
        <v>84.915999999999997</v>
      </c>
    </row>
    <row r="89" spans="1:11" ht="24" customHeight="1" x14ac:dyDescent="0.2">
      <c r="A89" s="5" t="s">
        <v>450</v>
      </c>
      <c r="B89" s="4" t="s">
        <v>256</v>
      </c>
      <c r="C89" s="4" t="s">
        <v>81</v>
      </c>
      <c r="D89" s="4" t="s">
        <v>68</v>
      </c>
      <c r="E89" s="4" t="s">
        <v>456</v>
      </c>
      <c r="F89" s="4"/>
      <c r="G89" s="60">
        <f>G90</f>
        <v>652.16999999999996</v>
      </c>
      <c r="H89" s="60">
        <f>H90</f>
        <v>652.16999999999996</v>
      </c>
      <c r="I89" s="60">
        <f t="shared" si="11"/>
        <v>100</v>
      </c>
      <c r="K89" s="74">
        <f t="shared" si="9"/>
        <v>100</v>
      </c>
    </row>
    <row r="90" spans="1:11" ht="24" customHeight="1" x14ac:dyDescent="0.2">
      <c r="A90" s="5" t="s">
        <v>38</v>
      </c>
      <c r="B90" s="4" t="s">
        <v>256</v>
      </c>
      <c r="C90" s="4" t="s">
        <v>81</v>
      </c>
      <c r="D90" s="4" t="s">
        <v>68</v>
      </c>
      <c r="E90" s="4" t="s">
        <v>456</v>
      </c>
      <c r="F90" s="4" t="s">
        <v>34</v>
      </c>
      <c r="G90" s="60">
        <v>652.16999999999996</v>
      </c>
      <c r="H90" s="60">
        <f>500.897+151.273</f>
        <v>652.16999999999996</v>
      </c>
      <c r="I90" s="60">
        <f t="shared" si="11"/>
        <v>100</v>
      </c>
      <c r="J90" s="33">
        <f>379.213+114.524</f>
        <v>493.73700000000002</v>
      </c>
      <c r="K90" s="74">
        <f t="shared" si="9"/>
        <v>-393.73700000000002</v>
      </c>
    </row>
    <row r="91" spans="1:11" ht="72" customHeight="1" x14ac:dyDescent="0.2">
      <c r="A91" s="5" t="s">
        <v>425</v>
      </c>
      <c r="B91" s="4" t="s">
        <v>256</v>
      </c>
      <c r="C91" s="4" t="s">
        <v>81</v>
      </c>
      <c r="D91" s="4" t="s">
        <v>68</v>
      </c>
      <c r="E91" s="4" t="s">
        <v>508</v>
      </c>
      <c r="F91" s="4"/>
      <c r="G91" s="60">
        <f>G92+G97+G99</f>
        <v>7868.86</v>
      </c>
      <c r="H91" s="60">
        <f>H92+H97+H99</f>
        <v>7868.86</v>
      </c>
      <c r="I91" s="60">
        <f t="shared" si="11"/>
        <v>100</v>
      </c>
      <c r="K91" s="74">
        <f t="shared" ref="K91:K110" si="13">I91-J91</f>
        <v>100</v>
      </c>
    </row>
    <row r="92" spans="1:11" ht="33" customHeight="1" x14ac:dyDescent="0.2">
      <c r="A92" s="73" t="s">
        <v>423</v>
      </c>
      <c r="B92" s="4" t="s">
        <v>256</v>
      </c>
      <c r="C92" s="4" t="s">
        <v>81</v>
      </c>
      <c r="D92" s="4" t="s">
        <v>68</v>
      </c>
      <c r="E92" s="4" t="s">
        <v>424</v>
      </c>
      <c r="F92" s="4"/>
      <c r="G92" s="60">
        <f>G93+G95</f>
        <v>1862.991</v>
      </c>
      <c r="H92" s="60">
        <f>H93+H95</f>
        <v>1862.991</v>
      </c>
      <c r="I92" s="60">
        <f t="shared" si="11"/>
        <v>100</v>
      </c>
      <c r="K92" s="74">
        <f t="shared" si="13"/>
        <v>100</v>
      </c>
    </row>
    <row r="93" spans="1:11" ht="33.75" customHeight="1" x14ac:dyDescent="0.2">
      <c r="A93" s="5" t="s">
        <v>446</v>
      </c>
      <c r="B93" s="4" t="s">
        <v>256</v>
      </c>
      <c r="C93" s="4" t="s">
        <v>81</v>
      </c>
      <c r="D93" s="4" t="s">
        <v>68</v>
      </c>
      <c r="E93" s="4" t="s">
        <v>83</v>
      </c>
      <c r="F93" s="4"/>
      <c r="G93" s="60">
        <f>G94</f>
        <v>982.83</v>
      </c>
      <c r="H93" s="60">
        <f>H94</f>
        <v>982.83</v>
      </c>
      <c r="I93" s="60">
        <f t="shared" si="11"/>
        <v>100</v>
      </c>
      <c r="K93" s="74">
        <f t="shared" si="13"/>
        <v>100</v>
      </c>
    </row>
    <row r="94" spans="1:11" ht="23.25" customHeight="1" x14ac:dyDescent="0.2">
      <c r="A94" s="5" t="s">
        <v>38</v>
      </c>
      <c r="B94" s="4" t="s">
        <v>256</v>
      </c>
      <c r="C94" s="4" t="s">
        <v>81</v>
      </c>
      <c r="D94" s="4" t="s">
        <v>68</v>
      </c>
      <c r="E94" s="4" t="s">
        <v>83</v>
      </c>
      <c r="F94" s="4" t="s">
        <v>34</v>
      </c>
      <c r="G94" s="60">
        <v>982.83</v>
      </c>
      <c r="H94" s="60">
        <f>755.98328+226.84672</f>
        <v>982.83</v>
      </c>
      <c r="I94" s="60">
        <f t="shared" si="11"/>
        <v>100</v>
      </c>
      <c r="J94" s="33">
        <f>754.862+227.968</f>
        <v>982.82999999999993</v>
      </c>
      <c r="K94" s="74">
        <f t="shared" si="13"/>
        <v>-882.82999999999993</v>
      </c>
    </row>
    <row r="95" spans="1:11" ht="25.5" customHeight="1" x14ac:dyDescent="0.2">
      <c r="A95" s="5" t="s">
        <v>419</v>
      </c>
      <c r="B95" s="4" t="s">
        <v>256</v>
      </c>
      <c r="C95" s="4" t="s">
        <v>81</v>
      </c>
      <c r="D95" s="4" t="s">
        <v>68</v>
      </c>
      <c r="E95" s="4" t="s">
        <v>82</v>
      </c>
      <c r="F95" s="4"/>
      <c r="G95" s="60">
        <f>G96</f>
        <v>880.16100000000006</v>
      </c>
      <c r="H95" s="60">
        <f>H96</f>
        <v>880.16099999999994</v>
      </c>
      <c r="I95" s="60">
        <f t="shared" si="11"/>
        <v>99.999999999999986</v>
      </c>
      <c r="K95" s="74">
        <f t="shared" si="13"/>
        <v>99.999999999999986</v>
      </c>
    </row>
    <row r="96" spans="1:11" ht="24" customHeight="1" x14ac:dyDescent="0.2">
      <c r="A96" s="5" t="s">
        <v>47</v>
      </c>
      <c r="B96" s="4" t="s">
        <v>256</v>
      </c>
      <c r="C96" s="4" t="s">
        <v>81</v>
      </c>
      <c r="D96" s="4" t="s">
        <v>68</v>
      </c>
      <c r="E96" s="4" t="s">
        <v>82</v>
      </c>
      <c r="F96" s="4" t="s">
        <v>51</v>
      </c>
      <c r="G96" s="60">
        <f>130.161+750</f>
        <v>880.16100000000006</v>
      </c>
      <c r="H96" s="60">
        <v>880.16099999999994</v>
      </c>
      <c r="I96" s="60">
        <f t="shared" si="11"/>
        <v>99.999999999999986</v>
      </c>
      <c r="J96" s="33">
        <v>202.161</v>
      </c>
      <c r="K96" s="74">
        <f t="shared" si="13"/>
        <v>-102.16100000000002</v>
      </c>
    </row>
    <row r="97" spans="1:11" ht="45" customHeight="1" x14ac:dyDescent="0.2">
      <c r="A97" s="5" t="s">
        <v>439</v>
      </c>
      <c r="B97" s="4" t="s">
        <v>256</v>
      </c>
      <c r="C97" s="4" t="s">
        <v>81</v>
      </c>
      <c r="D97" s="4" t="s">
        <v>68</v>
      </c>
      <c r="E97" s="4" t="s">
        <v>80</v>
      </c>
      <c r="F97" s="4"/>
      <c r="G97" s="60">
        <f>G98</f>
        <v>5827.1009999999997</v>
      </c>
      <c r="H97" s="60">
        <f>H98</f>
        <v>5827.1009999999997</v>
      </c>
      <c r="I97" s="60">
        <f t="shared" si="11"/>
        <v>100</v>
      </c>
      <c r="K97" s="74">
        <f t="shared" si="13"/>
        <v>100</v>
      </c>
    </row>
    <row r="98" spans="1:11" ht="41.25" customHeight="1" x14ac:dyDescent="0.2">
      <c r="A98" s="5" t="s">
        <v>38</v>
      </c>
      <c r="B98" s="4" t="s">
        <v>256</v>
      </c>
      <c r="C98" s="4" t="s">
        <v>81</v>
      </c>
      <c r="D98" s="4" t="s">
        <v>68</v>
      </c>
      <c r="E98" s="4" t="s">
        <v>80</v>
      </c>
      <c r="F98" s="4" t="s">
        <v>34</v>
      </c>
      <c r="G98" s="60">
        <v>5827.1009999999997</v>
      </c>
      <c r="H98" s="60">
        <f>4481.99058+1345.11042</f>
        <v>5827.1009999999997</v>
      </c>
      <c r="I98" s="60">
        <f t="shared" si="11"/>
        <v>100</v>
      </c>
      <c r="J98" s="33">
        <f>4375.534+1321.41</f>
        <v>5696.9439999999995</v>
      </c>
      <c r="K98" s="74">
        <f t="shared" si="13"/>
        <v>-5596.9439999999995</v>
      </c>
    </row>
    <row r="99" spans="1:11" ht="24" customHeight="1" x14ac:dyDescent="0.2">
      <c r="A99" s="5" t="s">
        <v>450</v>
      </c>
      <c r="B99" s="4" t="s">
        <v>256</v>
      </c>
      <c r="C99" s="4" t="s">
        <v>81</v>
      </c>
      <c r="D99" s="4" t="s">
        <v>68</v>
      </c>
      <c r="E99" s="4" t="s">
        <v>457</v>
      </c>
      <c r="F99" s="4"/>
      <c r="G99" s="60">
        <f>G100</f>
        <v>178.768</v>
      </c>
      <c r="H99" s="60">
        <f>H100</f>
        <v>178.768</v>
      </c>
      <c r="I99" s="60">
        <f t="shared" si="11"/>
        <v>100</v>
      </c>
      <c r="K99" s="74">
        <f t="shared" si="13"/>
        <v>100</v>
      </c>
    </row>
    <row r="100" spans="1:11" ht="24" customHeight="1" x14ac:dyDescent="0.2">
      <c r="A100" s="5" t="s">
        <v>38</v>
      </c>
      <c r="B100" s="4" t="s">
        <v>256</v>
      </c>
      <c r="C100" s="4" t="s">
        <v>81</v>
      </c>
      <c r="D100" s="4" t="s">
        <v>68</v>
      </c>
      <c r="E100" s="4" t="s">
        <v>457</v>
      </c>
      <c r="F100" s="4" t="s">
        <v>34</v>
      </c>
      <c r="G100" s="60">
        <v>178.768</v>
      </c>
      <c r="H100" s="60">
        <f>137.303+41.465</f>
        <v>178.768</v>
      </c>
      <c r="I100" s="60">
        <f t="shared" si="11"/>
        <v>100</v>
      </c>
      <c r="J100" s="33">
        <f>84.002+25.368</f>
        <v>109.36999999999999</v>
      </c>
      <c r="K100" s="74">
        <f t="shared" si="13"/>
        <v>-9.3699999999999903</v>
      </c>
    </row>
    <row r="101" spans="1:11" ht="21.75" customHeight="1" x14ac:dyDescent="0.2">
      <c r="A101" s="5" t="s">
        <v>46</v>
      </c>
      <c r="B101" s="4" t="s">
        <v>256</v>
      </c>
      <c r="C101" s="4" t="s">
        <v>81</v>
      </c>
      <c r="D101" s="4" t="s">
        <v>68</v>
      </c>
      <c r="E101" s="4" t="s">
        <v>44</v>
      </c>
      <c r="F101" s="4"/>
      <c r="G101" s="89">
        <f>G102</f>
        <v>117</v>
      </c>
      <c r="H101" s="89">
        <f>H102</f>
        <v>117</v>
      </c>
      <c r="I101" s="60">
        <f t="shared" si="11"/>
        <v>100</v>
      </c>
      <c r="K101" s="74">
        <f t="shared" si="13"/>
        <v>100</v>
      </c>
    </row>
    <row r="102" spans="1:11" ht="28.5" customHeight="1" x14ac:dyDescent="0.2">
      <c r="A102" s="5" t="s">
        <v>29</v>
      </c>
      <c r="B102" s="4" t="s">
        <v>256</v>
      </c>
      <c r="C102" s="4" t="s">
        <v>81</v>
      </c>
      <c r="D102" s="4" t="s">
        <v>68</v>
      </c>
      <c r="E102" s="4" t="s">
        <v>44</v>
      </c>
      <c r="F102" s="4" t="s">
        <v>51</v>
      </c>
      <c r="G102" s="89">
        <v>117</v>
      </c>
      <c r="H102" s="89">
        <v>117</v>
      </c>
      <c r="I102" s="60">
        <f t="shared" si="11"/>
        <v>100</v>
      </c>
      <c r="J102" s="74">
        <v>117</v>
      </c>
      <c r="K102" s="74">
        <f t="shared" si="13"/>
        <v>-17</v>
      </c>
    </row>
    <row r="103" spans="1:11" ht="12.75" customHeight="1" x14ac:dyDescent="0.2">
      <c r="A103" s="5" t="s">
        <v>67</v>
      </c>
      <c r="B103" s="4" t="s">
        <v>256</v>
      </c>
      <c r="C103" s="4" t="s">
        <v>54</v>
      </c>
      <c r="D103" s="4"/>
      <c r="E103" s="4"/>
      <c r="F103" s="4"/>
      <c r="G103" s="60">
        <f t="shared" ref="G103:H106" si="14">G104</f>
        <v>2569.1760000000004</v>
      </c>
      <c r="H103" s="60">
        <f t="shared" si="14"/>
        <v>2569.1760000000004</v>
      </c>
      <c r="I103" s="60">
        <f t="shared" si="11"/>
        <v>100</v>
      </c>
      <c r="K103" s="74">
        <f t="shared" si="13"/>
        <v>100</v>
      </c>
    </row>
    <row r="104" spans="1:11" ht="12.75" customHeight="1" x14ac:dyDescent="0.2">
      <c r="A104" s="5" t="s">
        <v>61</v>
      </c>
      <c r="B104" s="4" t="s">
        <v>256</v>
      </c>
      <c r="C104" s="4" t="s">
        <v>54</v>
      </c>
      <c r="D104" s="4" t="s">
        <v>59</v>
      </c>
      <c r="E104" s="4"/>
      <c r="F104" s="4"/>
      <c r="G104" s="60">
        <f t="shared" si="14"/>
        <v>2569.1760000000004</v>
      </c>
      <c r="H104" s="60">
        <f t="shared" si="14"/>
        <v>2569.1760000000004</v>
      </c>
      <c r="I104" s="60">
        <f t="shared" si="11"/>
        <v>100</v>
      </c>
      <c r="K104" s="74">
        <f t="shared" si="13"/>
        <v>100</v>
      </c>
    </row>
    <row r="105" spans="1:11" ht="38.25" customHeight="1" x14ac:dyDescent="0.2">
      <c r="A105" s="5" t="s">
        <v>297</v>
      </c>
      <c r="B105" s="4" t="s">
        <v>256</v>
      </c>
      <c r="C105" s="4" t="s">
        <v>54</v>
      </c>
      <c r="D105" s="4" t="s">
        <v>59</v>
      </c>
      <c r="E105" s="4" t="s">
        <v>60</v>
      </c>
      <c r="F105" s="4"/>
      <c r="G105" s="60">
        <f t="shared" si="14"/>
        <v>2569.1760000000004</v>
      </c>
      <c r="H105" s="60">
        <f t="shared" si="14"/>
        <v>2569.1760000000004</v>
      </c>
      <c r="I105" s="60">
        <f t="shared" si="11"/>
        <v>100</v>
      </c>
      <c r="K105" s="74">
        <f t="shared" si="13"/>
        <v>100</v>
      </c>
    </row>
    <row r="106" spans="1:11" ht="28.5" customHeight="1" x14ac:dyDescent="0.2">
      <c r="A106" s="5" t="s">
        <v>118</v>
      </c>
      <c r="B106" s="4" t="s">
        <v>256</v>
      </c>
      <c r="C106" s="4" t="s">
        <v>54</v>
      </c>
      <c r="D106" s="4" t="s">
        <v>59</v>
      </c>
      <c r="E106" s="4" t="s">
        <v>117</v>
      </c>
      <c r="F106" s="4"/>
      <c r="G106" s="60">
        <f t="shared" si="14"/>
        <v>2569.1760000000004</v>
      </c>
      <c r="H106" s="60">
        <f t="shared" si="14"/>
        <v>2569.1760000000004</v>
      </c>
      <c r="I106" s="60">
        <f t="shared" si="11"/>
        <v>100</v>
      </c>
      <c r="K106" s="74">
        <f t="shared" si="13"/>
        <v>100</v>
      </c>
    </row>
    <row r="107" spans="1:11" ht="60" customHeight="1" x14ac:dyDescent="0.2">
      <c r="A107" s="5" t="s">
        <v>429</v>
      </c>
      <c r="B107" s="4" t="s">
        <v>256</v>
      </c>
      <c r="C107" s="4" t="s">
        <v>54</v>
      </c>
      <c r="D107" s="4" t="s">
        <v>59</v>
      </c>
      <c r="E107" s="4" t="s">
        <v>307</v>
      </c>
      <c r="F107" s="4"/>
      <c r="G107" s="60">
        <f>G109+G108</f>
        <v>2569.1760000000004</v>
      </c>
      <c r="H107" s="60">
        <f>H109+H108</f>
        <v>2569.1760000000004</v>
      </c>
      <c r="I107" s="60">
        <f t="shared" si="11"/>
        <v>100</v>
      </c>
      <c r="K107" s="74">
        <f t="shared" si="13"/>
        <v>100</v>
      </c>
    </row>
    <row r="108" spans="1:11" ht="24" customHeight="1" x14ac:dyDescent="0.2">
      <c r="A108" s="5" t="s">
        <v>47</v>
      </c>
      <c r="B108" s="4" t="s">
        <v>256</v>
      </c>
      <c r="C108" s="4" t="s">
        <v>54</v>
      </c>
      <c r="D108" s="4" t="s">
        <v>59</v>
      </c>
      <c r="E108" s="4" t="s">
        <v>307</v>
      </c>
      <c r="F108" s="4" t="s">
        <v>51</v>
      </c>
      <c r="G108" s="60">
        <v>8.3123299999999993</v>
      </c>
      <c r="H108" s="60">
        <v>8.3123299999999993</v>
      </c>
      <c r="I108" s="60">
        <f t="shared" si="11"/>
        <v>100</v>
      </c>
      <c r="J108" s="33">
        <v>16.11</v>
      </c>
      <c r="K108" s="74">
        <f t="shared" si="13"/>
        <v>83.89</v>
      </c>
    </row>
    <row r="109" spans="1:11" ht="12.75" customHeight="1" x14ac:dyDescent="0.2">
      <c r="A109" s="5" t="s">
        <v>45</v>
      </c>
      <c r="B109" s="4" t="s">
        <v>256</v>
      </c>
      <c r="C109" s="4" t="s">
        <v>54</v>
      </c>
      <c r="D109" s="4" t="s">
        <v>59</v>
      </c>
      <c r="E109" s="4" t="s">
        <v>307</v>
      </c>
      <c r="F109" s="4" t="s">
        <v>43</v>
      </c>
      <c r="G109" s="60">
        <v>2560.8636700000002</v>
      </c>
      <c r="H109" s="60">
        <v>2560.8636700000002</v>
      </c>
      <c r="I109" s="60">
        <f t="shared" si="11"/>
        <v>100</v>
      </c>
      <c r="J109" s="33">
        <v>5352.29</v>
      </c>
      <c r="K109" s="74">
        <f t="shared" si="13"/>
        <v>-5252.29</v>
      </c>
    </row>
    <row r="110" spans="1:11" ht="37.5" customHeight="1" x14ac:dyDescent="0.2">
      <c r="A110" s="57" t="s">
        <v>287</v>
      </c>
      <c r="B110" s="6" t="s">
        <v>254</v>
      </c>
      <c r="C110" s="6"/>
      <c r="D110" s="6"/>
      <c r="E110" s="6"/>
      <c r="F110" s="4"/>
      <c r="G110" s="59">
        <f>G111+G143+G149+G137</f>
        <v>60091.72712000001</v>
      </c>
      <c r="H110" s="59">
        <f t="shared" ref="H110" si="15">H111+H143+H149+H137</f>
        <v>60069.034800000009</v>
      </c>
      <c r="I110" s="59">
        <f t="shared" si="11"/>
        <v>99.96223719788469</v>
      </c>
      <c r="J110" s="33">
        <v>60091.727120000003</v>
      </c>
      <c r="K110" s="74">
        <f t="shared" si="13"/>
        <v>-59991.764882802119</v>
      </c>
    </row>
    <row r="111" spans="1:11" ht="12.75" customHeight="1" x14ac:dyDescent="0.2">
      <c r="A111" s="5" t="s">
        <v>255</v>
      </c>
      <c r="B111" s="4" t="s">
        <v>254</v>
      </c>
      <c r="C111" s="4" t="s">
        <v>15</v>
      </c>
      <c r="D111" s="4"/>
      <c r="E111" s="4"/>
      <c r="F111" s="4"/>
      <c r="G111" s="60">
        <f>G112+G117+G131</f>
        <v>6585.2187300000005</v>
      </c>
      <c r="H111" s="60">
        <f>H112+H117+H131</f>
        <v>6562.5264100000004</v>
      </c>
      <c r="I111" s="60">
        <f t="shared" si="11"/>
        <v>99.655405219926536</v>
      </c>
      <c r="J111" s="74">
        <f>J110-I110</f>
        <v>59991.764882802119</v>
      </c>
    </row>
    <row r="112" spans="1:11" ht="48" customHeight="1" x14ac:dyDescent="0.2">
      <c r="A112" s="5" t="s">
        <v>188</v>
      </c>
      <c r="B112" s="4" t="s">
        <v>254</v>
      </c>
      <c r="C112" s="4" t="s">
        <v>15</v>
      </c>
      <c r="D112" s="4" t="s">
        <v>59</v>
      </c>
      <c r="E112" s="4"/>
      <c r="F112" s="4"/>
      <c r="G112" s="60">
        <f t="shared" ref="G112:H115" si="16">G113</f>
        <v>1423.8528100000001</v>
      </c>
      <c r="H112" s="60">
        <f t="shared" si="16"/>
        <v>1423.8528099999999</v>
      </c>
      <c r="I112" s="60">
        <f t="shared" si="11"/>
        <v>99.999999999999986</v>
      </c>
    </row>
    <row r="113" spans="1:11" ht="77.25" customHeight="1" x14ac:dyDescent="0.2">
      <c r="A113" s="5" t="s">
        <v>308</v>
      </c>
      <c r="B113" s="4" t="s">
        <v>254</v>
      </c>
      <c r="C113" s="4" t="s">
        <v>15</v>
      </c>
      <c r="D113" s="4" t="s">
        <v>59</v>
      </c>
      <c r="E113" s="4" t="s">
        <v>511</v>
      </c>
      <c r="F113" s="4"/>
      <c r="G113" s="60">
        <f t="shared" si="16"/>
        <v>1423.8528100000001</v>
      </c>
      <c r="H113" s="60">
        <f t="shared" si="16"/>
        <v>1423.8528099999999</v>
      </c>
      <c r="I113" s="60">
        <f t="shared" si="11"/>
        <v>99.999999999999986</v>
      </c>
    </row>
    <row r="114" spans="1:11" ht="36" x14ac:dyDescent="0.2">
      <c r="A114" s="5" t="s">
        <v>309</v>
      </c>
      <c r="B114" s="4" t="s">
        <v>254</v>
      </c>
      <c r="C114" s="4" t="s">
        <v>15</v>
      </c>
      <c r="D114" s="4" t="s">
        <v>59</v>
      </c>
      <c r="E114" s="4" t="s">
        <v>310</v>
      </c>
      <c r="F114" s="4"/>
      <c r="G114" s="60">
        <f t="shared" si="16"/>
        <v>1423.8528100000001</v>
      </c>
      <c r="H114" s="60">
        <f t="shared" si="16"/>
        <v>1423.8528099999999</v>
      </c>
      <c r="I114" s="60">
        <f t="shared" si="11"/>
        <v>99.999999999999986</v>
      </c>
    </row>
    <row r="115" spans="1:11" ht="36" customHeight="1" x14ac:dyDescent="0.2">
      <c r="A115" s="5" t="s">
        <v>180</v>
      </c>
      <c r="B115" s="4" t="s">
        <v>254</v>
      </c>
      <c r="C115" s="4" t="s">
        <v>15</v>
      </c>
      <c r="D115" s="4" t="s">
        <v>59</v>
      </c>
      <c r="E115" s="4" t="s">
        <v>178</v>
      </c>
      <c r="F115" s="4"/>
      <c r="G115" s="60">
        <f t="shared" si="16"/>
        <v>1423.8528100000001</v>
      </c>
      <c r="H115" s="60">
        <f t="shared" si="16"/>
        <v>1423.8528099999999</v>
      </c>
      <c r="I115" s="60">
        <f t="shared" si="11"/>
        <v>99.999999999999986</v>
      </c>
    </row>
    <row r="116" spans="1:11" ht="41.25" customHeight="1" x14ac:dyDescent="0.2">
      <c r="A116" s="8" t="s">
        <v>38</v>
      </c>
      <c r="B116" s="4" t="s">
        <v>254</v>
      </c>
      <c r="C116" s="4" t="s">
        <v>15</v>
      </c>
      <c r="D116" s="4" t="s">
        <v>59</v>
      </c>
      <c r="E116" s="4" t="s">
        <v>178</v>
      </c>
      <c r="F116" s="4" t="s">
        <v>34</v>
      </c>
      <c r="G116" s="60">
        <v>1423.8528100000001</v>
      </c>
      <c r="H116" s="60">
        <f>1097.84179+326.01102</f>
        <v>1423.8528099999999</v>
      </c>
      <c r="I116" s="60">
        <f t="shared" si="11"/>
        <v>99.999999999999986</v>
      </c>
      <c r="J116" s="33">
        <f>980+296</f>
        <v>1276</v>
      </c>
      <c r="K116" s="74">
        <f>I116-J116</f>
        <v>-1176</v>
      </c>
    </row>
    <row r="117" spans="1:11" ht="24" customHeight="1" x14ac:dyDescent="0.2">
      <c r="A117" s="5" t="s">
        <v>182</v>
      </c>
      <c r="B117" s="4" t="s">
        <v>254</v>
      </c>
      <c r="C117" s="4" t="s">
        <v>15</v>
      </c>
      <c r="D117" s="4" t="s">
        <v>53</v>
      </c>
      <c r="E117" s="4"/>
      <c r="F117" s="4"/>
      <c r="G117" s="60">
        <f>G118+G127</f>
        <v>5161.3659200000002</v>
      </c>
      <c r="H117" s="60">
        <f t="shared" ref="H117" si="17">H118+H127</f>
        <v>5138.6736000000001</v>
      </c>
      <c r="I117" s="60">
        <f t="shared" si="11"/>
        <v>99.560342739659887</v>
      </c>
    </row>
    <row r="118" spans="1:11" ht="75" customHeight="1" x14ac:dyDescent="0.2">
      <c r="A118" s="5" t="s">
        <v>308</v>
      </c>
      <c r="B118" s="4" t="s">
        <v>254</v>
      </c>
      <c r="C118" s="4" t="s">
        <v>15</v>
      </c>
      <c r="D118" s="4" t="s">
        <v>53</v>
      </c>
      <c r="E118" s="4" t="s">
        <v>511</v>
      </c>
      <c r="F118" s="4"/>
      <c r="G118" s="60">
        <f>G119+G125</f>
        <v>4486.2721799999999</v>
      </c>
      <c r="H118" s="60">
        <f>H119+H125</f>
        <v>4486.1477400000003</v>
      </c>
      <c r="I118" s="60">
        <f t="shared" si="11"/>
        <v>99.997226204853234</v>
      </c>
    </row>
    <row r="119" spans="1:11" ht="36" x14ac:dyDescent="0.2">
      <c r="A119" s="5" t="s">
        <v>309</v>
      </c>
      <c r="B119" s="4" t="s">
        <v>254</v>
      </c>
      <c r="C119" s="4" t="s">
        <v>15</v>
      </c>
      <c r="D119" s="4" t="s">
        <v>53</v>
      </c>
      <c r="E119" s="4" t="s">
        <v>310</v>
      </c>
      <c r="F119" s="4"/>
      <c r="G119" s="60">
        <f>G120+G122</f>
        <v>4303.5041799999999</v>
      </c>
      <c r="H119" s="60">
        <f>H120+H122</f>
        <v>4303.3797400000003</v>
      </c>
      <c r="I119" s="60">
        <f t="shared" si="11"/>
        <v>99.997108402948044</v>
      </c>
    </row>
    <row r="120" spans="1:11" ht="37.5" customHeight="1" x14ac:dyDescent="0.2">
      <c r="A120" s="5" t="s">
        <v>180</v>
      </c>
      <c r="B120" s="4" t="s">
        <v>254</v>
      </c>
      <c r="C120" s="4" t="s">
        <v>15</v>
      </c>
      <c r="D120" s="4" t="s">
        <v>53</v>
      </c>
      <c r="E120" s="4" t="s">
        <v>178</v>
      </c>
      <c r="F120" s="4"/>
      <c r="G120" s="60">
        <f>G121</f>
        <v>3781.3885100000002</v>
      </c>
      <c r="H120" s="60">
        <f>H121</f>
        <v>3781.2725100000002</v>
      </c>
      <c r="I120" s="60">
        <f t="shared" si="11"/>
        <v>99.996932343775484</v>
      </c>
    </row>
    <row r="121" spans="1:11" ht="37.5" customHeight="1" x14ac:dyDescent="0.2">
      <c r="A121" s="8" t="s">
        <v>38</v>
      </c>
      <c r="B121" s="4" t="s">
        <v>254</v>
      </c>
      <c r="C121" s="4" t="s">
        <v>15</v>
      </c>
      <c r="D121" s="4" t="s">
        <v>53</v>
      </c>
      <c r="E121" s="4" t="s">
        <v>178</v>
      </c>
      <c r="F121" s="4" t="s">
        <v>34</v>
      </c>
      <c r="G121" s="60">
        <v>3781.3885100000002</v>
      </c>
      <c r="H121" s="60">
        <f>2890.77761+27.884+862.6109</f>
        <v>3781.2725100000002</v>
      </c>
      <c r="I121" s="60">
        <f t="shared" si="11"/>
        <v>99.996932343775484</v>
      </c>
      <c r="J121" s="33">
        <f>2642+24+797.81</f>
        <v>3463.81</v>
      </c>
      <c r="K121" s="74">
        <f>I121-J121</f>
        <v>-3363.8130676562246</v>
      </c>
    </row>
    <row r="122" spans="1:11" ht="24" customHeight="1" x14ac:dyDescent="0.2">
      <c r="A122" s="5" t="s">
        <v>179</v>
      </c>
      <c r="B122" s="4" t="s">
        <v>254</v>
      </c>
      <c r="C122" s="4" t="s">
        <v>15</v>
      </c>
      <c r="D122" s="4" t="s">
        <v>53</v>
      </c>
      <c r="E122" s="4" t="s">
        <v>290</v>
      </c>
      <c r="F122" s="4"/>
      <c r="G122" s="60">
        <f>G123+G124</f>
        <v>522.11567000000002</v>
      </c>
      <c r="H122" s="60">
        <f>H123+H124</f>
        <v>522.10722999999996</v>
      </c>
      <c r="I122" s="60">
        <f t="shared" si="11"/>
        <v>99.998383499962742</v>
      </c>
    </row>
    <row r="123" spans="1:11" ht="24" customHeight="1" x14ac:dyDescent="0.2">
      <c r="A123" s="5" t="s">
        <v>47</v>
      </c>
      <c r="B123" s="4" t="s">
        <v>254</v>
      </c>
      <c r="C123" s="4" t="s">
        <v>15</v>
      </c>
      <c r="D123" s="4" t="s">
        <v>53</v>
      </c>
      <c r="E123" s="4" t="s">
        <v>290</v>
      </c>
      <c r="F123" s="4" t="s">
        <v>51</v>
      </c>
      <c r="G123" s="60">
        <v>517.90467000000001</v>
      </c>
      <c r="H123" s="60">
        <v>517.90467000000001</v>
      </c>
      <c r="I123" s="60">
        <f t="shared" si="11"/>
        <v>100</v>
      </c>
      <c r="J123" s="33">
        <v>421.4</v>
      </c>
      <c r="K123" s="74">
        <f>I123-J123</f>
        <v>-321.39999999999998</v>
      </c>
    </row>
    <row r="124" spans="1:11" ht="24" customHeight="1" x14ac:dyDescent="0.2">
      <c r="A124" s="5" t="s">
        <v>74</v>
      </c>
      <c r="B124" s="4" t="s">
        <v>254</v>
      </c>
      <c r="C124" s="4" t="s">
        <v>15</v>
      </c>
      <c r="D124" s="4" t="s">
        <v>53</v>
      </c>
      <c r="E124" s="4" t="s">
        <v>290</v>
      </c>
      <c r="F124" s="4" t="s">
        <v>84</v>
      </c>
      <c r="G124" s="60">
        <v>4.2110000000000003</v>
      </c>
      <c r="H124" s="60">
        <f>0.011+4.19156</f>
        <v>4.2025600000000001</v>
      </c>
      <c r="I124" s="60">
        <f t="shared" si="11"/>
        <v>99.799572548088335</v>
      </c>
      <c r="J124" s="33">
        <v>11</v>
      </c>
      <c r="K124" s="74">
        <f>I124-J124</f>
        <v>88.799572548088335</v>
      </c>
    </row>
    <row r="125" spans="1:11" ht="24" customHeight="1" x14ac:dyDescent="0.2">
      <c r="A125" s="5" t="s">
        <v>450</v>
      </c>
      <c r="B125" s="4" t="s">
        <v>254</v>
      </c>
      <c r="C125" s="4" t="s">
        <v>15</v>
      </c>
      <c r="D125" s="4" t="s">
        <v>53</v>
      </c>
      <c r="E125" s="4" t="s">
        <v>460</v>
      </c>
      <c r="F125" s="4"/>
      <c r="G125" s="60">
        <f>G126</f>
        <v>182.768</v>
      </c>
      <c r="H125" s="60">
        <f>H126</f>
        <v>182.768</v>
      </c>
      <c r="I125" s="60">
        <f t="shared" si="11"/>
        <v>100</v>
      </c>
    </row>
    <row r="126" spans="1:11" ht="24" customHeight="1" x14ac:dyDescent="0.2">
      <c r="A126" s="5" t="s">
        <v>38</v>
      </c>
      <c r="B126" s="4" t="s">
        <v>254</v>
      </c>
      <c r="C126" s="4" t="s">
        <v>15</v>
      </c>
      <c r="D126" s="4" t="s">
        <v>53</v>
      </c>
      <c r="E126" s="4" t="s">
        <v>460</v>
      </c>
      <c r="F126" s="4" t="s">
        <v>34</v>
      </c>
      <c r="G126" s="60">
        <v>182.768</v>
      </c>
      <c r="H126" s="60">
        <f>142.23045+40.53755</f>
        <v>182.768</v>
      </c>
      <c r="I126" s="60">
        <f t="shared" si="11"/>
        <v>100</v>
      </c>
      <c r="J126" s="33">
        <f>140.797+41.971</f>
        <v>182.768</v>
      </c>
      <c r="K126" s="74">
        <f>I126-J126</f>
        <v>-82.768000000000001</v>
      </c>
    </row>
    <row r="127" spans="1:11" ht="36" customHeight="1" x14ac:dyDescent="0.2">
      <c r="A127" s="5" t="s">
        <v>311</v>
      </c>
      <c r="B127" s="4" t="s">
        <v>254</v>
      </c>
      <c r="C127" s="4" t="s">
        <v>15</v>
      </c>
      <c r="D127" s="4" t="s">
        <v>53</v>
      </c>
      <c r="E127" s="4" t="s">
        <v>12</v>
      </c>
      <c r="F127" s="4"/>
      <c r="G127" s="60">
        <f t="shared" ref="G127:H129" si="18">G128</f>
        <v>675.09374000000003</v>
      </c>
      <c r="H127" s="60">
        <f t="shared" si="18"/>
        <v>652.52585999999997</v>
      </c>
      <c r="I127" s="60">
        <f t="shared" si="11"/>
        <v>96.657074616037761</v>
      </c>
    </row>
    <row r="128" spans="1:11" ht="48" customHeight="1" x14ac:dyDescent="0.2">
      <c r="A128" s="5" t="s">
        <v>177</v>
      </c>
      <c r="B128" s="4" t="s">
        <v>254</v>
      </c>
      <c r="C128" s="4" t="s">
        <v>15</v>
      </c>
      <c r="D128" s="4" t="s">
        <v>53</v>
      </c>
      <c r="E128" s="4" t="s">
        <v>312</v>
      </c>
      <c r="F128" s="4"/>
      <c r="G128" s="60">
        <f t="shared" si="18"/>
        <v>675.09374000000003</v>
      </c>
      <c r="H128" s="60">
        <f t="shared" si="18"/>
        <v>652.52585999999997</v>
      </c>
      <c r="I128" s="60">
        <f t="shared" si="11"/>
        <v>96.657074616037761</v>
      </c>
    </row>
    <row r="129" spans="1:11" ht="24" customHeight="1" x14ac:dyDescent="0.2">
      <c r="A129" s="5" t="s">
        <v>313</v>
      </c>
      <c r="B129" s="4" t="s">
        <v>254</v>
      </c>
      <c r="C129" s="4" t="s">
        <v>15</v>
      </c>
      <c r="D129" s="4" t="s">
        <v>53</v>
      </c>
      <c r="E129" s="4" t="s">
        <v>266</v>
      </c>
      <c r="F129" s="4"/>
      <c r="G129" s="60">
        <f t="shared" si="18"/>
        <v>675.09374000000003</v>
      </c>
      <c r="H129" s="60">
        <f t="shared" si="18"/>
        <v>652.52585999999997</v>
      </c>
      <c r="I129" s="60">
        <f t="shared" si="11"/>
        <v>96.657074616037761</v>
      </c>
    </row>
    <row r="130" spans="1:11" ht="24" customHeight="1" x14ac:dyDescent="0.2">
      <c r="A130" s="5" t="s">
        <v>47</v>
      </c>
      <c r="B130" s="4" t="s">
        <v>254</v>
      </c>
      <c r="C130" s="4" t="s">
        <v>15</v>
      </c>
      <c r="D130" s="4" t="s">
        <v>53</v>
      </c>
      <c r="E130" s="4" t="s">
        <v>266</v>
      </c>
      <c r="F130" s="4" t="s">
        <v>51</v>
      </c>
      <c r="G130" s="60">
        <v>675.09374000000003</v>
      </c>
      <c r="H130" s="60">
        <v>652.52585999999997</v>
      </c>
      <c r="I130" s="60">
        <f t="shared" si="11"/>
        <v>96.657074616037761</v>
      </c>
      <c r="J130" s="33">
        <v>575.29999999999995</v>
      </c>
      <c r="K130" s="74">
        <f>I130-J130</f>
        <v>-478.64292538396217</v>
      </c>
    </row>
    <row r="131" spans="1:11" ht="12.75" customHeight="1" x14ac:dyDescent="0.2">
      <c r="A131" s="5" t="s">
        <v>167</v>
      </c>
      <c r="B131" s="4" t="s">
        <v>254</v>
      </c>
      <c r="C131" s="4" t="s">
        <v>15</v>
      </c>
      <c r="D131" s="4" t="s">
        <v>37</v>
      </c>
      <c r="E131" s="4"/>
      <c r="F131" s="4"/>
      <c r="G131" s="60">
        <f>G132</f>
        <v>0</v>
      </c>
      <c r="H131" s="60">
        <f>H132</f>
        <v>0</v>
      </c>
      <c r="I131" s="60" t="e">
        <f t="shared" si="11"/>
        <v>#DIV/0!</v>
      </c>
    </row>
    <row r="132" spans="1:11" ht="20.25" customHeight="1" x14ac:dyDescent="0.2">
      <c r="A132" s="5" t="s">
        <v>167</v>
      </c>
      <c r="B132" s="4" t="s">
        <v>254</v>
      </c>
      <c r="C132" s="4" t="s">
        <v>15</v>
      </c>
      <c r="D132" s="4" t="s">
        <v>37</v>
      </c>
      <c r="E132" s="4" t="s">
        <v>314</v>
      </c>
      <c r="F132" s="4"/>
      <c r="G132" s="89">
        <f>G133+G135</f>
        <v>0</v>
      </c>
      <c r="H132" s="89">
        <f>H133+H135</f>
        <v>0</v>
      </c>
      <c r="I132" s="60" t="e">
        <f t="shared" si="11"/>
        <v>#DIV/0!</v>
      </c>
    </row>
    <row r="133" spans="1:11" ht="12.75" customHeight="1" x14ac:dyDescent="0.2">
      <c r="A133" s="5" t="s">
        <v>46</v>
      </c>
      <c r="B133" s="4" t="s">
        <v>254</v>
      </c>
      <c r="C133" s="4" t="s">
        <v>15</v>
      </c>
      <c r="D133" s="4" t="s">
        <v>37</v>
      </c>
      <c r="E133" s="4" t="s">
        <v>44</v>
      </c>
      <c r="F133" s="4"/>
      <c r="G133" s="89">
        <f>G134</f>
        <v>0</v>
      </c>
      <c r="H133" s="89">
        <f>H134</f>
        <v>0</v>
      </c>
      <c r="I133" s="60" t="e">
        <f t="shared" si="11"/>
        <v>#DIV/0!</v>
      </c>
    </row>
    <row r="134" spans="1:11" ht="27.75" customHeight="1" x14ac:dyDescent="0.2">
      <c r="A134" s="5" t="s">
        <v>74</v>
      </c>
      <c r="B134" s="4" t="s">
        <v>254</v>
      </c>
      <c r="C134" s="4" t="s">
        <v>15</v>
      </c>
      <c r="D134" s="4" t="s">
        <v>37</v>
      </c>
      <c r="E134" s="4" t="s">
        <v>44</v>
      </c>
      <c r="F134" s="4" t="s">
        <v>84</v>
      </c>
      <c r="G134" s="89"/>
      <c r="H134" s="89"/>
      <c r="I134" s="60" t="e">
        <f t="shared" si="11"/>
        <v>#DIV/0!</v>
      </c>
      <c r="J134" s="33">
        <v>6.855E-2</v>
      </c>
      <c r="K134" s="74" t="e">
        <f>I134-J134</f>
        <v>#DIV/0!</v>
      </c>
    </row>
    <row r="135" spans="1:11" ht="24" customHeight="1" x14ac:dyDescent="0.2">
      <c r="A135" s="5" t="s">
        <v>418</v>
      </c>
      <c r="B135" s="4" t="s">
        <v>254</v>
      </c>
      <c r="C135" s="4" t="s">
        <v>15</v>
      </c>
      <c r="D135" s="4" t="s">
        <v>37</v>
      </c>
      <c r="E135" s="4" t="s">
        <v>440</v>
      </c>
      <c r="F135" s="4"/>
      <c r="G135" s="89">
        <f>G136</f>
        <v>0</v>
      </c>
      <c r="H135" s="89">
        <f>H136</f>
        <v>0</v>
      </c>
      <c r="I135" s="60" t="e">
        <f t="shared" si="11"/>
        <v>#DIV/0!</v>
      </c>
    </row>
    <row r="136" spans="1:11" ht="24" customHeight="1" x14ac:dyDescent="0.2">
      <c r="A136" s="5" t="s">
        <v>74</v>
      </c>
      <c r="B136" s="4" t="s">
        <v>254</v>
      </c>
      <c r="C136" s="4" t="s">
        <v>15</v>
      </c>
      <c r="D136" s="4" t="s">
        <v>37</v>
      </c>
      <c r="E136" s="4" t="s">
        <v>440</v>
      </c>
      <c r="F136" s="4" t="s">
        <v>84</v>
      </c>
      <c r="G136" s="89"/>
      <c r="H136" s="89"/>
      <c r="I136" s="60" t="e">
        <f t="shared" si="11"/>
        <v>#DIV/0!</v>
      </c>
      <c r="K136" s="74" t="e">
        <f>I136-J136</f>
        <v>#DIV/0!</v>
      </c>
    </row>
    <row r="137" spans="1:11" ht="15.75" customHeight="1" x14ac:dyDescent="0.2">
      <c r="A137" s="5" t="s">
        <v>120</v>
      </c>
      <c r="B137" s="4" t="s">
        <v>254</v>
      </c>
      <c r="C137" s="4" t="s">
        <v>81</v>
      </c>
      <c r="D137" s="4"/>
      <c r="E137" s="4"/>
      <c r="F137" s="4"/>
      <c r="G137" s="89">
        <f t="shared" ref="G137:H141" si="19">G138</f>
        <v>12</v>
      </c>
      <c r="H137" s="89">
        <f t="shared" si="19"/>
        <v>12</v>
      </c>
      <c r="I137" s="60">
        <f t="shared" si="11"/>
        <v>100</v>
      </c>
    </row>
    <row r="138" spans="1:11" x14ac:dyDescent="0.2">
      <c r="A138" s="80" t="s">
        <v>459</v>
      </c>
      <c r="B138" s="4" t="s">
        <v>254</v>
      </c>
      <c r="C138" s="4" t="s">
        <v>81</v>
      </c>
      <c r="D138" s="4" t="s">
        <v>36</v>
      </c>
      <c r="E138" s="4"/>
      <c r="F138" s="4"/>
      <c r="G138" s="89">
        <f t="shared" si="19"/>
        <v>12</v>
      </c>
      <c r="H138" s="89">
        <f t="shared" si="19"/>
        <v>12</v>
      </c>
      <c r="I138" s="60">
        <f t="shared" ref="I138:I201" si="20">H138/G138*100</f>
        <v>100</v>
      </c>
    </row>
    <row r="139" spans="1:11" ht="60" x14ac:dyDescent="0.2">
      <c r="A139" s="5" t="s">
        <v>311</v>
      </c>
      <c r="B139" s="4" t="s">
        <v>254</v>
      </c>
      <c r="C139" s="4" t="s">
        <v>81</v>
      </c>
      <c r="D139" s="4" t="s">
        <v>36</v>
      </c>
      <c r="E139" s="4" t="s">
        <v>12</v>
      </c>
      <c r="F139" s="4"/>
      <c r="G139" s="89">
        <f t="shared" si="19"/>
        <v>12</v>
      </c>
      <c r="H139" s="89">
        <f t="shared" si="19"/>
        <v>12</v>
      </c>
      <c r="I139" s="60">
        <f t="shared" si="20"/>
        <v>100</v>
      </c>
    </row>
    <row r="140" spans="1:11" ht="48" x14ac:dyDescent="0.2">
      <c r="A140" s="5" t="s">
        <v>177</v>
      </c>
      <c r="B140" s="4" t="s">
        <v>254</v>
      </c>
      <c r="C140" s="4" t="s">
        <v>81</v>
      </c>
      <c r="D140" s="4" t="s">
        <v>36</v>
      </c>
      <c r="E140" s="4" t="s">
        <v>312</v>
      </c>
      <c r="F140" s="4"/>
      <c r="G140" s="89">
        <f t="shared" si="19"/>
        <v>12</v>
      </c>
      <c r="H140" s="89">
        <f t="shared" si="19"/>
        <v>12</v>
      </c>
      <c r="I140" s="60">
        <f t="shared" si="20"/>
        <v>100</v>
      </c>
    </row>
    <row r="141" spans="1:11" ht="24" x14ac:dyDescent="0.2">
      <c r="A141" s="5" t="s">
        <v>313</v>
      </c>
      <c r="B141" s="4" t="s">
        <v>254</v>
      </c>
      <c r="C141" s="4" t="s">
        <v>81</v>
      </c>
      <c r="D141" s="4" t="s">
        <v>36</v>
      </c>
      <c r="E141" s="4" t="s">
        <v>266</v>
      </c>
      <c r="F141" s="4"/>
      <c r="G141" s="89">
        <f t="shared" si="19"/>
        <v>12</v>
      </c>
      <c r="H141" s="89">
        <f t="shared" si="19"/>
        <v>12</v>
      </c>
      <c r="I141" s="60">
        <f t="shared" si="20"/>
        <v>100</v>
      </c>
    </row>
    <row r="142" spans="1:11" ht="24" x14ac:dyDescent="0.2">
      <c r="A142" s="5" t="s">
        <v>47</v>
      </c>
      <c r="B142" s="4" t="s">
        <v>254</v>
      </c>
      <c r="C142" s="4" t="s">
        <v>81</v>
      </c>
      <c r="D142" s="4" t="s">
        <v>36</v>
      </c>
      <c r="E142" s="4" t="s">
        <v>266</v>
      </c>
      <c r="F142" s="4" t="s">
        <v>454</v>
      </c>
      <c r="G142" s="89">
        <v>12</v>
      </c>
      <c r="H142" s="89">
        <v>12</v>
      </c>
      <c r="I142" s="60">
        <f t="shared" si="20"/>
        <v>100</v>
      </c>
      <c r="J142" s="33">
        <v>3</v>
      </c>
      <c r="K142" s="74">
        <f>I142-J142</f>
        <v>97</v>
      </c>
    </row>
    <row r="143" spans="1:11" ht="24" customHeight="1" x14ac:dyDescent="0.2">
      <c r="A143" s="5" t="s">
        <v>210</v>
      </c>
      <c r="B143" s="4" t="s">
        <v>254</v>
      </c>
      <c r="C143" s="4" t="s">
        <v>24</v>
      </c>
      <c r="D143" s="4"/>
      <c r="E143" s="4"/>
      <c r="F143" s="4"/>
      <c r="G143" s="60">
        <f t="shared" ref="G143:H147" si="21">G144</f>
        <v>1.28433</v>
      </c>
      <c r="H143" s="60">
        <f t="shared" si="21"/>
        <v>1.28433</v>
      </c>
      <c r="I143" s="60">
        <f t="shared" si="20"/>
        <v>100</v>
      </c>
    </row>
    <row r="144" spans="1:11" ht="24" customHeight="1" x14ac:dyDescent="0.2">
      <c r="A144" s="5" t="s">
        <v>25</v>
      </c>
      <c r="B144" s="4" t="s">
        <v>254</v>
      </c>
      <c r="C144" s="4" t="s">
        <v>24</v>
      </c>
      <c r="D144" s="4" t="s">
        <v>15</v>
      </c>
      <c r="E144" s="4"/>
      <c r="F144" s="4"/>
      <c r="G144" s="60">
        <f t="shared" si="21"/>
        <v>1.28433</v>
      </c>
      <c r="H144" s="60">
        <f t="shared" si="21"/>
        <v>1.28433</v>
      </c>
      <c r="I144" s="60">
        <f t="shared" si="20"/>
        <v>100</v>
      </c>
    </row>
    <row r="145" spans="1:11" ht="60" x14ac:dyDescent="0.2">
      <c r="A145" s="5" t="s">
        <v>311</v>
      </c>
      <c r="B145" s="4" t="s">
        <v>254</v>
      </c>
      <c r="C145" s="4">
        <v>13</v>
      </c>
      <c r="D145" s="4" t="s">
        <v>15</v>
      </c>
      <c r="E145" s="4" t="s">
        <v>12</v>
      </c>
      <c r="F145" s="4"/>
      <c r="G145" s="90">
        <f t="shared" si="21"/>
        <v>1.28433</v>
      </c>
      <c r="H145" s="90">
        <f t="shared" si="21"/>
        <v>1.28433</v>
      </c>
      <c r="I145" s="60">
        <f t="shared" si="20"/>
        <v>100</v>
      </c>
    </row>
    <row r="146" spans="1:11" ht="36" x14ac:dyDescent="0.2">
      <c r="A146" s="5" t="s">
        <v>11</v>
      </c>
      <c r="B146" s="4" t="s">
        <v>254</v>
      </c>
      <c r="C146" s="4">
        <v>13</v>
      </c>
      <c r="D146" s="4" t="s">
        <v>15</v>
      </c>
      <c r="E146" s="4" t="s">
        <v>10</v>
      </c>
      <c r="F146" s="4"/>
      <c r="G146" s="90">
        <f t="shared" si="21"/>
        <v>1.28433</v>
      </c>
      <c r="H146" s="90">
        <f t="shared" si="21"/>
        <v>1.28433</v>
      </c>
      <c r="I146" s="60">
        <f t="shared" si="20"/>
        <v>100</v>
      </c>
    </row>
    <row r="147" spans="1:11" ht="48" x14ac:dyDescent="0.2">
      <c r="A147" s="5" t="s">
        <v>397</v>
      </c>
      <c r="B147" s="4" t="s">
        <v>254</v>
      </c>
      <c r="C147" s="4">
        <v>13</v>
      </c>
      <c r="D147" s="4" t="s">
        <v>15</v>
      </c>
      <c r="E147" s="4" t="s">
        <v>23</v>
      </c>
      <c r="F147" s="4"/>
      <c r="G147" s="90">
        <f t="shared" si="21"/>
        <v>1.28433</v>
      </c>
      <c r="H147" s="90">
        <f t="shared" si="21"/>
        <v>1.28433</v>
      </c>
      <c r="I147" s="60">
        <f t="shared" si="20"/>
        <v>100</v>
      </c>
    </row>
    <row r="148" spans="1:11" ht="24" customHeight="1" x14ac:dyDescent="0.2">
      <c r="A148" s="5" t="s">
        <v>22</v>
      </c>
      <c r="B148" s="4" t="s">
        <v>254</v>
      </c>
      <c r="C148" s="4">
        <v>13</v>
      </c>
      <c r="D148" s="4" t="s">
        <v>15</v>
      </c>
      <c r="E148" s="4" t="s">
        <v>23</v>
      </c>
      <c r="F148" s="4" t="s">
        <v>21</v>
      </c>
      <c r="G148" s="90">
        <v>1.28433</v>
      </c>
      <c r="H148" s="90">
        <v>1.28433</v>
      </c>
      <c r="I148" s="60">
        <f t="shared" si="20"/>
        <v>100</v>
      </c>
      <c r="J148" s="33">
        <v>97</v>
      </c>
      <c r="K148" s="74">
        <f>I148-J148</f>
        <v>3</v>
      </c>
    </row>
    <row r="149" spans="1:11" ht="12.75" customHeight="1" x14ac:dyDescent="0.2">
      <c r="A149" s="5" t="s">
        <v>8</v>
      </c>
      <c r="B149" s="4" t="s">
        <v>254</v>
      </c>
      <c r="C149" s="4"/>
      <c r="D149" s="4"/>
      <c r="E149" s="4"/>
      <c r="F149" s="4"/>
      <c r="G149" s="60">
        <f>G150+G217+G156+G162+G180+G201+G211</f>
        <v>53493.224060000008</v>
      </c>
      <c r="H149" s="60">
        <f>H150+H217+H156+H162+H180+H201+H211</f>
        <v>53493.224060000008</v>
      </c>
      <c r="I149" s="60">
        <f t="shared" si="20"/>
        <v>100</v>
      </c>
    </row>
    <row r="150" spans="1:11" ht="12.75" customHeight="1" x14ac:dyDescent="0.2">
      <c r="A150" s="5" t="s">
        <v>157</v>
      </c>
      <c r="B150" s="4" t="s">
        <v>254</v>
      </c>
      <c r="C150" s="4" t="s">
        <v>27</v>
      </c>
      <c r="D150" s="4" t="s">
        <v>19</v>
      </c>
      <c r="E150" s="4"/>
      <c r="F150" s="4"/>
      <c r="G150" s="60">
        <f t="shared" ref="G150:H154" si="22">G151</f>
        <v>888.8</v>
      </c>
      <c r="H150" s="60">
        <f t="shared" si="22"/>
        <v>888.8</v>
      </c>
      <c r="I150" s="60">
        <f t="shared" si="20"/>
        <v>100</v>
      </c>
    </row>
    <row r="151" spans="1:11" ht="12.75" customHeight="1" x14ac:dyDescent="0.2">
      <c r="A151" s="5" t="s">
        <v>156</v>
      </c>
      <c r="B151" s="4" t="s">
        <v>254</v>
      </c>
      <c r="C151" s="4" t="s">
        <v>27</v>
      </c>
      <c r="D151" s="4" t="s">
        <v>6</v>
      </c>
      <c r="E151" s="4"/>
      <c r="F151" s="4"/>
      <c r="G151" s="60">
        <f t="shared" si="22"/>
        <v>888.8</v>
      </c>
      <c r="H151" s="60">
        <f t="shared" si="22"/>
        <v>888.8</v>
      </c>
      <c r="I151" s="60">
        <f t="shared" si="20"/>
        <v>100</v>
      </c>
    </row>
    <row r="152" spans="1:11" ht="24" customHeight="1" x14ac:dyDescent="0.2">
      <c r="A152" s="5" t="s">
        <v>294</v>
      </c>
      <c r="B152" s="4" t="s">
        <v>254</v>
      </c>
      <c r="C152" s="4" t="s">
        <v>27</v>
      </c>
      <c r="D152" s="4" t="s">
        <v>6</v>
      </c>
      <c r="E152" s="4" t="s">
        <v>12</v>
      </c>
      <c r="F152" s="4"/>
      <c r="G152" s="60">
        <f t="shared" si="22"/>
        <v>888.8</v>
      </c>
      <c r="H152" s="60">
        <f t="shared" si="22"/>
        <v>888.8</v>
      </c>
      <c r="I152" s="60">
        <f t="shared" si="20"/>
        <v>100</v>
      </c>
    </row>
    <row r="153" spans="1:11" ht="24" customHeight="1" x14ac:dyDescent="0.2">
      <c r="A153" s="5" t="s">
        <v>177</v>
      </c>
      <c r="B153" s="4" t="s">
        <v>254</v>
      </c>
      <c r="C153" s="4" t="s">
        <v>27</v>
      </c>
      <c r="D153" s="4" t="s">
        <v>6</v>
      </c>
      <c r="E153" s="4" t="s">
        <v>312</v>
      </c>
      <c r="F153" s="4"/>
      <c r="G153" s="60">
        <f t="shared" si="22"/>
        <v>888.8</v>
      </c>
      <c r="H153" s="60">
        <f t="shared" si="22"/>
        <v>888.8</v>
      </c>
      <c r="I153" s="60">
        <f t="shared" si="20"/>
        <v>100</v>
      </c>
    </row>
    <row r="154" spans="1:11" ht="24" customHeight="1" x14ac:dyDescent="0.2">
      <c r="A154" s="5" t="s">
        <v>430</v>
      </c>
      <c r="B154" s="4" t="s">
        <v>254</v>
      </c>
      <c r="C154" s="4" t="s">
        <v>27</v>
      </c>
      <c r="D154" s="4" t="s">
        <v>6</v>
      </c>
      <c r="E154" s="4" t="s">
        <v>155</v>
      </c>
      <c r="F154" s="4"/>
      <c r="G154" s="60">
        <f t="shared" si="22"/>
        <v>888.8</v>
      </c>
      <c r="H154" s="60">
        <f t="shared" si="22"/>
        <v>888.8</v>
      </c>
      <c r="I154" s="60">
        <f t="shared" si="20"/>
        <v>100</v>
      </c>
    </row>
    <row r="155" spans="1:11" ht="12.75" customHeight="1" x14ac:dyDescent="0.2">
      <c r="A155" s="5" t="s">
        <v>8</v>
      </c>
      <c r="B155" s="4" t="s">
        <v>254</v>
      </c>
      <c r="C155" s="4" t="s">
        <v>27</v>
      </c>
      <c r="D155" s="4" t="s">
        <v>6</v>
      </c>
      <c r="E155" s="4" t="s">
        <v>155</v>
      </c>
      <c r="F155" s="4" t="s">
        <v>5</v>
      </c>
      <c r="G155" s="60">
        <v>888.8</v>
      </c>
      <c r="H155" s="60">
        <v>888.8</v>
      </c>
      <c r="I155" s="60">
        <f t="shared" si="20"/>
        <v>100</v>
      </c>
      <c r="J155" s="33">
        <v>826.4</v>
      </c>
      <c r="K155" s="74">
        <f>I155-J155</f>
        <v>-726.4</v>
      </c>
    </row>
    <row r="156" spans="1:11" ht="30" customHeight="1" x14ac:dyDescent="0.2">
      <c r="A156" s="5" t="s">
        <v>154</v>
      </c>
      <c r="B156" s="4" t="s">
        <v>254</v>
      </c>
      <c r="C156" s="4" t="s">
        <v>6</v>
      </c>
      <c r="D156" s="4"/>
      <c r="E156" s="4"/>
      <c r="F156" s="4"/>
      <c r="G156" s="60">
        <f t="shared" ref="G156:H160" si="23">G157</f>
        <v>667</v>
      </c>
      <c r="H156" s="60">
        <f t="shared" si="23"/>
        <v>667</v>
      </c>
      <c r="I156" s="60">
        <f t="shared" si="20"/>
        <v>100</v>
      </c>
    </row>
    <row r="157" spans="1:11" ht="12.75" customHeight="1" x14ac:dyDescent="0.2">
      <c r="A157" s="5" t="s">
        <v>461</v>
      </c>
      <c r="B157" s="4" t="s">
        <v>254</v>
      </c>
      <c r="C157" s="4" t="s">
        <v>6</v>
      </c>
      <c r="D157" s="4" t="s">
        <v>54</v>
      </c>
      <c r="E157" s="4"/>
      <c r="F157" s="4"/>
      <c r="G157" s="60">
        <f t="shared" si="23"/>
        <v>667</v>
      </c>
      <c r="H157" s="60">
        <f t="shared" si="23"/>
        <v>667</v>
      </c>
      <c r="I157" s="60">
        <f t="shared" si="20"/>
        <v>100</v>
      </c>
    </row>
    <row r="158" spans="1:11" ht="60" customHeight="1" x14ac:dyDescent="0.2">
      <c r="A158" s="8" t="s">
        <v>311</v>
      </c>
      <c r="B158" s="4" t="s">
        <v>254</v>
      </c>
      <c r="C158" s="4" t="s">
        <v>6</v>
      </c>
      <c r="D158" s="4" t="s">
        <v>54</v>
      </c>
      <c r="E158" s="4" t="s">
        <v>12</v>
      </c>
      <c r="F158" s="4"/>
      <c r="G158" s="60">
        <f t="shared" si="23"/>
        <v>667</v>
      </c>
      <c r="H158" s="60">
        <f t="shared" si="23"/>
        <v>667</v>
      </c>
      <c r="I158" s="60">
        <f t="shared" si="20"/>
        <v>100</v>
      </c>
    </row>
    <row r="159" spans="1:11" ht="42" customHeight="1" x14ac:dyDescent="0.2">
      <c r="A159" s="8" t="s">
        <v>11</v>
      </c>
      <c r="B159" s="4" t="s">
        <v>254</v>
      </c>
      <c r="C159" s="4" t="s">
        <v>6</v>
      </c>
      <c r="D159" s="4" t="s">
        <v>54</v>
      </c>
      <c r="E159" s="4" t="s">
        <v>10</v>
      </c>
      <c r="F159" s="4"/>
      <c r="G159" s="60">
        <f t="shared" si="23"/>
        <v>667</v>
      </c>
      <c r="H159" s="60">
        <f t="shared" si="23"/>
        <v>667</v>
      </c>
      <c r="I159" s="60">
        <f t="shared" si="20"/>
        <v>100</v>
      </c>
    </row>
    <row r="160" spans="1:11" ht="21" customHeight="1" x14ac:dyDescent="0.2">
      <c r="A160" s="8" t="s">
        <v>9</v>
      </c>
      <c r="B160" s="4" t="s">
        <v>254</v>
      </c>
      <c r="C160" s="4" t="s">
        <v>6</v>
      </c>
      <c r="D160" s="4" t="s">
        <v>54</v>
      </c>
      <c r="E160" s="4" t="s">
        <v>315</v>
      </c>
      <c r="F160" s="4"/>
      <c r="G160" s="60">
        <f t="shared" si="23"/>
        <v>667</v>
      </c>
      <c r="H160" s="60">
        <f t="shared" si="23"/>
        <v>667</v>
      </c>
      <c r="I160" s="60">
        <f t="shared" si="20"/>
        <v>100</v>
      </c>
    </row>
    <row r="161" spans="1:12" ht="12.75" customHeight="1" x14ac:dyDescent="0.2">
      <c r="A161" s="5" t="s">
        <v>8</v>
      </c>
      <c r="B161" s="4" t="s">
        <v>254</v>
      </c>
      <c r="C161" s="4" t="s">
        <v>6</v>
      </c>
      <c r="D161" s="4" t="s">
        <v>54</v>
      </c>
      <c r="E161" s="4" t="s">
        <v>315</v>
      </c>
      <c r="F161" s="4" t="s">
        <v>5</v>
      </c>
      <c r="G161" s="60">
        <v>667</v>
      </c>
      <c r="H161" s="60">
        <v>667</v>
      </c>
      <c r="I161" s="60">
        <f t="shared" si="20"/>
        <v>100</v>
      </c>
      <c r="J161" s="74">
        <v>667</v>
      </c>
      <c r="K161" s="74">
        <f>I161-J161</f>
        <v>-567</v>
      </c>
      <c r="L161" s="74"/>
    </row>
    <row r="162" spans="1:12" ht="12.75" customHeight="1" x14ac:dyDescent="0.2">
      <c r="A162" s="5" t="s">
        <v>143</v>
      </c>
      <c r="B162" s="4" t="s">
        <v>254</v>
      </c>
      <c r="C162" s="4" t="s">
        <v>59</v>
      </c>
      <c r="D162" s="4"/>
      <c r="E162" s="4"/>
      <c r="F162" s="4"/>
      <c r="G162" s="60">
        <f>G163+G173</f>
        <v>6810.5426900000002</v>
      </c>
      <c r="H162" s="60">
        <f>H163+H173</f>
        <v>6810.5426900000002</v>
      </c>
      <c r="I162" s="60">
        <f t="shared" si="20"/>
        <v>100</v>
      </c>
    </row>
    <row r="163" spans="1:12" ht="21" customHeight="1" x14ac:dyDescent="0.2">
      <c r="A163" s="5" t="s">
        <v>137</v>
      </c>
      <c r="B163" s="4" t="s">
        <v>254</v>
      </c>
      <c r="C163" s="4" t="s">
        <v>59</v>
      </c>
      <c r="D163" s="4" t="s">
        <v>68</v>
      </c>
      <c r="E163" s="4"/>
      <c r="F163" s="4"/>
      <c r="G163" s="60">
        <f>G164+G168</f>
        <v>3834.953</v>
      </c>
      <c r="H163" s="60">
        <f>H164+H168</f>
        <v>3834.953</v>
      </c>
      <c r="I163" s="60">
        <f t="shared" si="20"/>
        <v>100</v>
      </c>
    </row>
    <row r="164" spans="1:12" ht="47.25" customHeight="1" x14ac:dyDescent="0.2">
      <c r="A164" s="5" t="s">
        <v>335</v>
      </c>
      <c r="B164" s="4" t="s">
        <v>254</v>
      </c>
      <c r="C164" s="4" t="s">
        <v>59</v>
      </c>
      <c r="D164" s="4" t="s">
        <v>68</v>
      </c>
      <c r="E164" s="4" t="s">
        <v>121</v>
      </c>
      <c r="F164" s="4"/>
      <c r="G164" s="90">
        <f t="shared" ref="G164:H166" si="24">G165</f>
        <v>2309.8000000000002</v>
      </c>
      <c r="H164" s="90">
        <f t="shared" si="24"/>
        <v>2309.8000000000002</v>
      </c>
      <c r="I164" s="60">
        <f t="shared" si="20"/>
        <v>100</v>
      </c>
    </row>
    <row r="165" spans="1:12" ht="24" customHeight="1" x14ac:dyDescent="0.2">
      <c r="A165" s="5" t="s">
        <v>348</v>
      </c>
      <c r="B165" s="4" t="s">
        <v>254</v>
      </c>
      <c r="C165" s="4" t="s">
        <v>59</v>
      </c>
      <c r="D165" s="4" t="s">
        <v>68</v>
      </c>
      <c r="E165" s="4" t="s">
        <v>349</v>
      </c>
      <c r="F165" s="4"/>
      <c r="G165" s="90">
        <f t="shared" si="24"/>
        <v>2309.8000000000002</v>
      </c>
      <c r="H165" s="90">
        <f t="shared" si="24"/>
        <v>2309.8000000000002</v>
      </c>
      <c r="I165" s="60">
        <f t="shared" si="20"/>
        <v>100</v>
      </c>
    </row>
    <row r="166" spans="1:12" ht="36.75" customHeight="1" x14ac:dyDescent="0.2">
      <c r="A166" s="5" t="s">
        <v>351</v>
      </c>
      <c r="B166" s="4" t="s">
        <v>254</v>
      </c>
      <c r="C166" s="4" t="s">
        <v>59</v>
      </c>
      <c r="D166" s="4" t="s">
        <v>68</v>
      </c>
      <c r="E166" s="4" t="s">
        <v>350</v>
      </c>
      <c r="F166" s="4"/>
      <c r="G166" s="90">
        <f t="shared" si="24"/>
        <v>2309.8000000000002</v>
      </c>
      <c r="H166" s="90">
        <f t="shared" si="24"/>
        <v>2309.8000000000002</v>
      </c>
      <c r="I166" s="60">
        <f t="shared" si="20"/>
        <v>100</v>
      </c>
    </row>
    <row r="167" spans="1:12" ht="15" customHeight="1" x14ac:dyDescent="0.2">
      <c r="A167" s="5" t="s">
        <v>8</v>
      </c>
      <c r="B167" s="4" t="s">
        <v>254</v>
      </c>
      <c r="C167" s="4" t="s">
        <v>59</v>
      </c>
      <c r="D167" s="4" t="s">
        <v>68</v>
      </c>
      <c r="E167" s="4" t="s">
        <v>350</v>
      </c>
      <c r="F167" s="4" t="s">
        <v>5</v>
      </c>
      <c r="G167" s="90">
        <v>2309.8000000000002</v>
      </c>
      <c r="H167" s="90">
        <v>2309.8000000000002</v>
      </c>
      <c r="I167" s="60">
        <f t="shared" si="20"/>
        <v>100</v>
      </c>
      <c r="J167" s="33">
        <v>2309.8000000000002</v>
      </c>
      <c r="K167" s="74">
        <f>I167-J167</f>
        <v>-2209.8000000000002</v>
      </c>
    </row>
    <row r="168" spans="1:12" ht="15" customHeight="1" x14ac:dyDescent="0.2">
      <c r="A168" s="5" t="s">
        <v>167</v>
      </c>
      <c r="B168" s="4" t="s">
        <v>254</v>
      </c>
      <c r="C168" s="4" t="s">
        <v>59</v>
      </c>
      <c r="D168" s="4" t="s">
        <v>68</v>
      </c>
      <c r="E168" s="4" t="s">
        <v>314</v>
      </c>
      <c r="F168" s="4"/>
      <c r="G168" s="90">
        <f>G169+G171</f>
        <v>1525.1529999999998</v>
      </c>
      <c r="H168" s="90">
        <f>H169+H171</f>
        <v>1525.1529999999998</v>
      </c>
      <c r="I168" s="60">
        <f t="shared" si="20"/>
        <v>100</v>
      </c>
    </row>
    <row r="169" spans="1:12" ht="24" customHeight="1" x14ac:dyDescent="0.2">
      <c r="A169" s="5" t="s">
        <v>481</v>
      </c>
      <c r="B169" s="4" t="s">
        <v>254</v>
      </c>
      <c r="C169" s="4" t="s">
        <v>59</v>
      </c>
      <c r="D169" s="4" t="s">
        <v>68</v>
      </c>
      <c r="E169" s="4" t="s">
        <v>536</v>
      </c>
      <c r="F169" s="4"/>
      <c r="G169" s="90">
        <f>G170</f>
        <v>1326.5619999999999</v>
      </c>
      <c r="H169" s="90">
        <f>H170</f>
        <v>1326.5619999999999</v>
      </c>
      <c r="I169" s="60">
        <f t="shared" si="20"/>
        <v>100</v>
      </c>
    </row>
    <row r="170" spans="1:12" ht="17.25" customHeight="1" x14ac:dyDescent="0.2">
      <c r="A170" s="5" t="s">
        <v>8</v>
      </c>
      <c r="B170" s="4" t="s">
        <v>254</v>
      </c>
      <c r="C170" s="4" t="s">
        <v>59</v>
      </c>
      <c r="D170" s="4" t="s">
        <v>68</v>
      </c>
      <c r="E170" s="4" t="s">
        <v>536</v>
      </c>
      <c r="F170" s="4" t="s">
        <v>5</v>
      </c>
      <c r="G170" s="90">
        <v>1326.5619999999999</v>
      </c>
      <c r="H170" s="90">
        <v>1326.5619999999999</v>
      </c>
      <c r="I170" s="60">
        <f t="shared" si="20"/>
        <v>100</v>
      </c>
      <c r="J170" s="33">
        <v>1326.5619999999999</v>
      </c>
      <c r="K170" s="74">
        <f>I170-J170</f>
        <v>-1226.5619999999999</v>
      </c>
    </row>
    <row r="171" spans="1:12" ht="17.25" customHeight="1" x14ac:dyDescent="0.2">
      <c r="A171" s="5" t="s">
        <v>46</v>
      </c>
      <c r="B171" s="4" t="s">
        <v>254</v>
      </c>
      <c r="C171" s="4" t="s">
        <v>59</v>
      </c>
      <c r="D171" s="4" t="s">
        <v>68</v>
      </c>
      <c r="E171" s="4" t="s">
        <v>44</v>
      </c>
      <c r="F171" s="4"/>
      <c r="G171" s="90">
        <f>G172</f>
        <v>198.59100000000001</v>
      </c>
      <c r="H171" s="90">
        <f>H172</f>
        <v>198.59100000000001</v>
      </c>
      <c r="I171" s="60">
        <f t="shared" si="20"/>
        <v>100</v>
      </c>
    </row>
    <row r="172" spans="1:12" ht="17.25" customHeight="1" x14ac:dyDescent="0.2">
      <c r="A172" s="5" t="s">
        <v>8</v>
      </c>
      <c r="B172" s="4" t="s">
        <v>254</v>
      </c>
      <c r="C172" s="4" t="s">
        <v>59</v>
      </c>
      <c r="D172" s="4" t="s">
        <v>68</v>
      </c>
      <c r="E172" s="4" t="s">
        <v>44</v>
      </c>
      <c r="F172" s="4" t="s">
        <v>5</v>
      </c>
      <c r="G172" s="90">
        <v>198.59100000000001</v>
      </c>
      <c r="H172" s="90">
        <v>198.59100000000001</v>
      </c>
      <c r="I172" s="60">
        <f t="shared" si="20"/>
        <v>100</v>
      </c>
      <c r="J172" s="33">
        <v>198.59100000000001</v>
      </c>
      <c r="K172" s="74">
        <f>I172-J172</f>
        <v>-98.591000000000008</v>
      </c>
    </row>
    <row r="173" spans="1:12" ht="17.25" customHeight="1" x14ac:dyDescent="0.2">
      <c r="A173" s="5" t="s">
        <v>234</v>
      </c>
      <c r="B173" s="4" t="s">
        <v>254</v>
      </c>
      <c r="C173" s="4" t="s">
        <v>59</v>
      </c>
      <c r="D173" s="4" t="s">
        <v>28</v>
      </c>
      <c r="E173" s="4"/>
      <c r="F173" s="4"/>
      <c r="G173" s="60">
        <f t="shared" ref="G173:H174" si="25">G174</f>
        <v>2975.5896899999998</v>
      </c>
      <c r="H173" s="60">
        <f t="shared" si="25"/>
        <v>2975.5896899999998</v>
      </c>
      <c r="I173" s="60">
        <f t="shared" si="20"/>
        <v>100</v>
      </c>
    </row>
    <row r="174" spans="1:12" ht="40.5" customHeight="1" x14ac:dyDescent="0.2">
      <c r="A174" s="8" t="s">
        <v>335</v>
      </c>
      <c r="B174" s="4" t="s">
        <v>254</v>
      </c>
      <c r="C174" s="4" t="s">
        <v>59</v>
      </c>
      <c r="D174" s="4" t="s">
        <v>28</v>
      </c>
      <c r="E174" s="4" t="s">
        <v>121</v>
      </c>
      <c r="F174" s="4"/>
      <c r="G174" s="60">
        <f t="shared" si="25"/>
        <v>2975.5896899999998</v>
      </c>
      <c r="H174" s="60">
        <f t="shared" si="25"/>
        <v>2975.5896899999998</v>
      </c>
      <c r="I174" s="60">
        <f t="shared" si="20"/>
        <v>100</v>
      </c>
    </row>
    <row r="175" spans="1:12" ht="27" customHeight="1" x14ac:dyDescent="0.2">
      <c r="A175" s="5" t="s">
        <v>133</v>
      </c>
      <c r="B175" s="4" t="s">
        <v>254</v>
      </c>
      <c r="C175" s="4" t="s">
        <v>59</v>
      </c>
      <c r="D175" s="4" t="s">
        <v>28</v>
      </c>
      <c r="E175" s="4" t="s">
        <v>364</v>
      </c>
      <c r="F175" s="4"/>
      <c r="G175" s="60">
        <f>G176+G178</f>
        <v>2975.5896899999998</v>
      </c>
      <c r="H175" s="60">
        <f>H176+H178</f>
        <v>2975.5896899999998</v>
      </c>
      <c r="I175" s="60">
        <f t="shared" si="20"/>
        <v>100</v>
      </c>
    </row>
    <row r="176" spans="1:12" ht="23.25" customHeight="1" x14ac:dyDescent="0.2">
      <c r="A176" s="5" t="s">
        <v>462</v>
      </c>
      <c r="B176" s="4" t="s">
        <v>254</v>
      </c>
      <c r="C176" s="4" t="s">
        <v>59</v>
      </c>
      <c r="D176" s="4" t="s">
        <v>28</v>
      </c>
      <c r="E176" s="4" t="s">
        <v>365</v>
      </c>
      <c r="F176" s="4"/>
      <c r="G176" s="60">
        <f>G177</f>
        <v>2345.42</v>
      </c>
      <c r="H176" s="60">
        <f>H177</f>
        <v>2345.42</v>
      </c>
      <c r="I176" s="60">
        <f t="shared" si="20"/>
        <v>100</v>
      </c>
    </row>
    <row r="177" spans="1:11" ht="12.75" customHeight="1" x14ac:dyDescent="0.2">
      <c r="A177" s="5" t="s">
        <v>8</v>
      </c>
      <c r="B177" s="4" t="s">
        <v>254</v>
      </c>
      <c r="C177" s="4" t="s">
        <v>59</v>
      </c>
      <c r="D177" s="4" t="s">
        <v>28</v>
      </c>
      <c r="E177" s="4" t="s">
        <v>365</v>
      </c>
      <c r="F177" s="4" t="s">
        <v>5</v>
      </c>
      <c r="G177" s="60">
        <v>2345.42</v>
      </c>
      <c r="H177" s="60">
        <v>2345.42</v>
      </c>
      <c r="I177" s="60">
        <f t="shared" si="20"/>
        <v>100</v>
      </c>
      <c r="J177" s="33">
        <v>590.41999999999996</v>
      </c>
      <c r="K177" s="74">
        <f>I177-J177</f>
        <v>-490.41999999999996</v>
      </c>
    </row>
    <row r="178" spans="1:11" ht="34.5" customHeight="1" x14ac:dyDescent="0.2">
      <c r="A178" s="5" t="s">
        <v>521</v>
      </c>
      <c r="B178" s="4" t="s">
        <v>254</v>
      </c>
      <c r="C178" s="4" t="s">
        <v>59</v>
      </c>
      <c r="D178" s="4" t="s">
        <v>28</v>
      </c>
      <c r="E178" s="4" t="s">
        <v>470</v>
      </c>
      <c r="F178" s="4"/>
      <c r="G178" s="91">
        <f>G179</f>
        <v>630.16968999999995</v>
      </c>
      <c r="H178" s="91">
        <f>H179</f>
        <v>630.16968999999995</v>
      </c>
      <c r="I178" s="60">
        <f t="shared" si="20"/>
        <v>100</v>
      </c>
      <c r="K178" s="74"/>
    </row>
    <row r="179" spans="1:11" ht="19.5" customHeight="1" x14ac:dyDescent="0.2">
      <c r="A179" s="5" t="s">
        <v>8</v>
      </c>
      <c r="B179" s="4" t="s">
        <v>254</v>
      </c>
      <c r="C179" s="4" t="s">
        <v>59</v>
      </c>
      <c r="D179" s="4" t="s">
        <v>28</v>
      </c>
      <c r="E179" s="4" t="s">
        <v>470</v>
      </c>
      <c r="F179" s="4" t="s">
        <v>5</v>
      </c>
      <c r="G179" s="91">
        <v>630.16968999999995</v>
      </c>
      <c r="H179" s="91">
        <v>630.16968999999995</v>
      </c>
      <c r="I179" s="60">
        <f t="shared" si="20"/>
        <v>100</v>
      </c>
      <c r="K179" s="74"/>
    </row>
    <row r="180" spans="1:11" ht="12.75" customHeight="1" x14ac:dyDescent="0.2">
      <c r="A180" s="5" t="s">
        <v>132</v>
      </c>
      <c r="B180" s="4" t="s">
        <v>254</v>
      </c>
      <c r="C180" s="4" t="s">
        <v>36</v>
      </c>
      <c r="D180" s="4"/>
      <c r="E180" s="4"/>
      <c r="F180" s="4"/>
      <c r="G180" s="60">
        <f>G189+G181</f>
        <v>2204.181</v>
      </c>
      <c r="H180" s="60">
        <f>H189+H181</f>
        <v>2204.181</v>
      </c>
      <c r="I180" s="60">
        <f t="shared" si="20"/>
        <v>100</v>
      </c>
    </row>
    <row r="181" spans="1:11" ht="12.75" customHeight="1" x14ac:dyDescent="0.2">
      <c r="A181" s="5" t="s">
        <v>130</v>
      </c>
      <c r="B181" s="4" t="s">
        <v>254</v>
      </c>
      <c r="C181" s="4" t="s">
        <v>36</v>
      </c>
      <c r="D181" s="4" t="s">
        <v>27</v>
      </c>
      <c r="E181" s="4"/>
      <c r="F181" s="4"/>
      <c r="G181" s="60">
        <f>G182+G186</f>
        <v>1126.9470000000001</v>
      </c>
      <c r="H181" s="60">
        <f>H182+H186</f>
        <v>1126.9470000000001</v>
      </c>
      <c r="I181" s="60">
        <f t="shared" si="20"/>
        <v>100</v>
      </c>
    </row>
    <row r="182" spans="1:11" ht="45.75" customHeight="1" x14ac:dyDescent="0.2">
      <c r="A182" s="5" t="s">
        <v>334</v>
      </c>
      <c r="B182" s="4" t="s">
        <v>254</v>
      </c>
      <c r="C182" s="4" t="s">
        <v>36</v>
      </c>
      <c r="D182" s="4" t="s">
        <v>27</v>
      </c>
      <c r="E182" s="4" t="s">
        <v>126</v>
      </c>
      <c r="F182" s="4"/>
      <c r="G182" s="92">
        <f t="shared" ref="G182:H184" si="26">G183</f>
        <v>976.947</v>
      </c>
      <c r="H182" s="92">
        <f t="shared" si="26"/>
        <v>976.947</v>
      </c>
      <c r="I182" s="60">
        <f t="shared" si="20"/>
        <v>100</v>
      </c>
    </row>
    <row r="183" spans="1:11" ht="36" customHeight="1" x14ac:dyDescent="0.2">
      <c r="A183" s="5" t="s">
        <v>125</v>
      </c>
      <c r="B183" s="4" t="s">
        <v>254</v>
      </c>
      <c r="C183" s="4" t="s">
        <v>36</v>
      </c>
      <c r="D183" s="4" t="s">
        <v>27</v>
      </c>
      <c r="E183" s="4" t="s">
        <v>372</v>
      </c>
      <c r="F183" s="4"/>
      <c r="G183" s="92">
        <f t="shared" si="26"/>
        <v>976.947</v>
      </c>
      <c r="H183" s="92">
        <f t="shared" si="26"/>
        <v>976.947</v>
      </c>
      <c r="I183" s="60">
        <f t="shared" si="20"/>
        <v>100</v>
      </c>
    </row>
    <row r="184" spans="1:11" ht="36" customHeight="1" x14ac:dyDescent="0.2">
      <c r="A184" s="5" t="s">
        <v>373</v>
      </c>
      <c r="B184" s="4" t="s">
        <v>254</v>
      </c>
      <c r="C184" s="4" t="s">
        <v>36</v>
      </c>
      <c r="D184" s="4" t="s">
        <v>27</v>
      </c>
      <c r="E184" s="4" t="s">
        <v>374</v>
      </c>
      <c r="F184" s="4"/>
      <c r="G184" s="92">
        <f t="shared" si="26"/>
        <v>976.947</v>
      </c>
      <c r="H184" s="92">
        <f t="shared" si="26"/>
        <v>976.947</v>
      </c>
      <c r="I184" s="60">
        <f t="shared" si="20"/>
        <v>100</v>
      </c>
    </row>
    <row r="185" spans="1:11" ht="17.25" customHeight="1" x14ac:dyDescent="0.2">
      <c r="A185" s="5" t="s">
        <v>8</v>
      </c>
      <c r="B185" s="4" t="s">
        <v>254</v>
      </c>
      <c r="C185" s="4" t="s">
        <v>36</v>
      </c>
      <c r="D185" s="4" t="s">
        <v>27</v>
      </c>
      <c r="E185" s="4" t="s">
        <v>374</v>
      </c>
      <c r="F185" s="4" t="s">
        <v>5</v>
      </c>
      <c r="G185" s="92">
        <v>976.947</v>
      </c>
      <c r="H185" s="92">
        <v>976.947</v>
      </c>
      <c r="I185" s="60">
        <f t="shared" si="20"/>
        <v>100</v>
      </c>
      <c r="J185" s="33">
        <v>520</v>
      </c>
      <c r="K185" s="74">
        <f>I185-J185</f>
        <v>-420</v>
      </c>
    </row>
    <row r="186" spans="1:11" ht="17.25" customHeight="1" x14ac:dyDescent="0.2">
      <c r="A186" s="5" t="s">
        <v>167</v>
      </c>
      <c r="B186" s="4" t="s">
        <v>254</v>
      </c>
      <c r="C186" s="4" t="s">
        <v>36</v>
      </c>
      <c r="D186" s="4" t="s">
        <v>27</v>
      </c>
      <c r="E186" s="4" t="s">
        <v>314</v>
      </c>
      <c r="F186" s="4"/>
      <c r="G186" s="90">
        <f t="shared" ref="G186:H187" si="27">G187</f>
        <v>150</v>
      </c>
      <c r="H186" s="90">
        <f t="shared" si="27"/>
        <v>150</v>
      </c>
      <c r="I186" s="60">
        <f t="shared" si="20"/>
        <v>100</v>
      </c>
    </row>
    <row r="187" spans="1:11" ht="17.25" customHeight="1" x14ac:dyDescent="0.2">
      <c r="A187" s="5" t="s">
        <v>46</v>
      </c>
      <c r="B187" s="4" t="s">
        <v>254</v>
      </c>
      <c r="C187" s="4" t="s">
        <v>36</v>
      </c>
      <c r="D187" s="4" t="s">
        <v>27</v>
      </c>
      <c r="E187" s="4" t="s">
        <v>44</v>
      </c>
      <c r="F187" s="4"/>
      <c r="G187" s="90">
        <f t="shared" si="27"/>
        <v>150</v>
      </c>
      <c r="H187" s="90">
        <f t="shared" si="27"/>
        <v>150</v>
      </c>
      <c r="I187" s="60">
        <f t="shared" si="20"/>
        <v>100</v>
      </c>
    </row>
    <row r="188" spans="1:11" ht="17.25" customHeight="1" x14ac:dyDescent="0.2">
      <c r="A188" s="5" t="s">
        <v>8</v>
      </c>
      <c r="B188" s="4" t="s">
        <v>254</v>
      </c>
      <c r="C188" s="4" t="s">
        <v>36</v>
      </c>
      <c r="D188" s="4" t="s">
        <v>27</v>
      </c>
      <c r="E188" s="4" t="s">
        <v>44</v>
      </c>
      <c r="F188" s="4" t="s">
        <v>5</v>
      </c>
      <c r="G188" s="90">
        <v>150</v>
      </c>
      <c r="H188" s="90">
        <v>150</v>
      </c>
      <c r="I188" s="60">
        <f t="shared" si="20"/>
        <v>100</v>
      </c>
      <c r="J188" s="33">
        <v>150</v>
      </c>
      <c r="K188" s="74">
        <f>I188-J188</f>
        <v>-50</v>
      </c>
    </row>
    <row r="189" spans="1:11" ht="12.75" customHeight="1" x14ac:dyDescent="0.2">
      <c r="A189" s="5" t="s">
        <v>231</v>
      </c>
      <c r="B189" s="4" t="s">
        <v>254</v>
      </c>
      <c r="C189" s="4" t="s">
        <v>36</v>
      </c>
      <c r="D189" s="4" t="s">
        <v>6</v>
      </c>
      <c r="E189" s="4"/>
      <c r="F189" s="4"/>
      <c r="G189" s="60">
        <f>G190+G194</f>
        <v>1077.2339999999999</v>
      </c>
      <c r="H189" s="60">
        <f>H190+H194</f>
        <v>1077.2339999999999</v>
      </c>
      <c r="I189" s="60">
        <f t="shared" si="20"/>
        <v>100</v>
      </c>
    </row>
    <row r="190" spans="1:11" ht="36.75" customHeight="1" x14ac:dyDescent="0.2">
      <c r="A190" s="8" t="s">
        <v>311</v>
      </c>
      <c r="B190" s="4" t="s">
        <v>254</v>
      </c>
      <c r="C190" s="4" t="s">
        <v>36</v>
      </c>
      <c r="D190" s="4" t="s">
        <v>6</v>
      </c>
      <c r="E190" s="4" t="s">
        <v>12</v>
      </c>
      <c r="F190" s="4"/>
      <c r="G190" s="60">
        <f t="shared" ref="G190:H192" si="28">G191</f>
        <v>40</v>
      </c>
      <c r="H190" s="60">
        <f t="shared" si="28"/>
        <v>40</v>
      </c>
      <c r="I190" s="60">
        <f t="shared" si="20"/>
        <v>100</v>
      </c>
    </row>
    <row r="191" spans="1:11" ht="45" customHeight="1" x14ac:dyDescent="0.2">
      <c r="A191" s="8" t="s">
        <v>11</v>
      </c>
      <c r="B191" s="4" t="s">
        <v>254</v>
      </c>
      <c r="C191" s="4" t="s">
        <v>36</v>
      </c>
      <c r="D191" s="4" t="s">
        <v>6</v>
      </c>
      <c r="E191" s="4" t="s">
        <v>10</v>
      </c>
      <c r="F191" s="4"/>
      <c r="G191" s="60">
        <f t="shared" si="28"/>
        <v>40</v>
      </c>
      <c r="H191" s="60">
        <f t="shared" si="28"/>
        <v>40</v>
      </c>
      <c r="I191" s="60">
        <f t="shared" si="20"/>
        <v>100</v>
      </c>
    </row>
    <row r="192" spans="1:11" ht="21.75" customHeight="1" x14ac:dyDescent="0.2">
      <c r="A192" s="8" t="s">
        <v>9</v>
      </c>
      <c r="B192" s="4" t="s">
        <v>254</v>
      </c>
      <c r="C192" s="4" t="s">
        <v>36</v>
      </c>
      <c r="D192" s="4" t="s">
        <v>6</v>
      </c>
      <c r="E192" s="4" t="s">
        <v>315</v>
      </c>
      <c r="F192" s="4"/>
      <c r="G192" s="60">
        <f t="shared" si="28"/>
        <v>40</v>
      </c>
      <c r="H192" s="60">
        <f t="shared" si="28"/>
        <v>40</v>
      </c>
      <c r="I192" s="60">
        <f t="shared" si="20"/>
        <v>100</v>
      </c>
    </row>
    <row r="193" spans="1:11" ht="12.75" customHeight="1" x14ac:dyDescent="0.2">
      <c r="A193" s="5" t="s">
        <v>8</v>
      </c>
      <c r="B193" s="4" t="s">
        <v>254</v>
      </c>
      <c r="C193" s="4" t="s">
        <v>36</v>
      </c>
      <c r="D193" s="4" t="s">
        <v>6</v>
      </c>
      <c r="E193" s="4" t="s">
        <v>315</v>
      </c>
      <c r="F193" s="4" t="s">
        <v>5</v>
      </c>
      <c r="G193" s="60">
        <v>40</v>
      </c>
      <c r="H193" s="60">
        <v>40</v>
      </c>
      <c r="I193" s="60">
        <f t="shared" si="20"/>
        <v>100</v>
      </c>
      <c r="J193" s="33">
        <v>40</v>
      </c>
      <c r="K193" s="74">
        <f>I193-J193</f>
        <v>60</v>
      </c>
    </row>
    <row r="194" spans="1:11" ht="44.25" customHeight="1" x14ac:dyDescent="0.2">
      <c r="A194" s="5" t="s">
        <v>335</v>
      </c>
      <c r="B194" s="4" t="s">
        <v>254</v>
      </c>
      <c r="C194" s="4" t="s">
        <v>36</v>
      </c>
      <c r="D194" s="4" t="s">
        <v>6</v>
      </c>
      <c r="E194" s="4" t="s">
        <v>121</v>
      </c>
      <c r="F194" s="4"/>
      <c r="G194" s="90">
        <f>G195+G198</f>
        <v>1037.2339999999999</v>
      </c>
      <c r="H194" s="90">
        <f>H195+H198</f>
        <v>1037.2339999999999</v>
      </c>
      <c r="I194" s="60">
        <f t="shared" si="20"/>
        <v>100</v>
      </c>
    </row>
    <row r="195" spans="1:11" ht="24" customHeight="1" x14ac:dyDescent="0.2">
      <c r="A195" s="5" t="s">
        <v>269</v>
      </c>
      <c r="B195" s="4" t="s">
        <v>254</v>
      </c>
      <c r="C195" s="4" t="s">
        <v>36</v>
      </c>
      <c r="D195" s="4" t="s">
        <v>6</v>
      </c>
      <c r="E195" s="4" t="s">
        <v>381</v>
      </c>
      <c r="F195" s="4"/>
      <c r="G195" s="90">
        <f t="shared" ref="G195:H196" si="29">G196</f>
        <v>650</v>
      </c>
      <c r="H195" s="90">
        <f t="shared" si="29"/>
        <v>650</v>
      </c>
      <c r="I195" s="60">
        <f t="shared" si="20"/>
        <v>100</v>
      </c>
    </row>
    <row r="196" spans="1:11" ht="24" customHeight="1" x14ac:dyDescent="0.2">
      <c r="A196" s="5" t="s">
        <v>383</v>
      </c>
      <c r="B196" s="4" t="s">
        <v>254</v>
      </c>
      <c r="C196" s="4" t="s">
        <v>36</v>
      </c>
      <c r="D196" s="4" t="s">
        <v>6</v>
      </c>
      <c r="E196" s="4" t="s">
        <v>382</v>
      </c>
      <c r="F196" s="4"/>
      <c r="G196" s="90">
        <f t="shared" si="29"/>
        <v>650</v>
      </c>
      <c r="H196" s="90">
        <f t="shared" si="29"/>
        <v>650</v>
      </c>
      <c r="I196" s="60">
        <f t="shared" si="20"/>
        <v>100</v>
      </c>
    </row>
    <row r="197" spans="1:11" ht="12.75" customHeight="1" x14ac:dyDescent="0.2">
      <c r="A197" s="5" t="s">
        <v>8</v>
      </c>
      <c r="B197" s="4" t="s">
        <v>254</v>
      </c>
      <c r="C197" s="4" t="s">
        <v>36</v>
      </c>
      <c r="D197" s="4" t="s">
        <v>6</v>
      </c>
      <c r="E197" s="4" t="s">
        <v>382</v>
      </c>
      <c r="F197" s="4" t="s">
        <v>5</v>
      </c>
      <c r="G197" s="90">
        <v>650</v>
      </c>
      <c r="H197" s="90">
        <v>650</v>
      </c>
      <c r="I197" s="60">
        <f t="shared" si="20"/>
        <v>100</v>
      </c>
      <c r="J197" s="33">
        <v>480</v>
      </c>
      <c r="K197" s="74">
        <f>I197-J197</f>
        <v>-380</v>
      </c>
    </row>
    <row r="198" spans="1:11" ht="24" customHeight="1" x14ac:dyDescent="0.2">
      <c r="A198" s="5" t="s">
        <v>484</v>
      </c>
      <c r="B198" s="4" t="s">
        <v>254</v>
      </c>
      <c r="C198" s="4" t="s">
        <v>36</v>
      </c>
      <c r="D198" s="4" t="s">
        <v>6</v>
      </c>
      <c r="E198" s="4" t="s">
        <v>482</v>
      </c>
      <c r="F198" s="4"/>
      <c r="G198" s="90">
        <f t="shared" ref="G198:H199" si="30">G199</f>
        <v>387.23399999999998</v>
      </c>
      <c r="H198" s="90">
        <f t="shared" si="30"/>
        <v>387.23399999999998</v>
      </c>
      <c r="I198" s="60">
        <f t="shared" si="20"/>
        <v>100</v>
      </c>
    </row>
    <row r="199" spans="1:11" ht="24" customHeight="1" x14ac:dyDescent="0.2">
      <c r="A199" s="5" t="s">
        <v>485</v>
      </c>
      <c r="B199" s="4" t="s">
        <v>254</v>
      </c>
      <c r="C199" s="4" t="s">
        <v>36</v>
      </c>
      <c r="D199" s="4" t="s">
        <v>6</v>
      </c>
      <c r="E199" s="4" t="s">
        <v>483</v>
      </c>
      <c r="F199" s="4"/>
      <c r="G199" s="90">
        <f t="shared" si="30"/>
        <v>387.23399999999998</v>
      </c>
      <c r="H199" s="90">
        <f t="shared" si="30"/>
        <v>387.23399999999998</v>
      </c>
      <c r="I199" s="60">
        <f t="shared" si="20"/>
        <v>100</v>
      </c>
    </row>
    <row r="200" spans="1:11" ht="13.5" customHeight="1" x14ac:dyDescent="0.2">
      <c r="A200" s="5" t="s">
        <v>8</v>
      </c>
      <c r="B200" s="4" t="s">
        <v>254</v>
      </c>
      <c r="C200" s="4" t="s">
        <v>36</v>
      </c>
      <c r="D200" s="4" t="s">
        <v>6</v>
      </c>
      <c r="E200" s="4" t="s">
        <v>483</v>
      </c>
      <c r="F200" s="4" t="s">
        <v>5</v>
      </c>
      <c r="G200" s="90">
        <v>387.23399999999998</v>
      </c>
      <c r="H200" s="90">
        <v>387.23399999999998</v>
      </c>
      <c r="I200" s="60">
        <f t="shared" si="20"/>
        <v>100</v>
      </c>
      <c r="J200" s="33">
        <v>387.23399999999998</v>
      </c>
      <c r="K200" s="74">
        <f>I200-J200</f>
        <v>-287.23399999999998</v>
      </c>
    </row>
    <row r="201" spans="1:11" ht="12.75" customHeight="1" x14ac:dyDescent="0.2">
      <c r="A201" s="5" t="s">
        <v>78</v>
      </c>
      <c r="B201" s="4" t="s">
        <v>254</v>
      </c>
      <c r="C201" s="4" t="s">
        <v>73</v>
      </c>
      <c r="D201" s="4"/>
      <c r="E201" s="4"/>
      <c r="F201" s="4"/>
      <c r="G201" s="60">
        <f>G202</f>
        <v>1629.7154</v>
      </c>
      <c r="H201" s="60">
        <f>H202</f>
        <v>1629.7154</v>
      </c>
      <c r="I201" s="60">
        <f t="shared" si="20"/>
        <v>100</v>
      </c>
    </row>
    <row r="202" spans="1:11" ht="12.75" customHeight="1" x14ac:dyDescent="0.2">
      <c r="A202" s="5" t="s">
        <v>78</v>
      </c>
      <c r="B202" s="4" t="s">
        <v>254</v>
      </c>
      <c r="C202" s="4" t="s">
        <v>73</v>
      </c>
      <c r="D202" s="4" t="s">
        <v>15</v>
      </c>
      <c r="E202" s="4"/>
      <c r="F202" s="4"/>
      <c r="G202" s="60">
        <f>G203+G207</f>
        <v>1629.7154</v>
      </c>
      <c r="H202" s="60">
        <f>H203+H207</f>
        <v>1629.7154</v>
      </c>
      <c r="I202" s="60">
        <f t="shared" ref="I202:I265" si="31">H202/G202*100</f>
        <v>100</v>
      </c>
    </row>
    <row r="203" spans="1:11" ht="12.75" customHeight="1" x14ac:dyDescent="0.2">
      <c r="A203" s="8" t="s">
        <v>332</v>
      </c>
      <c r="B203" s="4" t="s">
        <v>254</v>
      </c>
      <c r="C203" s="4" t="s">
        <v>73</v>
      </c>
      <c r="D203" s="4" t="s">
        <v>15</v>
      </c>
      <c r="E203" s="4" t="s">
        <v>41</v>
      </c>
      <c r="F203" s="4"/>
      <c r="G203" s="60">
        <f>G204</f>
        <v>968.71640000000002</v>
      </c>
      <c r="H203" s="60">
        <f>H204</f>
        <v>968.71640000000002</v>
      </c>
      <c r="I203" s="60">
        <f t="shared" si="31"/>
        <v>100</v>
      </c>
    </row>
    <row r="204" spans="1:11" ht="12.75" customHeight="1" x14ac:dyDescent="0.2">
      <c r="A204" s="8" t="s">
        <v>40</v>
      </c>
      <c r="B204" s="4" t="s">
        <v>254</v>
      </c>
      <c r="C204" s="4" t="s">
        <v>73</v>
      </c>
      <c r="D204" s="4" t="s">
        <v>15</v>
      </c>
      <c r="E204" s="4" t="s">
        <v>389</v>
      </c>
      <c r="F204" s="4"/>
      <c r="G204" s="60">
        <f>G205</f>
        <v>968.71640000000002</v>
      </c>
      <c r="H204" s="60">
        <f t="shared" ref="H204" si="32">H205</f>
        <v>968.71640000000002</v>
      </c>
      <c r="I204" s="60">
        <f t="shared" si="31"/>
        <v>100</v>
      </c>
    </row>
    <row r="205" spans="1:11" ht="24.75" customHeight="1" x14ac:dyDescent="0.2">
      <c r="A205" s="5" t="s">
        <v>487</v>
      </c>
      <c r="B205" s="4" t="s">
        <v>254</v>
      </c>
      <c r="C205" s="4" t="s">
        <v>73</v>
      </c>
      <c r="D205" s="4" t="s">
        <v>15</v>
      </c>
      <c r="E205" s="4" t="s">
        <v>486</v>
      </c>
      <c r="F205" s="4"/>
      <c r="G205" s="60">
        <f>G206</f>
        <v>968.71640000000002</v>
      </c>
      <c r="H205" s="60">
        <f>H206</f>
        <v>968.71640000000002</v>
      </c>
      <c r="I205" s="60">
        <f t="shared" si="31"/>
        <v>100</v>
      </c>
    </row>
    <row r="206" spans="1:11" ht="15" customHeight="1" x14ac:dyDescent="0.2">
      <c r="A206" s="5" t="s">
        <v>8</v>
      </c>
      <c r="B206" s="4" t="s">
        <v>254</v>
      </c>
      <c r="C206" s="4" t="s">
        <v>73</v>
      </c>
      <c r="D206" s="4" t="s">
        <v>15</v>
      </c>
      <c r="E206" s="4" t="s">
        <v>486</v>
      </c>
      <c r="F206" s="4" t="s">
        <v>5</v>
      </c>
      <c r="G206" s="60">
        <v>968.71640000000002</v>
      </c>
      <c r="H206" s="60">
        <v>968.71640000000002</v>
      </c>
      <c r="I206" s="60">
        <f t="shared" si="31"/>
        <v>100</v>
      </c>
      <c r="J206" s="33">
        <v>745.16300000000001</v>
      </c>
      <c r="K206" s="74">
        <f>I206-J206</f>
        <v>-645.16300000000001</v>
      </c>
    </row>
    <row r="207" spans="1:11" ht="51" customHeight="1" x14ac:dyDescent="0.2">
      <c r="A207" s="8" t="s">
        <v>311</v>
      </c>
      <c r="B207" s="4" t="s">
        <v>254</v>
      </c>
      <c r="C207" s="4" t="s">
        <v>73</v>
      </c>
      <c r="D207" s="4" t="s">
        <v>15</v>
      </c>
      <c r="E207" s="4" t="s">
        <v>12</v>
      </c>
      <c r="F207" s="4"/>
      <c r="G207" s="60">
        <f t="shared" ref="G207:H209" si="33">G208</f>
        <v>660.99900000000002</v>
      </c>
      <c r="H207" s="60">
        <f t="shared" si="33"/>
        <v>660.99900000000002</v>
      </c>
      <c r="I207" s="60">
        <f t="shared" si="31"/>
        <v>100</v>
      </c>
    </row>
    <row r="208" spans="1:11" ht="33.75" customHeight="1" x14ac:dyDescent="0.2">
      <c r="A208" s="8" t="s">
        <v>11</v>
      </c>
      <c r="B208" s="4" t="s">
        <v>254</v>
      </c>
      <c r="C208" s="4" t="s">
        <v>73</v>
      </c>
      <c r="D208" s="4" t="s">
        <v>15</v>
      </c>
      <c r="E208" s="4" t="s">
        <v>10</v>
      </c>
      <c r="F208" s="4"/>
      <c r="G208" s="60">
        <f t="shared" si="33"/>
        <v>660.99900000000002</v>
      </c>
      <c r="H208" s="60">
        <f t="shared" si="33"/>
        <v>660.99900000000002</v>
      </c>
      <c r="I208" s="60">
        <f t="shared" si="31"/>
        <v>100</v>
      </c>
    </row>
    <row r="209" spans="1:11" ht="22.5" customHeight="1" x14ac:dyDescent="0.2">
      <c r="A209" s="5" t="s">
        <v>9</v>
      </c>
      <c r="B209" s="4" t="s">
        <v>254</v>
      </c>
      <c r="C209" s="4" t="s">
        <v>73</v>
      </c>
      <c r="D209" s="4" t="s">
        <v>15</v>
      </c>
      <c r="E209" s="4" t="s">
        <v>315</v>
      </c>
      <c r="F209" s="4"/>
      <c r="G209" s="60">
        <f t="shared" si="33"/>
        <v>660.99900000000002</v>
      </c>
      <c r="H209" s="60">
        <f t="shared" si="33"/>
        <v>660.99900000000002</v>
      </c>
      <c r="I209" s="60">
        <f t="shared" si="31"/>
        <v>100</v>
      </c>
    </row>
    <row r="210" spans="1:11" ht="12.75" customHeight="1" x14ac:dyDescent="0.2">
      <c r="A210" s="5" t="s">
        <v>8</v>
      </c>
      <c r="B210" s="4" t="s">
        <v>254</v>
      </c>
      <c r="C210" s="4" t="s">
        <v>73</v>
      </c>
      <c r="D210" s="4" t="s">
        <v>15</v>
      </c>
      <c r="E210" s="4" t="s">
        <v>315</v>
      </c>
      <c r="F210" s="4" t="s">
        <v>5</v>
      </c>
      <c r="G210" s="60">
        <v>660.99900000000002</v>
      </c>
      <c r="H210" s="60">
        <v>660.99900000000002</v>
      </c>
      <c r="I210" s="60">
        <f t="shared" si="31"/>
        <v>100</v>
      </c>
      <c r="J210" s="33">
        <v>660.99900000000002</v>
      </c>
      <c r="K210" s="74">
        <f>I210-J210</f>
        <v>-560.99900000000002</v>
      </c>
    </row>
    <row r="211" spans="1:11" ht="12.75" customHeight="1" x14ac:dyDescent="0.2">
      <c r="A211" s="5" t="s">
        <v>50</v>
      </c>
      <c r="B211" s="4" t="s">
        <v>254</v>
      </c>
      <c r="C211" s="4" t="s">
        <v>37</v>
      </c>
      <c r="D211" s="4"/>
      <c r="E211" s="4"/>
      <c r="F211" s="4"/>
      <c r="G211" s="60">
        <f t="shared" ref="G211:H215" si="34">G212</f>
        <v>550</v>
      </c>
      <c r="H211" s="60">
        <f t="shared" si="34"/>
        <v>550</v>
      </c>
      <c r="I211" s="60">
        <f t="shared" si="31"/>
        <v>100</v>
      </c>
    </row>
    <row r="212" spans="1:11" ht="12.75" customHeight="1" x14ac:dyDescent="0.2">
      <c r="A212" s="5" t="s">
        <v>49</v>
      </c>
      <c r="B212" s="4" t="s">
        <v>254</v>
      </c>
      <c r="C212" s="4" t="s">
        <v>37</v>
      </c>
      <c r="D212" s="4" t="s">
        <v>15</v>
      </c>
      <c r="E212" s="4"/>
      <c r="F212" s="4"/>
      <c r="G212" s="60">
        <f t="shared" si="34"/>
        <v>550</v>
      </c>
      <c r="H212" s="60">
        <f t="shared" si="34"/>
        <v>550</v>
      </c>
      <c r="I212" s="60">
        <f t="shared" si="31"/>
        <v>100</v>
      </c>
    </row>
    <row r="213" spans="1:11" ht="12.75" customHeight="1" x14ac:dyDescent="0.2">
      <c r="A213" s="8" t="s">
        <v>311</v>
      </c>
      <c r="B213" s="4" t="s">
        <v>254</v>
      </c>
      <c r="C213" s="4" t="s">
        <v>37</v>
      </c>
      <c r="D213" s="4" t="s">
        <v>15</v>
      </c>
      <c r="E213" s="4" t="s">
        <v>12</v>
      </c>
      <c r="F213" s="4"/>
      <c r="G213" s="60">
        <f t="shared" si="34"/>
        <v>550</v>
      </c>
      <c r="H213" s="60">
        <f t="shared" si="34"/>
        <v>550</v>
      </c>
      <c r="I213" s="60">
        <f t="shared" si="31"/>
        <v>100</v>
      </c>
    </row>
    <row r="214" spans="1:11" ht="12.75" customHeight="1" x14ac:dyDescent="0.2">
      <c r="A214" s="8" t="s">
        <v>11</v>
      </c>
      <c r="B214" s="4" t="s">
        <v>254</v>
      </c>
      <c r="C214" s="4" t="s">
        <v>37</v>
      </c>
      <c r="D214" s="4" t="s">
        <v>15</v>
      </c>
      <c r="E214" s="4" t="s">
        <v>10</v>
      </c>
      <c r="F214" s="4"/>
      <c r="G214" s="60">
        <f t="shared" si="34"/>
        <v>550</v>
      </c>
      <c r="H214" s="60">
        <f t="shared" si="34"/>
        <v>550</v>
      </c>
      <c r="I214" s="60">
        <f t="shared" si="31"/>
        <v>100</v>
      </c>
    </row>
    <row r="215" spans="1:11" ht="12.75" customHeight="1" x14ac:dyDescent="0.2">
      <c r="A215" s="5" t="s">
        <v>9</v>
      </c>
      <c r="B215" s="4" t="s">
        <v>254</v>
      </c>
      <c r="C215" s="4" t="s">
        <v>37</v>
      </c>
      <c r="D215" s="4" t="s">
        <v>15</v>
      </c>
      <c r="E215" s="4" t="s">
        <v>315</v>
      </c>
      <c r="F215" s="4"/>
      <c r="G215" s="60">
        <f t="shared" si="34"/>
        <v>550</v>
      </c>
      <c r="H215" s="60">
        <f t="shared" si="34"/>
        <v>550</v>
      </c>
      <c r="I215" s="60">
        <f t="shared" si="31"/>
        <v>100</v>
      </c>
    </row>
    <row r="216" spans="1:11" ht="12.75" customHeight="1" x14ac:dyDescent="0.2">
      <c r="A216" s="5" t="s">
        <v>8</v>
      </c>
      <c r="B216" s="4" t="s">
        <v>254</v>
      </c>
      <c r="C216" s="4" t="s">
        <v>37</v>
      </c>
      <c r="D216" s="4" t="s">
        <v>15</v>
      </c>
      <c r="E216" s="4" t="s">
        <v>315</v>
      </c>
      <c r="F216" s="4" t="s">
        <v>5</v>
      </c>
      <c r="G216" s="60">
        <f>250+300</f>
        <v>550</v>
      </c>
      <c r="H216" s="60">
        <v>550</v>
      </c>
      <c r="I216" s="60">
        <f t="shared" si="31"/>
        <v>100</v>
      </c>
      <c r="J216" s="33">
        <v>550</v>
      </c>
      <c r="K216" s="74">
        <f>I216-J216</f>
        <v>-450</v>
      </c>
    </row>
    <row r="217" spans="1:11" ht="24" customHeight="1" x14ac:dyDescent="0.2">
      <c r="A217" s="5" t="s">
        <v>20</v>
      </c>
      <c r="B217" s="4" t="s">
        <v>254</v>
      </c>
      <c r="C217" s="4" t="s">
        <v>7</v>
      </c>
      <c r="D217" s="4" t="s">
        <v>19</v>
      </c>
      <c r="E217" s="4"/>
      <c r="F217" s="4"/>
      <c r="G217" s="60">
        <f>G218+G225</f>
        <v>40742.984970000005</v>
      </c>
      <c r="H217" s="60">
        <f>H218+H225</f>
        <v>40742.984970000005</v>
      </c>
      <c r="I217" s="60">
        <f t="shared" si="31"/>
        <v>100</v>
      </c>
    </row>
    <row r="218" spans="1:11" ht="24" customHeight="1" x14ac:dyDescent="0.2">
      <c r="A218" s="5" t="s">
        <v>18</v>
      </c>
      <c r="B218" s="4" t="s">
        <v>254</v>
      </c>
      <c r="C218" s="4" t="s">
        <v>7</v>
      </c>
      <c r="D218" s="4" t="s">
        <v>15</v>
      </c>
      <c r="E218" s="4"/>
      <c r="F218" s="4"/>
      <c r="G218" s="60">
        <f t="shared" ref="G218:H219" si="35">G219</f>
        <v>25970</v>
      </c>
      <c r="H218" s="60">
        <f t="shared" si="35"/>
        <v>25970</v>
      </c>
      <c r="I218" s="60">
        <f t="shared" si="31"/>
        <v>100</v>
      </c>
    </row>
    <row r="219" spans="1:11" ht="24" customHeight="1" x14ac:dyDescent="0.2">
      <c r="A219" s="5" t="s">
        <v>311</v>
      </c>
      <c r="B219" s="4" t="s">
        <v>254</v>
      </c>
      <c r="C219" s="4" t="s">
        <v>7</v>
      </c>
      <c r="D219" s="4" t="s">
        <v>15</v>
      </c>
      <c r="E219" s="4" t="s">
        <v>12</v>
      </c>
      <c r="F219" s="4"/>
      <c r="G219" s="90">
        <f t="shared" si="35"/>
        <v>25970</v>
      </c>
      <c r="H219" s="90">
        <f t="shared" si="35"/>
        <v>25970</v>
      </c>
      <c r="I219" s="60">
        <f t="shared" si="31"/>
        <v>100</v>
      </c>
    </row>
    <row r="220" spans="1:11" ht="36" customHeight="1" x14ac:dyDescent="0.2">
      <c r="A220" s="5" t="s">
        <v>11</v>
      </c>
      <c r="B220" s="4" t="s">
        <v>254</v>
      </c>
      <c r="C220" s="4" t="s">
        <v>7</v>
      </c>
      <c r="D220" s="4" t="s">
        <v>15</v>
      </c>
      <c r="E220" s="4" t="s">
        <v>10</v>
      </c>
      <c r="F220" s="4"/>
      <c r="G220" s="90">
        <f>G221+G223</f>
        <v>25970</v>
      </c>
      <c r="H220" s="90">
        <f>H221+H223</f>
        <v>25970</v>
      </c>
      <c r="I220" s="60">
        <f t="shared" si="31"/>
        <v>100</v>
      </c>
    </row>
    <row r="221" spans="1:11" ht="36" customHeight="1" x14ac:dyDescent="0.2">
      <c r="A221" s="5" t="s">
        <v>17</v>
      </c>
      <c r="B221" s="4" t="s">
        <v>254</v>
      </c>
      <c r="C221" s="4" t="s">
        <v>7</v>
      </c>
      <c r="D221" s="4" t="s">
        <v>15</v>
      </c>
      <c r="E221" s="4" t="s">
        <v>16</v>
      </c>
      <c r="F221" s="4"/>
      <c r="G221" s="90">
        <f>G222</f>
        <v>20107</v>
      </c>
      <c r="H221" s="90">
        <f>H222</f>
        <v>20107</v>
      </c>
      <c r="I221" s="60">
        <f t="shared" si="31"/>
        <v>100</v>
      </c>
    </row>
    <row r="222" spans="1:11" ht="12.75" customHeight="1" x14ac:dyDescent="0.2">
      <c r="A222" s="5" t="s">
        <v>8</v>
      </c>
      <c r="B222" s="4" t="s">
        <v>254</v>
      </c>
      <c r="C222" s="4" t="s">
        <v>7</v>
      </c>
      <c r="D222" s="4" t="s">
        <v>15</v>
      </c>
      <c r="E222" s="4" t="s">
        <v>16</v>
      </c>
      <c r="F222" s="4" t="s">
        <v>5</v>
      </c>
      <c r="G222" s="90">
        <v>20107</v>
      </c>
      <c r="H222" s="90">
        <v>20107</v>
      </c>
      <c r="I222" s="60">
        <f t="shared" si="31"/>
        <v>100</v>
      </c>
      <c r="J222" s="33">
        <v>20107</v>
      </c>
      <c r="K222" s="74">
        <f>I222-J222</f>
        <v>-20007</v>
      </c>
    </row>
    <row r="223" spans="1:11" ht="36" customHeight="1" x14ac:dyDescent="0.2">
      <c r="A223" s="5" t="s">
        <v>275</v>
      </c>
      <c r="B223" s="4" t="s">
        <v>254</v>
      </c>
      <c r="C223" s="4" t="s">
        <v>7</v>
      </c>
      <c r="D223" s="4" t="s">
        <v>15</v>
      </c>
      <c r="E223" s="4" t="s">
        <v>14</v>
      </c>
      <c r="F223" s="4"/>
      <c r="G223" s="90">
        <f>G224</f>
        <v>5863</v>
      </c>
      <c r="H223" s="90">
        <f>H224</f>
        <v>5863</v>
      </c>
      <c r="I223" s="60">
        <f t="shared" si="31"/>
        <v>100</v>
      </c>
    </row>
    <row r="224" spans="1:11" ht="12.75" customHeight="1" x14ac:dyDescent="0.2">
      <c r="A224" s="5" t="s">
        <v>8</v>
      </c>
      <c r="B224" s="4" t="s">
        <v>254</v>
      </c>
      <c r="C224" s="4" t="s">
        <v>7</v>
      </c>
      <c r="D224" s="4" t="s">
        <v>15</v>
      </c>
      <c r="E224" s="4" t="s">
        <v>14</v>
      </c>
      <c r="F224" s="4" t="s">
        <v>5</v>
      </c>
      <c r="G224" s="90">
        <v>5863</v>
      </c>
      <c r="H224" s="90">
        <v>5863</v>
      </c>
      <c r="I224" s="60">
        <f t="shared" si="31"/>
        <v>100</v>
      </c>
      <c r="J224" s="33">
        <v>5863</v>
      </c>
      <c r="K224" s="74">
        <f>I224-J224</f>
        <v>-5763</v>
      </c>
    </row>
    <row r="225" spans="1:11" ht="21.75" customHeight="1" x14ac:dyDescent="0.2">
      <c r="A225" s="5" t="s">
        <v>13</v>
      </c>
      <c r="B225" s="4" t="s">
        <v>254</v>
      </c>
      <c r="C225" s="4" t="s">
        <v>7</v>
      </c>
      <c r="D225" s="4" t="s">
        <v>6</v>
      </c>
      <c r="E225" s="4"/>
      <c r="F225" s="4"/>
      <c r="G225" s="60">
        <f>G226+G232</f>
        <v>14772.984970000001</v>
      </c>
      <c r="H225" s="60">
        <f>H226+H232</f>
        <v>14772.984970000001</v>
      </c>
      <c r="I225" s="60">
        <f t="shared" si="31"/>
        <v>100</v>
      </c>
    </row>
    <row r="226" spans="1:11" ht="36" customHeight="1" x14ac:dyDescent="0.2">
      <c r="A226" s="5" t="s">
        <v>311</v>
      </c>
      <c r="B226" s="4" t="s">
        <v>254</v>
      </c>
      <c r="C226" s="4" t="s">
        <v>7</v>
      </c>
      <c r="D226" s="4" t="s">
        <v>6</v>
      </c>
      <c r="E226" s="4" t="s">
        <v>12</v>
      </c>
      <c r="F226" s="4"/>
      <c r="G226" s="93">
        <f>G227</f>
        <v>14572.984970000001</v>
      </c>
      <c r="H226" s="93">
        <f>H227</f>
        <v>14572.984970000001</v>
      </c>
      <c r="I226" s="60">
        <f t="shared" si="31"/>
        <v>100</v>
      </c>
    </row>
    <row r="227" spans="1:11" ht="36" customHeight="1" x14ac:dyDescent="0.2">
      <c r="A227" s="5" t="s">
        <v>11</v>
      </c>
      <c r="B227" s="4" t="s">
        <v>254</v>
      </c>
      <c r="C227" s="4" t="s">
        <v>7</v>
      </c>
      <c r="D227" s="4" t="s">
        <v>6</v>
      </c>
      <c r="E227" s="4" t="s">
        <v>10</v>
      </c>
      <c r="F227" s="4"/>
      <c r="G227" s="93">
        <f>G228+G230</f>
        <v>14572.984970000001</v>
      </c>
      <c r="H227" s="93">
        <f>H228+H230</f>
        <v>14572.984970000001</v>
      </c>
      <c r="I227" s="60">
        <f t="shared" si="31"/>
        <v>100</v>
      </c>
    </row>
    <row r="228" spans="1:11" ht="12.75" customHeight="1" x14ac:dyDescent="0.2">
      <c r="A228" s="5" t="s">
        <v>9</v>
      </c>
      <c r="B228" s="4" t="s">
        <v>254</v>
      </c>
      <c r="C228" s="4" t="s">
        <v>7</v>
      </c>
      <c r="D228" s="4" t="s">
        <v>6</v>
      </c>
      <c r="E228" s="4" t="s">
        <v>315</v>
      </c>
      <c r="F228" s="4"/>
      <c r="G228" s="93">
        <f>G229</f>
        <v>5691.0729700000002</v>
      </c>
      <c r="H228" s="93">
        <f>H229</f>
        <v>5691.0729700000002</v>
      </c>
      <c r="I228" s="60">
        <f t="shared" si="31"/>
        <v>100</v>
      </c>
    </row>
    <row r="229" spans="1:11" ht="12.75" customHeight="1" x14ac:dyDescent="0.2">
      <c r="A229" s="5" t="s">
        <v>8</v>
      </c>
      <c r="B229" s="4" t="s">
        <v>254</v>
      </c>
      <c r="C229" s="4" t="s">
        <v>7</v>
      </c>
      <c r="D229" s="4" t="s">
        <v>6</v>
      </c>
      <c r="E229" s="4" t="s">
        <v>315</v>
      </c>
      <c r="F229" s="4" t="s">
        <v>5</v>
      </c>
      <c r="G229" s="93">
        <v>5691.0729700000002</v>
      </c>
      <c r="H229" s="93">
        <v>5691.0729700000002</v>
      </c>
      <c r="I229" s="60">
        <f t="shared" si="31"/>
        <v>100</v>
      </c>
      <c r="J229" s="33">
        <v>4659.59</v>
      </c>
      <c r="K229" s="74">
        <f>I229-J229</f>
        <v>-4559.59</v>
      </c>
    </row>
    <row r="230" spans="1:11" ht="12.75" customHeight="1" x14ac:dyDescent="0.2">
      <c r="A230" s="8" t="s">
        <v>450</v>
      </c>
      <c r="B230" s="4" t="s">
        <v>254</v>
      </c>
      <c r="C230" s="4" t="s">
        <v>7</v>
      </c>
      <c r="D230" s="4" t="s">
        <v>6</v>
      </c>
      <c r="E230" s="4" t="s">
        <v>466</v>
      </c>
      <c r="F230" s="4"/>
      <c r="G230" s="93">
        <f>G231</f>
        <v>8881.9120000000003</v>
      </c>
      <c r="H230" s="93">
        <f>H231</f>
        <v>8881.9120000000003</v>
      </c>
      <c r="I230" s="60">
        <f t="shared" si="31"/>
        <v>100</v>
      </c>
    </row>
    <row r="231" spans="1:11" ht="12.75" customHeight="1" x14ac:dyDescent="0.2">
      <c r="A231" s="5" t="s">
        <v>8</v>
      </c>
      <c r="B231" s="4" t="s">
        <v>254</v>
      </c>
      <c r="C231" s="4" t="s">
        <v>7</v>
      </c>
      <c r="D231" s="4" t="s">
        <v>6</v>
      </c>
      <c r="E231" s="4" t="s">
        <v>466</v>
      </c>
      <c r="F231" s="4" t="s">
        <v>5</v>
      </c>
      <c r="G231" s="93">
        <v>8881.9120000000003</v>
      </c>
      <c r="H231" s="93">
        <v>8881.9120000000003</v>
      </c>
      <c r="I231" s="60">
        <f t="shared" si="31"/>
        <v>100</v>
      </c>
      <c r="J231" s="33">
        <v>8881.9120000000003</v>
      </c>
      <c r="K231" s="74">
        <f>I231-J231</f>
        <v>-8781.9120000000003</v>
      </c>
    </row>
    <row r="232" spans="1:11" ht="12.75" customHeight="1" x14ac:dyDescent="0.2">
      <c r="A232" s="5" t="s">
        <v>167</v>
      </c>
      <c r="B232" s="4" t="s">
        <v>254</v>
      </c>
      <c r="C232" s="4" t="s">
        <v>7</v>
      </c>
      <c r="D232" s="4" t="s">
        <v>6</v>
      </c>
      <c r="E232" s="4" t="s">
        <v>314</v>
      </c>
      <c r="F232" s="4"/>
      <c r="G232" s="93">
        <f t="shared" ref="G232:H233" si="36">G233</f>
        <v>200</v>
      </c>
      <c r="H232" s="93">
        <f t="shared" si="36"/>
        <v>200</v>
      </c>
      <c r="I232" s="60">
        <f t="shared" si="31"/>
        <v>100</v>
      </c>
    </row>
    <row r="233" spans="1:11" ht="12.75" customHeight="1" x14ac:dyDescent="0.2">
      <c r="A233" s="5" t="s">
        <v>46</v>
      </c>
      <c r="B233" s="4" t="s">
        <v>254</v>
      </c>
      <c r="C233" s="4" t="s">
        <v>7</v>
      </c>
      <c r="D233" s="4" t="s">
        <v>6</v>
      </c>
      <c r="E233" s="4" t="s">
        <v>44</v>
      </c>
      <c r="F233" s="4"/>
      <c r="G233" s="93">
        <f t="shared" si="36"/>
        <v>200</v>
      </c>
      <c r="H233" s="93">
        <f t="shared" si="36"/>
        <v>200</v>
      </c>
      <c r="I233" s="60">
        <f t="shared" si="31"/>
        <v>100</v>
      </c>
    </row>
    <row r="234" spans="1:11" ht="12.75" customHeight="1" x14ac:dyDescent="0.2">
      <c r="A234" s="5" t="s">
        <v>8</v>
      </c>
      <c r="B234" s="4" t="s">
        <v>254</v>
      </c>
      <c r="C234" s="4" t="s">
        <v>7</v>
      </c>
      <c r="D234" s="4" t="s">
        <v>6</v>
      </c>
      <c r="E234" s="4" t="s">
        <v>44</v>
      </c>
      <c r="F234" s="4" t="s">
        <v>5</v>
      </c>
      <c r="G234" s="93">
        <v>200</v>
      </c>
      <c r="H234" s="93">
        <v>200</v>
      </c>
      <c r="I234" s="60">
        <f t="shared" si="31"/>
        <v>100</v>
      </c>
      <c r="J234" s="33">
        <v>200</v>
      </c>
      <c r="K234" s="74">
        <f>I234-J234</f>
        <v>-100</v>
      </c>
    </row>
    <row r="235" spans="1:11" ht="28.5" customHeight="1" x14ac:dyDescent="0.2">
      <c r="A235" s="57" t="s">
        <v>286</v>
      </c>
      <c r="B235" s="6" t="s">
        <v>84</v>
      </c>
      <c r="C235" s="6"/>
      <c r="D235" s="6"/>
      <c r="E235" s="6"/>
      <c r="F235" s="4"/>
      <c r="G235" s="94">
        <f>G236+G308+G333+G393+G435+G462+G490+G498+G454</f>
        <v>108601.13833999999</v>
      </c>
      <c r="H235" s="94">
        <f t="shared" ref="H235" si="37">H236+H308+H333+H393+H435+H462+H490+H498+H454</f>
        <v>96952.929319999996</v>
      </c>
      <c r="I235" s="59">
        <f t="shared" si="31"/>
        <v>89.274321431574052</v>
      </c>
      <c r="J235" s="33">
        <v>108601.19233999999</v>
      </c>
    </row>
    <row r="236" spans="1:11" ht="12.75" customHeight="1" x14ac:dyDescent="0.2">
      <c r="A236" s="5" t="s">
        <v>199</v>
      </c>
      <c r="B236" s="4" t="s">
        <v>84</v>
      </c>
      <c r="C236" s="4" t="s">
        <v>15</v>
      </c>
      <c r="D236" s="4"/>
      <c r="E236" s="4"/>
      <c r="F236" s="4"/>
      <c r="G236" s="60">
        <f>G237+G240+G246+G283+G274+G280+G269</f>
        <v>22792.91259</v>
      </c>
      <c r="H236" s="60">
        <f>H237+H240+H246+H283+H274+H280+H269</f>
        <v>22625.168900000001</v>
      </c>
      <c r="I236" s="60">
        <f t="shared" si="31"/>
        <v>99.264053291400785</v>
      </c>
      <c r="J236" s="74">
        <f>J235-I235</f>
        <v>108511.91801856842</v>
      </c>
    </row>
    <row r="237" spans="1:11" ht="36" customHeight="1" x14ac:dyDescent="0.2">
      <c r="A237" s="5" t="s">
        <v>198</v>
      </c>
      <c r="B237" s="4" t="s">
        <v>84</v>
      </c>
      <c r="C237" s="4" t="s">
        <v>15</v>
      </c>
      <c r="D237" s="4" t="s">
        <v>27</v>
      </c>
      <c r="E237" s="4"/>
      <c r="F237" s="4"/>
      <c r="G237" s="60">
        <f t="shared" ref="G237:H238" si="38">G238</f>
        <v>1612.0890899999999</v>
      </c>
      <c r="H237" s="60">
        <f t="shared" si="38"/>
        <v>1612.0684099999999</v>
      </c>
      <c r="I237" s="60">
        <f t="shared" si="31"/>
        <v>99.99871719248469</v>
      </c>
    </row>
    <row r="238" spans="1:11" ht="24" customHeight="1" x14ac:dyDescent="0.2">
      <c r="A238" s="5" t="s">
        <v>197</v>
      </c>
      <c r="B238" s="4" t="s">
        <v>84</v>
      </c>
      <c r="C238" s="4" t="s">
        <v>15</v>
      </c>
      <c r="D238" s="4" t="s">
        <v>27</v>
      </c>
      <c r="E238" s="4" t="s">
        <v>196</v>
      </c>
      <c r="F238" s="4"/>
      <c r="G238" s="88">
        <f t="shared" si="38"/>
        <v>1612.0890899999999</v>
      </c>
      <c r="H238" s="88">
        <f t="shared" si="38"/>
        <v>1612.0684099999999</v>
      </c>
      <c r="I238" s="60">
        <f t="shared" si="31"/>
        <v>99.99871719248469</v>
      </c>
    </row>
    <row r="239" spans="1:11" ht="60" customHeight="1" x14ac:dyDescent="0.2">
      <c r="A239" s="5" t="s">
        <v>38</v>
      </c>
      <c r="B239" s="4" t="s">
        <v>84</v>
      </c>
      <c r="C239" s="4" t="s">
        <v>15</v>
      </c>
      <c r="D239" s="4" t="s">
        <v>27</v>
      </c>
      <c r="E239" s="4" t="s">
        <v>196</v>
      </c>
      <c r="F239" s="4" t="s">
        <v>34</v>
      </c>
      <c r="G239" s="88">
        <v>1612.0890899999999</v>
      </c>
      <c r="H239" s="88">
        <f>1245.89998+366.16843</f>
        <v>1612.0684099999999</v>
      </c>
      <c r="I239" s="60">
        <f t="shared" si="31"/>
        <v>99.99871719248469</v>
      </c>
      <c r="J239" s="33">
        <f>1245.90069+368.4884</f>
        <v>1614.3890899999999</v>
      </c>
      <c r="K239" s="74">
        <f>I239-J239</f>
        <v>-1514.3903728075152</v>
      </c>
    </row>
    <row r="240" spans="1:11" ht="36" customHeight="1" x14ac:dyDescent="0.2">
      <c r="A240" s="5" t="s">
        <v>195</v>
      </c>
      <c r="B240" s="4" t="s">
        <v>84</v>
      </c>
      <c r="C240" s="4" t="s">
        <v>15</v>
      </c>
      <c r="D240" s="4" t="s">
        <v>6</v>
      </c>
      <c r="E240" s="4"/>
      <c r="F240" s="4"/>
      <c r="G240" s="60">
        <f>G241+G243</f>
        <v>2139.45586</v>
      </c>
      <c r="H240" s="60">
        <f>H241+H243</f>
        <v>2138.4780700000001</v>
      </c>
      <c r="I240" s="60">
        <f t="shared" si="31"/>
        <v>99.954297257621377</v>
      </c>
    </row>
    <row r="241" spans="1:11" ht="24" customHeight="1" x14ac:dyDescent="0.2">
      <c r="A241" s="5" t="s">
        <v>194</v>
      </c>
      <c r="B241" s="4" t="s">
        <v>84</v>
      </c>
      <c r="C241" s="4" t="s">
        <v>15</v>
      </c>
      <c r="D241" s="4" t="s">
        <v>6</v>
      </c>
      <c r="E241" s="4" t="s">
        <v>193</v>
      </c>
      <c r="F241" s="4"/>
      <c r="G241" s="88">
        <f>G242</f>
        <v>1375.8838800000001</v>
      </c>
      <c r="H241" s="88">
        <f>H242</f>
        <v>1375.8781800000002</v>
      </c>
      <c r="I241" s="60">
        <f t="shared" si="31"/>
        <v>99.999585720853133</v>
      </c>
    </row>
    <row r="242" spans="1:11" ht="60" customHeight="1" x14ac:dyDescent="0.2">
      <c r="A242" s="5" t="s">
        <v>38</v>
      </c>
      <c r="B242" s="4" t="s">
        <v>84</v>
      </c>
      <c r="C242" s="4" t="s">
        <v>15</v>
      </c>
      <c r="D242" s="4" t="s">
        <v>6</v>
      </c>
      <c r="E242" s="4" t="s">
        <v>193</v>
      </c>
      <c r="F242" s="4" t="s">
        <v>34</v>
      </c>
      <c r="G242" s="88">
        <v>1375.8838800000001</v>
      </c>
      <c r="H242" s="88">
        <f>1085.50617+290.37201</f>
        <v>1375.8781800000002</v>
      </c>
      <c r="I242" s="60">
        <f t="shared" si="31"/>
        <v>99.999585720853133</v>
      </c>
      <c r="J242" s="33">
        <f>1085.50653+300.71735</f>
        <v>1386.22388</v>
      </c>
      <c r="K242" s="74">
        <f>I242-J242</f>
        <v>-1286.2242942791468</v>
      </c>
    </row>
    <row r="243" spans="1:11" ht="24" customHeight="1" x14ac:dyDescent="0.2">
      <c r="A243" s="5" t="s">
        <v>192</v>
      </c>
      <c r="B243" s="4">
        <v>800</v>
      </c>
      <c r="C243" s="4" t="s">
        <v>15</v>
      </c>
      <c r="D243" s="4" t="s">
        <v>6</v>
      </c>
      <c r="E243" s="4" t="s">
        <v>191</v>
      </c>
      <c r="F243" s="4"/>
      <c r="G243" s="88">
        <f>G244</f>
        <v>763.57198000000005</v>
      </c>
      <c r="H243" s="88">
        <f t="shared" ref="H243" si="39">H244</f>
        <v>762.59988999999996</v>
      </c>
      <c r="I243" s="60">
        <f t="shared" si="31"/>
        <v>99.872691766400322</v>
      </c>
    </row>
    <row r="244" spans="1:11" ht="23.25" customHeight="1" x14ac:dyDescent="0.2">
      <c r="A244" s="5" t="s">
        <v>190</v>
      </c>
      <c r="B244" s="4">
        <v>800</v>
      </c>
      <c r="C244" s="4" t="s">
        <v>15</v>
      </c>
      <c r="D244" s="4" t="s">
        <v>6</v>
      </c>
      <c r="E244" s="4" t="s">
        <v>189</v>
      </c>
      <c r="F244" s="4"/>
      <c r="G244" s="88">
        <f>G245</f>
        <v>763.57198000000005</v>
      </c>
      <c r="H244" s="88">
        <f>H245</f>
        <v>762.59988999999996</v>
      </c>
      <c r="I244" s="60">
        <f t="shared" si="31"/>
        <v>99.872691766400322</v>
      </c>
    </row>
    <row r="245" spans="1:11" ht="60" customHeight="1" x14ac:dyDescent="0.2">
      <c r="A245" s="5" t="s">
        <v>38</v>
      </c>
      <c r="B245" s="4" t="s">
        <v>84</v>
      </c>
      <c r="C245" s="4" t="s">
        <v>15</v>
      </c>
      <c r="D245" s="4" t="s">
        <v>6</v>
      </c>
      <c r="E245" s="4" t="s">
        <v>189</v>
      </c>
      <c r="F245" s="4" t="s">
        <v>34</v>
      </c>
      <c r="G245" s="88">
        <v>763.57198000000005</v>
      </c>
      <c r="H245" s="88">
        <f>391.52876+256.5+114.57113</f>
        <v>762.59988999999996</v>
      </c>
      <c r="I245" s="60">
        <f t="shared" si="31"/>
        <v>99.872691766400322</v>
      </c>
      <c r="J245" s="33">
        <f>307.128+564+92.753</f>
        <v>963.88099999999997</v>
      </c>
      <c r="K245" s="74">
        <f>I245-J245</f>
        <v>-864.00830823359968</v>
      </c>
    </row>
    <row r="246" spans="1:11" ht="48" customHeight="1" x14ac:dyDescent="0.2">
      <c r="A246" s="5" t="s">
        <v>188</v>
      </c>
      <c r="B246" s="4" t="s">
        <v>84</v>
      </c>
      <c r="C246" s="4" t="s">
        <v>15</v>
      </c>
      <c r="D246" s="4" t="s">
        <v>59</v>
      </c>
      <c r="E246" s="4"/>
      <c r="F246" s="4"/>
      <c r="G246" s="88">
        <f>G247+G256+G260+G265</f>
        <v>15855.102289999999</v>
      </c>
      <c r="H246" s="88">
        <f>H247+H256+H260+H265</f>
        <v>15805.781260000002</v>
      </c>
      <c r="I246" s="60">
        <f t="shared" si="31"/>
        <v>99.688926447159503</v>
      </c>
    </row>
    <row r="247" spans="1:11" ht="72" x14ac:dyDescent="0.2">
      <c r="A247" s="5" t="s">
        <v>317</v>
      </c>
      <c r="B247" s="4" t="s">
        <v>84</v>
      </c>
      <c r="C247" s="4" t="s">
        <v>15</v>
      </c>
      <c r="D247" s="4" t="s">
        <v>59</v>
      </c>
      <c r="E247" s="4" t="s">
        <v>187</v>
      </c>
      <c r="F247" s="4"/>
      <c r="G247" s="88">
        <f>G248+G254</f>
        <v>14865.50229</v>
      </c>
      <c r="H247" s="88">
        <f>H248+H254</f>
        <v>14816.481270000002</v>
      </c>
      <c r="I247" s="60">
        <f t="shared" si="31"/>
        <v>99.670236369793074</v>
      </c>
    </row>
    <row r="248" spans="1:11" ht="22.5" customHeight="1" x14ac:dyDescent="0.2">
      <c r="A248" s="5" t="s">
        <v>316</v>
      </c>
      <c r="B248" s="4" t="s">
        <v>84</v>
      </c>
      <c r="C248" s="4" t="s">
        <v>15</v>
      </c>
      <c r="D248" s="4" t="s">
        <v>59</v>
      </c>
      <c r="E248" s="4" t="s">
        <v>318</v>
      </c>
      <c r="F248" s="4"/>
      <c r="G248" s="88">
        <f>G249+G251</f>
        <v>14098.49229</v>
      </c>
      <c r="H248" s="88">
        <f>H249+H251</f>
        <v>14049.471270000002</v>
      </c>
      <c r="I248" s="60">
        <f t="shared" si="31"/>
        <v>99.652296011575871</v>
      </c>
    </row>
    <row r="249" spans="1:11" ht="24" x14ac:dyDescent="0.2">
      <c r="A249" s="5" t="s">
        <v>186</v>
      </c>
      <c r="B249" s="4" t="s">
        <v>84</v>
      </c>
      <c r="C249" s="4" t="s">
        <v>15</v>
      </c>
      <c r="D249" s="4" t="s">
        <v>59</v>
      </c>
      <c r="E249" s="4" t="s">
        <v>185</v>
      </c>
      <c r="F249" s="4"/>
      <c r="G249" s="88">
        <f>G250</f>
        <v>12714.592290000001</v>
      </c>
      <c r="H249" s="88">
        <f>H250</f>
        <v>12689.334050000001</v>
      </c>
      <c r="I249" s="60">
        <f t="shared" si="31"/>
        <v>99.801344475513659</v>
      </c>
    </row>
    <row r="250" spans="1:11" ht="60" x14ac:dyDescent="0.2">
      <c r="A250" s="5" t="s">
        <v>38</v>
      </c>
      <c r="B250" s="4" t="s">
        <v>84</v>
      </c>
      <c r="C250" s="4" t="s">
        <v>15</v>
      </c>
      <c r="D250" s="4" t="s">
        <v>59</v>
      </c>
      <c r="E250" s="4" t="s">
        <v>185</v>
      </c>
      <c r="F250" s="4" t="s">
        <v>34</v>
      </c>
      <c r="G250" s="88">
        <v>12714.592290000001</v>
      </c>
      <c r="H250" s="88">
        <f>9725.53238+74.673+2889.12867</f>
        <v>12689.334050000001</v>
      </c>
      <c r="I250" s="60">
        <f t="shared" si="31"/>
        <v>99.801344475513659</v>
      </c>
      <c r="J250" s="33">
        <f>9691.39695+75+2926.80134</f>
        <v>12693.19829</v>
      </c>
      <c r="K250" s="74">
        <f>I250-J250</f>
        <v>-12593.396945524486</v>
      </c>
    </row>
    <row r="251" spans="1:11" ht="24" x14ac:dyDescent="0.2">
      <c r="A251" s="5" t="s">
        <v>184</v>
      </c>
      <c r="B251" s="4" t="s">
        <v>84</v>
      </c>
      <c r="C251" s="4" t="s">
        <v>15</v>
      </c>
      <c r="D251" s="4" t="s">
        <v>59</v>
      </c>
      <c r="E251" s="4" t="s">
        <v>183</v>
      </c>
      <c r="F251" s="4"/>
      <c r="G251" s="88">
        <f>G252+G253</f>
        <v>1383.9</v>
      </c>
      <c r="H251" s="88">
        <f>H252+H253</f>
        <v>1360.1372200000001</v>
      </c>
      <c r="I251" s="60">
        <f t="shared" si="31"/>
        <v>98.282912060119955</v>
      </c>
    </row>
    <row r="252" spans="1:11" ht="24" x14ac:dyDescent="0.2">
      <c r="A252" s="5" t="s">
        <v>47</v>
      </c>
      <c r="B252" s="4" t="s">
        <v>84</v>
      </c>
      <c r="C252" s="4" t="s">
        <v>15</v>
      </c>
      <c r="D252" s="4" t="s">
        <v>59</v>
      </c>
      <c r="E252" s="4" t="s">
        <v>183</v>
      </c>
      <c r="F252" s="4" t="s">
        <v>51</v>
      </c>
      <c r="G252" s="88">
        <v>937.93</v>
      </c>
      <c r="H252" s="88">
        <v>922.66042000000004</v>
      </c>
      <c r="I252" s="60">
        <f t="shared" si="31"/>
        <v>98.371991513225936</v>
      </c>
      <c r="J252" s="33">
        <v>937.93</v>
      </c>
      <c r="K252" s="74">
        <f>I252-J252</f>
        <v>-839.55800848677404</v>
      </c>
    </row>
    <row r="253" spans="1:11" ht="24" x14ac:dyDescent="0.2">
      <c r="A253" s="5" t="s">
        <v>74</v>
      </c>
      <c r="B253" s="4" t="s">
        <v>84</v>
      </c>
      <c r="C253" s="4" t="s">
        <v>15</v>
      </c>
      <c r="D253" s="4" t="s">
        <v>59</v>
      </c>
      <c r="E253" s="4" t="s">
        <v>183</v>
      </c>
      <c r="F253" s="4" t="s">
        <v>84</v>
      </c>
      <c r="G253" s="88">
        <v>445.97</v>
      </c>
      <c r="H253" s="88">
        <f>67.97+369.5068</f>
        <v>437.47680000000003</v>
      </c>
      <c r="I253" s="60">
        <f t="shared" si="31"/>
        <v>98.095566966387864</v>
      </c>
      <c r="J253" s="33">
        <f>67.97+378</f>
        <v>445.97</v>
      </c>
      <c r="K253" s="74">
        <f>I253-J253</f>
        <v>-347.87443303361215</v>
      </c>
    </row>
    <row r="254" spans="1:11" ht="24" customHeight="1" x14ac:dyDescent="0.2">
      <c r="A254" s="5" t="s">
        <v>450</v>
      </c>
      <c r="B254" s="4" t="s">
        <v>84</v>
      </c>
      <c r="C254" s="4" t="s">
        <v>15</v>
      </c>
      <c r="D254" s="4" t="s">
        <v>59</v>
      </c>
      <c r="E254" s="4" t="s">
        <v>467</v>
      </c>
      <c r="F254" s="4"/>
      <c r="G254" s="60">
        <f>G255</f>
        <v>767.01</v>
      </c>
      <c r="H254" s="60">
        <f>H255</f>
        <v>767.01</v>
      </c>
      <c r="I254" s="60">
        <f t="shared" si="31"/>
        <v>100</v>
      </c>
    </row>
    <row r="255" spans="1:11" ht="24" customHeight="1" x14ac:dyDescent="0.2">
      <c r="A255" s="5" t="s">
        <v>38</v>
      </c>
      <c r="B255" s="4" t="s">
        <v>84</v>
      </c>
      <c r="C255" s="4" t="s">
        <v>15</v>
      </c>
      <c r="D255" s="4" t="s">
        <v>59</v>
      </c>
      <c r="E255" s="4" t="s">
        <v>467</v>
      </c>
      <c r="F255" s="4" t="s">
        <v>34</v>
      </c>
      <c r="G255" s="60">
        <v>767.01</v>
      </c>
      <c r="H255" s="60">
        <f>589.102+177.908</f>
        <v>767.01</v>
      </c>
      <c r="I255" s="60">
        <f t="shared" si="31"/>
        <v>100</v>
      </c>
      <c r="J255" s="33">
        <f>589.102+177.908</f>
        <v>767.01</v>
      </c>
      <c r="K255" s="74">
        <f>I255-J255</f>
        <v>-667.01</v>
      </c>
    </row>
    <row r="256" spans="1:11" ht="60.75" customHeight="1" x14ac:dyDescent="0.2">
      <c r="A256" s="9" t="s">
        <v>319</v>
      </c>
      <c r="B256" s="4" t="s">
        <v>84</v>
      </c>
      <c r="C256" s="4" t="s">
        <v>15</v>
      </c>
      <c r="D256" s="4" t="s">
        <v>59</v>
      </c>
      <c r="E256" s="4" t="s">
        <v>57</v>
      </c>
      <c r="F256" s="4"/>
      <c r="G256" s="95">
        <f t="shared" ref="G256:H258" si="40">G257</f>
        <v>78.3</v>
      </c>
      <c r="H256" s="95">
        <f t="shared" si="40"/>
        <v>78.3</v>
      </c>
      <c r="I256" s="60">
        <f t="shared" si="31"/>
        <v>100</v>
      </c>
    </row>
    <row r="257" spans="1:11" ht="37.5" customHeight="1" x14ac:dyDescent="0.2">
      <c r="A257" s="9" t="s">
        <v>55</v>
      </c>
      <c r="B257" s="4" t="s">
        <v>84</v>
      </c>
      <c r="C257" s="4" t="s">
        <v>15</v>
      </c>
      <c r="D257" s="4" t="s">
        <v>59</v>
      </c>
      <c r="E257" s="4" t="s">
        <v>320</v>
      </c>
      <c r="F257" s="4"/>
      <c r="G257" s="95">
        <f t="shared" si="40"/>
        <v>78.3</v>
      </c>
      <c r="H257" s="95">
        <f t="shared" si="40"/>
        <v>78.3</v>
      </c>
      <c r="I257" s="60">
        <f t="shared" si="31"/>
        <v>100</v>
      </c>
    </row>
    <row r="258" spans="1:11" ht="51" customHeight="1" x14ac:dyDescent="0.2">
      <c r="A258" s="9" t="s">
        <v>431</v>
      </c>
      <c r="B258" s="4" t="s">
        <v>84</v>
      </c>
      <c r="C258" s="4" t="s">
        <v>15</v>
      </c>
      <c r="D258" s="4" t="s">
        <v>59</v>
      </c>
      <c r="E258" s="4" t="s">
        <v>56</v>
      </c>
      <c r="F258" s="4"/>
      <c r="G258" s="95">
        <f t="shared" si="40"/>
        <v>78.3</v>
      </c>
      <c r="H258" s="95">
        <f t="shared" si="40"/>
        <v>78.3</v>
      </c>
      <c r="I258" s="60">
        <f t="shared" si="31"/>
        <v>100</v>
      </c>
    </row>
    <row r="259" spans="1:11" ht="60" customHeight="1" x14ac:dyDescent="0.2">
      <c r="A259" s="5" t="s">
        <v>38</v>
      </c>
      <c r="B259" s="4" t="s">
        <v>84</v>
      </c>
      <c r="C259" s="4" t="s">
        <v>15</v>
      </c>
      <c r="D259" s="4" t="s">
        <v>59</v>
      </c>
      <c r="E259" s="4" t="s">
        <v>56</v>
      </c>
      <c r="F259" s="4" t="s">
        <v>34</v>
      </c>
      <c r="G259" s="95">
        <v>78.3</v>
      </c>
      <c r="H259" s="95">
        <v>78.3</v>
      </c>
      <c r="I259" s="60">
        <f t="shared" si="31"/>
        <v>100</v>
      </c>
      <c r="J259" s="33">
        <f>60.138+18.162</f>
        <v>78.3</v>
      </c>
      <c r="K259" s="74">
        <f>I259-J259</f>
        <v>21.700000000000003</v>
      </c>
    </row>
    <row r="260" spans="1:11" ht="46.5" customHeight="1" x14ac:dyDescent="0.2">
      <c r="A260" s="5" t="s">
        <v>297</v>
      </c>
      <c r="B260" s="4" t="s">
        <v>84</v>
      </c>
      <c r="C260" s="4" t="s">
        <v>15</v>
      </c>
      <c r="D260" s="4" t="s">
        <v>59</v>
      </c>
      <c r="E260" s="4" t="s">
        <v>60</v>
      </c>
      <c r="F260" s="4"/>
      <c r="G260" s="95">
        <f t="shared" ref="G260:H261" si="41">G261</f>
        <v>911</v>
      </c>
      <c r="H260" s="95">
        <f t="shared" si="41"/>
        <v>910.99999000000003</v>
      </c>
      <c r="I260" s="60">
        <f t="shared" si="31"/>
        <v>99.999998902305165</v>
      </c>
    </row>
    <row r="261" spans="1:11" ht="36" customHeight="1" x14ac:dyDescent="0.2">
      <c r="A261" s="5" t="s">
        <v>321</v>
      </c>
      <c r="B261" s="4" t="s">
        <v>84</v>
      </c>
      <c r="C261" s="4" t="s">
        <v>15</v>
      </c>
      <c r="D261" s="4" t="s">
        <v>59</v>
      </c>
      <c r="E261" s="4" t="s">
        <v>323</v>
      </c>
      <c r="F261" s="4"/>
      <c r="G261" s="95">
        <f t="shared" si="41"/>
        <v>911</v>
      </c>
      <c r="H261" s="95">
        <f t="shared" si="41"/>
        <v>910.99999000000003</v>
      </c>
      <c r="I261" s="60">
        <f t="shared" si="31"/>
        <v>99.999998902305165</v>
      </c>
    </row>
    <row r="262" spans="1:11" ht="60" customHeight="1" x14ac:dyDescent="0.2">
      <c r="A262" s="5" t="s">
        <v>322</v>
      </c>
      <c r="B262" s="4" t="s">
        <v>84</v>
      </c>
      <c r="C262" s="4" t="s">
        <v>15</v>
      </c>
      <c r="D262" s="4" t="s">
        <v>59</v>
      </c>
      <c r="E262" s="4" t="s">
        <v>324</v>
      </c>
      <c r="F262" s="4"/>
      <c r="G262" s="95">
        <f>G263+G264</f>
        <v>911</v>
      </c>
      <c r="H262" s="95">
        <f>H263+H264</f>
        <v>910.99999000000003</v>
      </c>
      <c r="I262" s="60">
        <f t="shared" si="31"/>
        <v>99.999998902305165</v>
      </c>
    </row>
    <row r="263" spans="1:11" ht="60" customHeight="1" x14ac:dyDescent="0.2">
      <c r="A263" s="5" t="s">
        <v>38</v>
      </c>
      <c r="B263" s="4" t="s">
        <v>84</v>
      </c>
      <c r="C263" s="4" t="s">
        <v>15</v>
      </c>
      <c r="D263" s="4" t="s">
        <v>59</v>
      </c>
      <c r="E263" s="4" t="s">
        <v>324</v>
      </c>
      <c r="F263" s="4" t="s">
        <v>34</v>
      </c>
      <c r="G263" s="95">
        <v>783.87174000000005</v>
      </c>
      <c r="H263" s="95">
        <f>605.49688+178.37485</f>
        <v>783.87173000000007</v>
      </c>
      <c r="I263" s="60">
        <f t="shared" si="31"/>
        <v>99.999998724281085</v>
      </c>
      <c r="J263" s="33">
        <f>605.49688+178.37486</f>
        <v>783.87174000000005</v>
      </c>
      <c r="K263" s="74">
        <f>I263-J263</f>
        <v>-683.87174127571893</v>
      </c>
    </row>
    <row r="264" spans="1:11" ht="24" customHeight="1" x14ac:dyDescent="0.2">
      <c r="A264" s="5" t="s">
        <v>47</v>
      </c>
      <c r="B264" s="4" t="s">
        <v>84</v>
      </c>
      <c r="C264" s="4" t="s">
        <v>15</v>
      </c>
      <c r="D264" s="4" t="s">
        <v>59</v>
      </c>
      <c r="E264" s="4" t="s">
        <v>324</v>
      </c>
      <c r="F264" s="4" t="s">
        <v>51</v>
      </c>
      <c r="G264" s="95">
        <v>127.12826</v>
      </c>
      <c r="H264" s="95">
        <v>127.12826</v>
      </c>
      <c r="I264" s="60">
        <f t="shared" si="31"/>
        <v>100</v>
      </c>
      <c r="J264" s="33">
        <v>189.00800000000001</v>
      </c>
      <c r="K264" s="74">
        <f>I264-J264</f>
        <v>-89.00800000000001</v>
      </c>
    </row>
    <row r="265" spans="1:11" ht="57" customHeight="1" x14ac:dyDescent="0.2">
      <c r="A265" s="5" t="s">
        <v>325</v>
      </c>
      <c r="B265" s="4" t="s">
        <v>84</v>
      </c>
      <c r="C265" s="4" t="s">
        <v>15</v>
      </c>
      <c r="D265" s="4" t="s">
        <v>59</v>
      </c>
      <c r="E265" s="4" t="s">
        <v>121</v>
      </c>
      <c r="F265" s="4"/>
      <c r="G265" s="95">
        <f t="shared" ref="G265:H267" si="42">G266</f>
        <v>0.3</v>
      </c>
      <c r="H265" s="95">
        <f t="shared" si="42"/>
        <v>0</v>
      </c>
      <c r="I265" s="60">
        <f t="shared" si="31"/>
        <v>0</v>
      </c>
    </row>
    <row r="266" spans="1:11" ht="53.25" customHeight="1" x14ac:dyDescent="0.2">
      <c r="A266" s="5" t="s">
        <v>124</v>
      </c>
      <c r="B266" s="4" t="s">
        <v>84</v>
      </c>
      <c r="C266" s="4" t="s">
        <v>15</v>
      </c>
      <c r="D266" s="4" t="s">
        <v>59</v>
      </c>
      <c r="E266" s="4" t="s">
        <v>326</v>
      </c>
      <c r="F266" s="4"/>
      <c r="G266" s="95">
        <f t="shared" si="42"/>
        <v>0.3</v>
      </c>
      <c r="H266" s="95">
        <f t="shared" si="42"/>
        <v>0</v>
      </c>
      <c r="I266" s="60">
        <f t="shared" ref="I266:I329" si="43">H266/G266*100</f>
        <v>0</v>
      </c>
    </row>
    <row r="267" spans="1:11" ht="48" customHeight="1" x14ac:dyDescent="0.2">
      <c r="A267" s="5" t="s">
        <v>432</v>
      </c>
      <c r="B267" s="4" t="s">
        <v>84</v>
      </c>
      <c r="C267" s="4" t="s">
        <v>15</v>
      </c>
      <c r="D267" s="4" t="s">
        <v>59</v>
      </c>
      <c r="E267" s="4" t="s">
        <v>327</v>
      </c>
      <c r="F267" s="4"/>
      <c r="G267" s="95">
        <f t="shared" si="42"/>
        <v>0.3</v>
      </c>
      <c r="H267" s="95">
        <f t="shared" si="42"/>
        <v>0</v>
      </c>
      <c r="I267" s="60">
        <f t="shared" si="43"/>
        <v>0</v>
      </c>
    </row>
    <row r="268" spans="1:11" ht="24" customHeight="1" x14ac:dyDescent="0.2">
      <c r="A268" s="5" t="s">
        <v>47</v>
      </c>
      <c r="B268" s="4" t="s">
        <v>84</v>
      </c>
      <c r="C268" s="4" t="s">
        <v>15</v>
      </c>
      <c r="D268" s="4" t="s">
        <v>59</v>
      </c>
      <c r="E268" s="4" t="s">
        <v>327</v>
      </c>
      <c r="F268" s="4" t="s">
        <v>51</v>
      </c>
      <c r="G268" s="95">
        <v>0.3</v>
      </c>
      <c r="H268" s="95"/>
      <c r="I268" s="60">
        <f t="shared" si="43"/>
        <v>0</v>
      </c>
      <c r="J268" s="33">
        <v>0.2</v>
      </c>
      <c r="K268" s="74">
        <f>I268-J268</f>
        <v>-0.2</v>
      </c>
    </row>
    <row r="269" spans="1:11" ht="16.5" customHeight="1" x14ac:dyDescent="0.2">
      <c r="A269" s="5" t="s">
        <v>242</v>
      </c>
      <c r="B269" s="4" t="s">
        <v>84</v>
      </c>
      <c r="C269" s="4" t="s">
        <v>15</v>
      </c>
      <c r="D269" s="4" t="s">
        <v>36</v>
      </c>
      <c r="E269" s="4"/>
      <c r="F269" s="4"/>
      <c r="G269" s="95">
        <f t="shared" ref="G269:H272" si="44">G270</f>
        <v>113.2</v>
      </c>
      <c r="H269" s="95">
        <f t="shared" si="44"/>
        <v>13.4</v>
      </c>
      <c r="I269" s="60">
        <f t="shared" si="43"/>
        <v>11.837455830388691</v>
      </c>
    </row>
    <row r="270" spans="1:11" ht="36" customHeight="1" x14ac:dyDescent="0.2">
      <c r="A270" s="5" t="s">
        <v>311</v>
      </c>
      <c r="B270" s="4" t="s">
        <v>84</v>
      </c>
      <c r="C270" s="4" t="s">
        <v>15</v>
      </c>
      <c r="D270" s="4" t="s">
        <v>36</v>
      </c>
      <c r="E270" s="4" t="s">
        <v>12</v>
      </c>
      <c r="F270" s="4"/>
      <c r="G270" s="92">
        <f t="shared" si="44"/>
        <v>113.2</v>
      </c>
      <c r="H270" s="92">
        <f t="shared" si="44"/>
        <v>13.4</v>
      </c>
      <c r="I270" s="60">
        <f t="shared" si="43"/>
        <v>11.837455830388691</v>
      </c>
    </row>
    <row r="271" spans="1:11" ht="36" customHeight="1" x14ac:dyDescent="0.2">
      <c r="A271" s="5" t="s">
        <v>177</v>
      </c>
      <c r="B271" s="4" t="s">
        <v>84</v>
      </c>
      <c r="C271" s="4" t="s">
        <v>15</v>
      </c>
      <c r="D271" s="4" t="s">
        <v>36</v>
      </c>
      <c r="E271" s="4" t="s">
        <v>312</v>
      </c>
      <c r="F271" s="4"/>
      <c r="G271" s="92">
        <f t="shared" si="44"/>
        <v>113.2</v>
      </c>
      <c r="H271" s="92">
        <f t="shared" si="44"/>
        <v>13.4</v>
      </c>
      <c r="I271" s="60">
        <f t="shared" si="43"/>
        <v>11.837455830388691</v>
      </c>
    </row>
    <row r="272" spans="1:11" ht="48" customHeight="1" x14ac:dyDescent="0.2">
      <c r="A272" s="5" t="s">
        <v>161</v>
      </c>
      <c r="B272" s="4" t="s">
        <v>84</v>
      </c>
      <c r="C272" s="4" t="s">
        <v>15</v>
      </c>
      <c r="D272" s="4" t="s">
        <v>36</v>
      </c>
      <c r="E272" s="4" t="s">
        <v>160</v>
      </c>
      <c r="F272" s="4"/>
      <c r="G272" s="92">
        <f t="shared" si="44"/>
        <v>113.2</v>
      </c>
      <c r="H272" s="92">
        <f t="shared" si="44"/>
        <v>13.4</v>
      </c>
      <c r="I272" s="60">
        <f t="shared" si="43"/>
        <v>11.837455830388691</v>
      </c>
    </row>
    <row r="273" spans="1:11" ht="24" customHeight="1" x14ac:dyDescent="0.2">
      <c r="A273" s="5" t="s">
        <v>47</v>
      </c>
      <c r="B273" s="4" t="s">
        <v>84</v>
      </c>
      <c r="C273" s="4" t="s">
        <v>15</v>
      </c>
      <c r="D273" s="4" t="s">
        <v>36</v>
      </c>
      <c r="E273" s="4" t="s">
        <v>160</v>
      </c>
      <c r="F273" s="4" t="s">
        <v>51</v>
      </c>
      <c r="G273" s="92">
        <v>113.2</v>
      </c>
      <c r="H273" s="92">
        <v>13.4</v>
      </c>
      <c r="I273" s="60">
        <f t="shared" si="43"/>
        <v>11.837455830388691</v>
      </c>
      <c r="J273" s="33">
        <v>113.2</v>
      </c>
      <c r="K273" s="74">
        <f>I273-J273</f>
        <v>-101.36254416961131</v>
      </c>
    </row>
    <row r="274" spans="1:11" ht="24" customHeight="1" x14ac:dyDescent="0.2">
      <c r="A274" s="5" t="s">
        <v>182</v>
      </c>
      <c r="B274" s="4" t="s">
        <v>84</v>
      </c>
      <c r="C274" s="4" t="s">
        <v>15</v>
      </c>
      <c r="D274" s="4" t="s">
        <v>53</v>
      </c>
      <c r="E274" s="4"/>
      <c r="F274" s="4"/>
      <c r="G274" s="60">
        <f>G275</f>
        <v>1196.11618</v>
      </c>
      <c r="H274" s="60">
        <f>H275</f>
        <v>1196.04315</v>
      </c>
      <c r="I274" s="60">
        <f t="shared" si="43"/>
        <v>99.9938944058093</v>
      </c>
    </row>
    <row r="275" spans="1:11" ht="36" customHeight="1" x14ac:dyDescent="0.2">
      <c r="A275" s="5" t="s">
        <v>176</v>
      </c>
      <c r="B275" s="4" t="s">
        <v>84</v>
      </c>
      <c r="C275" s="4" t="s">
        <v>15</v>
      </c>
      <c r="D275" s="4" t="s">
        <v>53</v>
      </c>
      <c r="E275" s="4" t="s">
        <v>175</v>
      </c>
      <c r="F275" s="4"/>
      <c r="G275" s="92">
        <f>G276+G278</f>
        <v>1196.11618</v>
      </c>
      <c r="H275" s="92">
        <f>H276+H278</f>
        <v>1196.04315</v>
      </c>
      <c r="I275" s="60">
        <f t="shared" si="43"/>
        <v>99.9938944058093</v>
      </c>
    </row>
    <row r="276" spans="1:11" ht="36" customHeight="1" x14ac:dyDescent="0.2">
      <c r="A276" s="5" t="s">
        <v>174</v>
      </c>
      <c r="B276" s="4" t="s">
        <v>84</v>
      </c>
      <c r="C276" s="4" t="s">
        <v>15</v>
      </c>
      <c r="D276" s="4" t="s">
        <v>53</v>
      </c>
      <c r="E276" s="4" t="s">
        <v>173</v>
      </c>
      <c r="F276" s="4"/>
      <c r="G276" s="92">
        <f>G277</f>
        <v>1191.11618</v>
      </c>
      <c r="H276" s="92">
        <f>H277</f>
        <v>1191.04315</v>
      </c>
      <c r="I276" s="60">
        <f t="shared" si="43"/>
        <v>99.993868776092015</v>
      </c>
    </row>
    <row r="277" spans="1:11" ht="60" customHeight="1" x14ac:dyDescent="0.2">
      <c r="A277" s="5" t="s">
        <v>38</v>
      </c>
      <c r="B277" s="4" t="s">
        <v>84</v>
      </c>
      <c r="C277" s="4" t="s">
        <v>15</v>
      </c>
      <c r="D277" s="4" t="s">
        <v>53</v>
      </c>
      <c r="E277" s="4" t="s">
        <v>173</v>
      </c>
      <c r="F277" s="4" t="s">
        <v>34</v>
      </c>
      <c r="G277" s="92">
        <v>1191.11618</v>
      </c>
      <c r="H277" s="92">
        <f>916.93921+274.10394</f>
        <v>1191.04315</v>
      </c>
      <c r="I277" s="60">
        <f t="shared" si="43"/>
        <v>99.993868776092015</v>
      </c>
      <c r="J277" s="33">
        <f>620.69+187.45</f>
        <v>808.1400000000001</v>
      </c>
      <c r="K277" s="74">
        <f>I277-J277</f>
        <v>-708.14613122390813</v>
      </c>
    </row>
    <row r="278" spans="1:11" ht="24" customHeight="1" x14ac:dyDescent="0.2">
      <c r="A278" s="5" t="s">
        <v>172</v>
      </c>
      <c r="B278" s="4" t="s">
        <v>84</v>
      </c>
      <c r="C278" s="4" t="s">
        <v>15</v>
      </c>
      <c r="D278" s="4" t="s">
        <v>53</v>
      </c>
      <c r="E278" s="4" t="s">
        <v>171</v>
      </c>
      <c r="F278" s="4"/>
      <c r="G278" s="92">
        <f>G279</f>
        <v>5</v>
      </c>
      <c r="H278" s="92">
        <f>H279</f>
        <v>5</v>
      </c>
      <c r="I278" s="60">
        <f t="shared" si="43"/>
        <v>100</v>
      </c>
    </row>
    <row r="279" spans="1:11" ht="24" customHeight="1" x14ac:dyDescent="0.2">
      <c r="A279" s="5" t="s">
        <v>47</v>
      </c>
      <c r="B279" s="4" t="s">
        <v>84</v>
      </c>
      <c r="C279" s="4" t="s">
        <v>15</v>
      </c>
      <c r="D279" s="4" t="s">
        <v>53</v>
      </c>
      <c r="E279" s="4" t="s">
        <v>171</v>
      </c>
      <c r="F279" s="4" t="s">
        <v>51</v>
      </c>
      <c r="G279" s="92">
        <v>5</v>
      </c>
      <c r="H279" s="92">
        <v>5</v>
      </c>
      <c r="I279" s="60">
        <f t="shared" si="43"/>
        <v>100</v>
      </c>
      <c r="J279" s="33">
        <v>5</v>
      </c>
      <c r="K279" s="74">
        <f>I279-J279</f>
        <v>95</v>
      </c>
    </row>
    <row r="280" spans="1:11" ht="12.75" customHeight="1" x14ac:dyDescent="0.2">
      <c r="A280" s="5" t="s">
        <v>170</v>
      </c>
      <c r="B280" s="4" t="s">
        <v>84</v>
      </c>
      <c r="C280" s="4" t="s">
        <v>15</v>
      </c>
      <c r="D280" s="4" t="s">
        <v>81</v>
      </c>
      <c r="E280" s="4"/>
      <c r="F280" s="4"/>
      <c r="G280" s="92">
        <f>G281</f>
        <v>878.54917</v>
      </c>
      <c r="H280" s="92">
        <f>H281</f>
        <v>878.28216999999995</v>
      </c>
      <c r="I280" s="60">
        <f t="shared" si="43"/>
        <v>99.969608986142461</v>
      </c>
    </row>
    <row r="281" spans="1:11" ht="24" customHeight="1" x14ac:dyDescent="0.2">
      <c r="A281" s="5" t="s">
        <v>169</v>
      </c>
      <c r="B281" s="4">
        <v>800</v>
      </c>
      <c r="C281" s="4" t="s">
        <v>15</v>
      </c>
      <c r="D281" s="4" t="s">
        <v>81</v>
      </c>
      <c r="E281" s="4" t="s">
        <v>168</v>
      </c>
      <c r="F281" s="4"/>
      <c r="G281" s="92">
        <f>G282</f>
        <v>878.54917</v>
      </c>
      <c r="H281" s="92">
        <f t="shared" ref="H281" si="45">H282</f>
        <v>878.28216999999995</v>
      </c>
      <c r="I281" s="60">
        <f t="shared" si="43"/>
        <v>99.969608986142461</v>
      </c>
    </row>
    <row r="282" spans="1:11" ht="24" customHeight="1" x14ac:dyDescent="0.2">
      <c r="A282" s="5" t="s">
        <v>74</v>
      </c>
      <c r="B282" s="4">
        <v>800</v>
      </c>
      <c r="C282" s="4" t="s">
        <v>15</v>
      </c>
      <c r="D282" s="4" t="s">
        <v>81</v>
      </c>
      <c r="E282" s="4" t="s">
        <v>168</v>
      </c>
      <c r="F282" s="4" t="s">
        <v>84</v>
      </c>
      <c r="G282" s="92">
        <v>878.54917</v>
      </c>
      <c r="H282" s="92">
        <v>878.28216999999995</v>
      </c>
      <c r="I282" s="60">
        <f t="shared" si="43"/>
        <v>99.969608986142461</v>
      </c>
      <c r="J282" s="33">
        <v>924.31</v>
      </c>
      <c r="K282" s="74">
        <f>I282-J282</f>
        <v>-824.34039101385747</v>
      </c>
    </row>
    <row r="283" spans="1:11" ht="12.75" customHeight="1" x14ac:dyDescent="0.2">
      <c r="A283" s="5" t="s">
        <v>166</v>
      </c>
      <c r="B283" s="4" t="s">
        <v>84</v>
      </c>
      <c r="C283" s="4" t="s">
        <v>15</v>
      </c>
      <c r="D283" s="4" t="s">
        <v>24</v>
      </c>
      <c r="E283" s="4"/>
      <c r="F283" s="4"/>
      <c r="G283" s="60">
        <f>G284+G288+G293+G299+G304</f>
        <v>998.40000000000009</v>
      </c>
      <c r="H283" s="60">
        <f t="shared" ref="H283" si="46">H284+H288+H293+H299+H304</f>
        <v>981.11583999999993</v>
      </c>
      <c r="I283" s="60">
        <f t="shared" si="43"/>
        <v>98.268814102564079</v>
      </c>
    </row>
    <row r="284" spans="1:11" ht="63" customHeight="1" x14ac:dyDescent="0.2">
      <c r="A284" s="5" t="s">
        <v>329</v>
      </c>
      <c r="B284" s="4" t="s">
        <v>84</v>
      </c>
      <c r="C284" s="4" t="s">
        <v>15</v>
      </c>
      <c r="D284" s="4" t="s">
        <v>24</v>
      </c>
      <c r="E284" s="4" t="s">
        <v>31</v>
      </c>
      <c r="F284" s="4"/>
      <c r="G284" s="92">
        <f t="shared" ref="G284:H286" si="47">G285</f>
        <v>0.1</v>
      </c>
      <c r="H284" s="92">
        <f t="shared" si="47"/>
        <v>0</v>
      </c>
      <c r="I284" s="60">
        <f t="shared" si="43"/>
        <v>0</v>
      </c>
    </row>
    <row r="285" spans="1:11" ht="45.75" customHeight="1" x14ac:dyDescent="0.2">
      <c r="A285" s="5" t="s">
        <v>330</v>
      </c>
      <c r="B285" s="4" t="s">
        <v>84</v>
      </c>
      <c r="C285" s="4" t="s">
        <v>15</v>
      </c>
      <c r="D285" s="4" t="s">
        <v>24</v>
      </c>
      <c r="E285" s="4" t="s">
        <v>331</v>
      </c>
      <c r="F285" s="4"/>
      <c r="G285" s="92">
        <f t="shared" si="47"/>
        <v>0.1</v>
      </c>
      <c r="H285" s="92">
        <f t="shared" si="47"/>
        <v>0</v>
      </c>
      <c r="I285" s="60">
        <f t="shared" si="43"/>
        <v>0</v>
      </c>
    </row>
    <row r="286" spans="1:11" ht="36" customHeight="1" x14ac:dyDescent="0.2">
      <c r="A286" s="5" t="s">
        <v>165</v>
      </c>
      <c r="B286" s="4" t="s">
        <v>84</v>
      </c>
      <c r="C286" s="4" t="s">
        <v>15</v>
      </c>
      <c r="D286" s="4" t="s">
        <v>24</v>
      </c>
      <c r="E286" s="4" t="s">
        <v>164</v>
      </c>
      <c r="F286" s="4"/>
      <c r="G286" s="92">
        <f t="shared" si="47"/>
        <v>0.1</v>
      </c>
      <c r="H286" s="92">
        <f t="shared" si="47"/>
        <v>0</v>
      </c>
      <c r="I286" s="60">
        <f t="shared" si="43"/>
        <v>0</v>
      </c>
    </row>
    <row r="287" spans="1:11" ht="24" customHeight="1" x14ac:dyDescent="0.2">
      <c r="A287" s="5" t="s">
        <v>47</v>
      </c>
      <c r="B287" s="4" t="s">
        <v>84</v>
      </c>
      <c r="C287" s="4" t="s">
        <v>15</v>
      </c>
      <c r="D287" s="4" t="s">
        <v>24</v>
      </c>
      <c r="E287" s="4" t="s">
        <v>164</v>
      </c>
      <c r="F287" s="4">
        <v>200</v>
      </c>
      <c r="G287" s="92">
        <v>0.1</v>
      </c>
      <c r="H287" s="92"/>
      <c r="I287" s="60">
        <f t="shared" si="43"/>
        <v>0</v>
      </c>
      <c r="J287" s="33">
        <v>0.1</v>
      </c>
      <c r="K287" s="74">
        <f>I287-J287</f>
        <v>-0.1</v>
      </c>
    </row>
    <row r="288" spans="1:11" ht="48" customHeight="1" x14ac:dyDescent="0.2">
      <c r="A288" s="5" t="s">
        <v>332</v>
      </c>
      <c r="B288" s="4" t="s">
        <v>84</v>
      </c>
      <c r="C288" s="4" t="s">
        <v>15</v>
      </c>
      <c r="D288" s="4" t="s">
        <v>24</v>
      </c>
      <c r="E288" s="4" t="s">
        <v>41</v>
      </c>
      <c r="F288" s="4"/>
      <c r="G288" s="92">
        <f t="shared" ref="G288:H289" si="48">G289</f>
        <v>710</v>
      </c>
      <c r="H288" s="92">
        <f t="shared" si="48"/>
        <v>709.99687999999992</v>
      </c>
      <c r="I288" s="60">
        <f t="shared" si="43"/>
        <v>99.999560563380271</v>
      </c>
    </row>
    <row r="289" spans="1:11" ht="50.25" customHeight="1" x14ac:dyDescent="0.2">
      <c r="A289" s="5" t="s">
        <v>420</v>
      </c>
      <c r="B289" s="4" t="s">
        <v>84</v>
      </c>
      <c r="C289" s="4" t="s">
        <v>15</v>
      </c>
      <c r="D289" s="4" t="s">
        <v>24</v>
      </c>
      <c r="E289" s="4" t="s">
        <v>333</v>
      </c>
      <c r="F289" s="4"/>
      <c r="G289" s="92">
        <f t="shared" si="48"/>
        <v>710</v>
      </c>
      <c r="H289" s="92">
        <f t="shared" si="48"/>
        <v>709.99687999999992</v>
      </c>
      <c r="I289" s="60">
        <f t="shared" si="43"/>
        <v>99.999560563380271</v>
      </c>
    </row>
    <row r="290" spans="1:11" ht="48" customHeight="1" x14ac:dyDescent="0.2">
      <c r="A290" s="5" t="s">
        <v>163</v>
      </c>
      <c r="B290" s="4" t="s">
        <v>84</v>
      </c>
      <c r="C290" s="4" t="s">
        <v>15</v>
      </c>
      <c r="D290" s="4" t="s">
        <v>24</v>
      </c>
      <c r="E290" s="4" t="s">
        <v>162</v>
      </c>
      <c r="F290" s="4"/>
      <c r="G290" s="92">
        <f>G291+G292</f>
        <v>710</v>
      </c>
      <c r="H290" s="92">
        <f>H291+H292</f>
        <v>709.99687999999992</v>
      </c>
      <c r="I290" s="60">
        <f t="shared" si="43"/>
        <v>99.999560563380271</v>
      </c>
      <c r="J290" s="33">
        <v>710</v>
      </c>
    </row>
    <row r="291" spans="1:11" ht="24" customHeight="1" x14ac:dyDescent="0.2">
      <c r="A291" s="5" t="s">
        <v>38</v>
      </c>
      <c r="B291" s="4" t="s">
        <v>84</v>
      </c>
      <c r="C291" s="4" t="s">
        <v>15</v>
      </c>
      <c r="D291" s="4" t="s">
        <v>24</v>
      </c>
      <c r="E291" s="4" t="s">
        <v>162</v>
      </c>
      <c r="F291" s="4" t="s">
        <v>34</v>
      </c>
      <c r="G291" s="92">
        <f>451.07675+4.192+135.01725</f>
        <v>590.28600000000006</v>
      </c>
      <c r="H291" s="92">
        <f>451.07441+4.192+135.01647</f>
        <v>590.28287999999998</v>
      </c>
      <c r="I291" s="60">
        <f t="shared" si="43"/>
        <v>99.999471442656599</v>
      </c>
      <c r="J291" s="33">
        <v>590.28599999999994</v>
      </c>
      <c r="K291" s="74">
        <f>I291-J291</f>
        <v>-490.28652855734333</v>
      </c>
    </row>
    <row r="292" spans="1:11" ht="24" customHeight="1" x14ac:dyDescent="0.2">
      <c r="A292" s="5" t="s">
        <v>47</v>
      </c>
      <c r="B292" s="4" t="s">
        <v>84</v>
      </c>
      <c r="C292" s="4" t="s">
        <v>15</v>
      </c>
      <c r="D292" s="4" t="s">
        <v>24</v>
      </c>
      <c r="E292" s="4" t="s">
        <v>162</v>
      </c>
      <c r="F292" s="4" t="s">
        <v>51</v>
      </c>
      <c r="G292" s="92">
        <v>119.714</v>
      </c>
      <c r="H292" s="92">
        <v>119.714</v>
      </c>
      <c r="I292" s="60">
        <f t="shared" si="43"/>
        <v>100</v>
      </c>
      <c r="J292" s="33">
        <v>119.714</v>
      </c>
      <c r="K292" s="74">
        <f>I292-J292</f>
        <v>-19.713999999999999</v>
      </c>
    </row>
    <row r="293" spans="1:11" ht="59.25" customHeight="1" x14ac:dyDescent="0.2">
      <c r="A293" s="5" t="s">
        <v>311</v>
      </c>
      <c r="B293" s="4" t="s">
        <v>84</v>
      </c>
      <c r="C293" s="4" t="s">
        <v>15</v>
      </c>
      <c r="D293" s="4" t="s">
        <v>24</v>
      </c>
      <c r="E293" s="4" t="s">
        <v>12</v>
      </c>
      <c r="F293" s="4"/>
      <c r="G293" s="92">
        <f>G294</f>
        <v>262.8</v>
      </c>
      <c r="H293" s="92">
        <f>H294</f>
        <v>261.61896000000002</v>
      </c>
      <c r="I293" s="60">
        <f t="shared" si="43"/>
        <v>99.550593607305942</v>
      </c>
    </row>
    <row r="294" spans="1:11" ht="49.5" customHeight="1" x14ac:dyDescent="0.2">
      <c r="A294" s="5" t="s">
        <v>177</v>
      </c>
      <c r="B294" s="4" t="s">
        <v>84</v>
      </c>
      <c r="C294" s="4" t="s">
        <v>15</v>
      </c>
      <c r="D294" s="4" t="s">
        <v>24</v>
      </c>
      <c r="E294" s="4" t="s">
        <v>312</v>
      </c>
      <c r="F294" s="4"/>
      <c r="G294" s="92">
        <f>G295+G297</f>
        <v>262.8</v>
      </c>
      <c r="H294" s="92">
        <f>H295+H297</f>
        <v>261.61896000000002</v>
      </c>
      <c r="I294" s="60">
        <f t="shared" si="43"/>
        <v>99.550593607305942</v>
      </c>
    </row>
    <row r="295" spans="1:11" ht="36" customHeight="1" x14ac:dyDescent="0.2">
      <c r="A295" s="5" t="s">
        <v>433</v>
      </c>
      <c r="B295" s="4" t="s">
        <v>84</v>
      </c>
      <c r="C295" s="4" t="s">
        <v>15</v>
      </c>
      <c r="D295" s="4" t="s">
        <v>24</v>
      </c>
      <c r="E295" s="4" t="s">
        <v>159</v>
      </c>
      <c r="F295" s="4"/>
      <c r="G295" s="92">
        <f>G296</f>
        <v>51.6</v>
      </c>
      <c r="H295" s="92">
        <f>H296</f>
        <v>51.6</v>
      </c>
      <c r="I295" s="60">
        <f t="shared" si="43"/>
        <v>100</v>
      </c>
    </row>
    <row r="296" spans="1:11" ht="24" customHeight="1" x14ac:dyDescent="0.2">
      <c r="A296" s="5" t="s">
        <v>47</v>
      </c>
      <c r="B296" s="4" t="s">
        <v>84</v>
      </c>
      <c r="C296" s="4" t="s">
        <v>15</v>
      </c>
      <c r="D296" s="4" t="s">
        <v>24</v>
      </c>
      <c r="E296" s="4" t="s">
        <v>159</v>
      </c>
      <c r="F296" s="4" t="s">
        <v>51</v>
      </c>
      <c r="G296" s="92">
        <v>51.6</v>
      </c>
      <c r="H296" s="92">
        <v>51.6</v>
      </c>
      <c r="I296" s="60">
        <f t="shared" si="43"/>
        <v>100</v>
      </c>
      <c r="J296" s="33">
        <v>51.6</v>
      </c>
      <c r="K296" s="74">
        <f>I296-J296</f>
        <v>48.4</v>
      </c>
    </row>
    <row r="297" spans="1:11" ht="60" customHeight="1" x14ac:dyDescent="0.2">
      <c r="A297" s="5" t="s">
        <v>434</v>
      </c>
      <c r="B297" s="4" t="s">
        <v>84</v>
      </c>
      <c r="C297" s="4" t="s">
        <v>15</v>
      </c>
      <c r="D297" s="4" t="s">
        <v>24</v>
      </c>
      <c r="E297" s="4" t="s">
        <v>158</v>
      </c>
      <c r="F297" s="4"/>
      <c r="G297" s="92">
        <f>G298</f>
        <v>211.2</v>
      </c>
      <c r="H297" s="92">
        <f>H298</f>
        <v>210.01895999999999</v>
      </c>
      <c r="I297" s="60">
        <f t="shared" si="43"/>
        <v>99.440795454545466</v>
      </c>
    </row>
    <row r="298" spans="1:11" ht="60" customHeight="1" x14ac:dyDescent="0.2">
      <c r="A298" s="5" t="s">
        <v>38</v>
      </c>
      <c r="B298" s="4" t="s">
        <v>84</v>
      </c>
      <c r="C298" s="4" t="s">
        <v>15</v>
      </c>
      <c r="D298" s="4" t="s">
        <v>24</v>
      </c>
      <c r="E298" s="4" t="s">
        <v>158</v>
      </c>
      <c r="F298" s="4" t="s">
        <v>34</v>
      </c>
      <c r="G298" s="92">
        <v>211.2</v>
      </c>
      <c r="H298" s="92">
        <f>162.212+47.80696</f>
        <v>210.01895999999999</v>
      </c>
      <c r="I298" s="60">
        <f t="shared" si="43"/>
        <v>99.440795454545466</v>
      </c>
      <c r="J298" s="33">
        <f>162.212+48.988</f>
        <v>211.2</v>
      </c>
      <c r="K298" s="74">
        <f>I298-J298</f>
        <v>-111.75920454545452</v>
      </c>
    </row>
    <row r="299" spans="1:11" ht="59.25" customHeight="1" x14ac:dyDescent="0.2">
      <c r="A299" s="5" t="s">
        <v>334</v>
      </c>
      <c r="B299" s="4" t="s">
        <v>84</v>
      </c>
      <c r="C299" s="4" t="s">
        <v>15</v>
      </c>
      <c r="D299" s="4" t="s">
        <v>24</v>
      </c>
      <c r="E299" s="4" t="s">
        <v>126</v>
      </c>
      <c r="F299" s="4"/>
      <c r="G299" s="90">
        <f t="shared" ref="G299:H301" si="49">G300</f>
        <v>9.5</v>
      </c>
      <c r="H299" s="90">
        <f t="shared" si="49"/>
        <v>9.5</v>
      </c>
      <c r="I299" s="60">
        <f t="shared" si="43"/>
        <v>100</v>
      </c>
    </row>
    <row r="300" spans="1:11" ht="48" customHeight="1" x14ac:dyDescent="0.2">
      <c r="A300" s="5" t="s">
        <v>336</v>
      </c>
      <c r="B300" s="4" t="s">
        <v>84</v>
      </c>
      <c r="C300" s="4" t="s">
        <v>15</v>
      </c>
      <c r="D300" s="4" t="s">
        <v>24</v>
      </c>
      <c r="E300" s="4" t="s">
        <v>337</v>
      </c>
      <c r="F300" s="4"/>
      <c r="G300" s="90">
        <f t="shared" si="49"/>
        <v>9.5</v>
      </c>
      <c r="H300" s="90">
        <f t="shared" si="49"/>
        <v>9.5</v>
      </c>
      <c r="I300" s="60">
        <f t="shared" si="43"/>
        <v>100</v>
      </c>
    </row>
    <row r="301" spans="1:11" ht="36" customHeight="1" x14ac:dyDescent="0.2">
      <c r="A301" s="5" t="s">
        <v>274</v>
      </c>
      <c r="B301" s="4" t="s">
        <v>84</v>
      </c>
      <c r="C301" s="4" t="s">
        <v>15</v>
      </c>
      <c r="D301" s="4" t="s">
        <v>24</v>
      </c>
      <c r="E301" s="4" t="s">
        <v>144</v>
      </c>
      <c r="F301" s="4"/>
      <c r="G301" s="90">
        <f>G302</f>
        <v>9.5</v>
      </c>
      <c r="H301" s="90">
        <f t="shared" si="49"/>
        <v>9.5</v>
      </c>
      <c r="I301" s="60">
        <f t="shared" si="43"/>
        <v>100</v>
      </c>
    </row>
    <row r="302" spans="1:11" ht="12.75" customHeight="1" x14ac:dyDescent="0.2">
      <c r="A302" s="5" t="s">
        <v>45</v>
      </c>
      <c r="B302" s="4" t="s">
        <v>84</v>
      </c>
      <c r="C302" s="4" t="s">
        <v>15</v>
      </c>
      <c r="D302" s="4" t="s">
        <v>24</v>
      </c>
      <c r="E302" s="4" t="s">
        <v>144</v>
      </c>
      <c r="F302" s="4" t="s">
        <v>43</v>
      </c>
      <c r="G302" s="90">
        <v>9.5</v>
      </c>
      <c r="H302" s="90">
        <v>9.5</v>
      </c>
      <c r="I302" s="60">
        <f t="shared" si="43"/>
        <v>100</v>
      </c>
      <c r="J302" s="33">
        <v>20</v>
      </c>
      <c r="K302" s="74">
        <f>I302-J302</f>
        <v>80</v>
      </c>
    </row>
    <row r="303" spans="1:11" ht="36" customHeight="1" x14ac:dyDescent="0.2">
      <c r="A303" s="5" t="s">
        <v>281</v>
      </c>
      <c r="B303" s="4" t="s">
        <v>84</v>
      </c>
      <c r="C303" s="4" t="s">
        <v>15</v>
      </c>
      <c r="D303" s="4" t="s">
        <v>24</v>
      </c>
      <c r="E303" s="4" t="s">
        <v>278</v>
      </c>
      <c r="F303" s="4"/>
      <c r="G303" s="90">
        <f t="shared" ref="G303:H306" si="50">G304</f>
        <v>16</v>
      </c>
      <c r="H303" s="90">
        <f t="shared" si="50"/>
        <v>0</v>
      </c>
      <c r="I303" s="60">
        <f t="shared" si="43"/>
        <v>0</v>
      </c>
    </row>
    <row r="304" spans="1:11" ht="48" x14ac:dyDescent="0.2">
      <c r="A304" s="5" t="s">
        <v>338</v>
      </c>
      <c r="B304" s="4" t="s">
        <v>84</v>
      </c>
      <c r="C304" s="4" t="s">
        <v>15</v>
      </c>
      <c r="D304" s="4" t="s">
        <v>24</v>
      </c>
      <c r="E304" s="4" t="s">
        <v>279</v>
      </c>
      <c r="F304" s="4"/>
      <c r="G304" s="90">
        <f t="shared" si="50"/>
        <v>16</v>
      </c>
      <c r="H304" s="90">
        <f t="shared" si="50"/>
        <v>0</v>
      </c>
      <c r="I304" s="60">
        <f t="shared" si="43"/>
        <v>0</v>
      </c>
    </row>
    <row r="305" spans="1:11" ht="36" customHeight="1" x14ac:dyDescent="0.2">
      <c r="A305" s="5" t="s">
        <v>282</v>
      </c>
      <c r="B305" s="4" t="s">
        <v>84</v>
      </c>
      <c r="C305" s="4" t="s">
        <v>15</v>
      </c>
      <c r="D305" s="4" t="s">
        <v>24</v>
      </c>
      <c r="E305" s="4" t="s">
        <v>339</v>
      </c>
      <c r="F305" s="4"/>
      <c r="G305" s="90">
        <f t="shared" si="50"/>
        <v>16</v>
      </c>
      <c r="H305" s="90">
        <f t="shared" si="50"/>
        <v>0</v>
      </c>
      <c r="I305" s="60">
        <f t="shared" si="43"/>
        <v>0</v>
      </c>
    </row>
    <row r="306" spans="1:11" ht="29.25" customHeight="1" x14ac:dyDescent="0.2">
      <c r="A306" s="5" t="s">
        <v>444</v>
      </c>
      <c r="B306" s="4" t="s">
        <v>84</v>
      </c>
      <c r="C306" s="4" t="s">
        <v>15</v>
      </c>
      <c r="D306" s="4" t="s">
        <v>24</v>
      </c>
      <c r="E306" s="4" t="s">
        <v>280</v>
      </c>
      <c r="F306" s="4"/>
      <c r="G306" s="90">
        <f t="shared" si="50"/>
        <v>16</v>
      </c>
      <c r="H306" s="90">
        <f t="shared" si="50"/>
        <v>0</v>
      </c>
      <c r="I306" s="60">
        <f t="shared" si="43"/>
        <v>0</v>
      </c>
    </row>
    <row r="307" spans="1:11" ht="24" customHeight="1" x14ac:dyDescent="0.2">
      <c r="A307" s="5" t="s">
        <v>47</v>
      </c>
      <c r="B307" s="4" t="s">
        <v>84</v>
      </c>
      <c r="C307" s="4" t="s">
        <v>15</v>
      </c>
      <c r="D307" s="4" t="s">
        <v>24</v>
      </c>
      <c r="E307" s="4" t="s">
        <v>280</v>
      </c>
      <c r="F307" s="4" t="s">
        <v>51</v>
      </c>
      <c r="G307" s="90">
        <v>16</v>
      </c>
      <c r="H307" s="90"/>
      <c r="I307" s="60">
        <f t="shared" si="43"/>
        <v>0</v>
      </c>
      <c r="J307" s="33">
        <v>16</v>
      </c>
      <c r="K307" s="74">
        <f>I307-J307</f>
        <v>-16</v>
      </c>
    </row>
    <row r="308" spans="1:11" ht="24" customHeight="1" x14ac:dyDescent="0.2">
      <c r="A308" s="5" t="s">
        <v>154</v>
      </c>
      <c r="B308" s="4" t="s">
        <v>84</v>
      </c>
      <c r="C308" s="4" t="s">
        <v>6</v>
      </c>
      <c r="D308" s="4"/>
      <c r="E308" s="4"/>
      <c r="F308" s="4"/>
      <c r="G308" s="88">
        <f>G309+G325</f>
        <v>5229.4094699999996</v>
      </c>
      <c r="H308" s="88">
        <f>H309+H325</f>
        <v>4304.4908699999996</v>
      </c>
      <c r="I308" s="60">
        <f t="shared" si="43"/>
        <v>82.313134871039267</v>
      </c>
    </row>
    <row r="309" spans="1:11" ht="36" customHeight="1" x14ac:dyDescent="0.2">
      <c r="A309" s="5" t="s">
        <v>153</v>
      </c>
      <c r="B309" s="4" t="s">
        <v>84</v>
      </c>
      <c r="C309" s="4" t="s">
        <v>6</v>
      </c>
      <c r="D309" s="4" t="s">
        <v>68</v>
      </c>
      <c r="E309" s="4"/>
      <c r="F309" s="4"/>
      <c r="G309" s="60">
        <f>G310+G319+G323</f>
        <v>5203.4494699999996</v>
      </c>
      <c r="H309" s="60">
        <f>H310+H319+H323</f>
        <v>4285.0108700000001</v>
      </c>
      <c r="I309" s="60">
        <f t="shared" si="43"/>
        <v>82.349427907483857</v>
      </c>
    </row>
    <row r="310" spans="1:11" ht="60" x14ac:dyDescent="0.2">
      <c r="A310" s="5" t="s">
        <v>421</v>
      </c>
      <c r="B310" s="4" t="s">
        <v>84</v>
      </c>
      <c r="C310" s="4" t="s">
        <v>6</v>
      </c>
      <c r="D310" s="4" t="s">
        <v>68</v>
      </c>
      <c r="E310" s="4" t="s">
        <v>271</v>
      </c>
      <c r="F310" s="4"/>
      <c r="G310" s="90">
        <f>G311+G317</f>
        <v>3224.7837399999999</v>
      </c>
      <c r="H310" s="90">
        <f>H311+H317</f>
        <v>3213.0793099999996</v>
      </c>
      <c r="I310" s="60">
        <f t="shared" si="43"/>
        <v>99.637047599353124</v>
      </c>
    </row>
    <row r="311" spans="1:11" ht="24" x14ac:dyDescent="0.2">
      <c r="A311" s="5" t="s">
        <v>422</v>
      </c>
      <c r="B311" s="4" t="s">
        <v>84</v>
      </c>
      <c r="C311" s="4" t="s">
        <v>6</v>
      </c>
      <c r="D311" s="4" t="s">
        <v>68</v>
      </c>
      <c r="E311" s="4" t="s">
        <v>152</v>
      </c>
      <c r="F311" s="4"/>
      <c r="G311" s="90">
        <f>G312+G314</f>
        <v>2857.7037399999999</v>
      </c>
      <c r="H311" s="90">
        <f>H312+H314</f>
        <v>2845.9993099999997</v>
      </c>
      <c r="I311" s="60">
        <f t="shared" si="43"/>
        <v>99.590425353189332</v>
      </c>
    </row>
    <row r="312" spans="1:11" ht="24" x14ac:dyDescent="0.2">
      <c r="A312" s="5" t="s">
        <v>267</v>
      </c>
      <c r="B312" s="4" t="s">
        <v>84</v>
      </c>
      <c r="C312" s="4" t="s">
        <v>6</v>
      </c>
      <c r="D312" s="4" t="s">
        <v>68</v>
      </c>
      <c r="E312" s="4" t="s">
        <v>151</v>
      </c>
      <c r="F312" s="4"/>
      <c r="G312" s="90">
        <f>G313</f>
        <v>2785.7947399999998</v>
      </c>
      <c r="H312" s="90">
        <f>H313</f>
        <v>2774.0903099999996</v>
      </c>
      <c r="I312" s="60">
        <f t="shared" si="43"/>
        <v>99.579853108632108</v>
      </c>
    </row>
    <row r="313" spans="1:11" ht="60" x14ac:dyDescent="0.2">
      <c r="A313" s="5" t="s">
        <v>38</v>
      </c>
      <c r="B313" s="4" t="s">
        <v>84</v>
      </c>
      <c r="C313" s="4" t="s">
        <v>6</v>
      </c>
      <c r="D313" s="4" t="s">
        <v>68</v>
      </c>
      <c r="E313" s="4" t="s">
        <v>151</v>
      </c>
      <c r="F313" s="4">
        <v>100</v>
      </c>
      <c r="G313" s="90">
        <v>2785.7947399999998</v>
      </c>
      <c r="H313" s="90">
        <f>2138.98541+635.1049</f>
        <v>2774.0903099999996</v>
      </c>
      <c r="I313" s="60">
        <f t="shared" si="43"/>
        <v>99.579853108632108</v>
      </c>
      <c r="J313" s="33">
        <f>1997.008+603.092</f>
        <v>2600.1</v>
      </c>
      <c r="K313" s="74">
        <f>I313-J313</f>
        <v>-2500.5201468913679</v>
      </c>
    </row>
    <row r="314" spans="1:11" x14ac:dyDescent="0.2">
      <c r="A314" s="5" t="s">
        <v>268</v>
      </c>
      <c r="B314" s="4" t="s">
        <v>84</v>
      </c>
      <c r="C314" s="4" t="s">
        <v>6</v>
      </c>
      <c r="D314" s="4" t="s">
        <v>68</v>
      </c>
      <c r="E314" s="4" t="s">
        <v>150</v>
      </c>
      <c r="F314" s="4"/>
      <c r="G314" s="90">
        <f>G315+G316</f>
        <v>71.909000000000006</v>
      </c>
      <c r="H314" s="90">
        <f>H315+H316</f>
        <v>71.909000000000006</v>
      </c>
      <c r="I314" s="60">
        <f t="shared" si="43"/>
        <v>100</v>
      </c>
    </row>
    <row r="315" spans="1:11" ht="24" x14ac:dyDescent="0.2">
      <c r="A315" s="5" t="s">
        <v>47</v>
      </c>
      <c r="B315" s="4" t="s">
        <v>84</v>
      </c>
      <c r="C315" s="4" t="s">
        <v>6</v>
      </c>
      <c r="D315" s="4" t="s">
        <v>68</v>
      </c>
      <c r="E315" s="4" t="s">
        <v>150</v>
      </c>
      <c r="F315" s="4" t="s">
        <v>51</v>
      </c>
      <c r="G315" s="90">
        <v>61.155000000000001</v>
      </c>
      <c r="H315" s="90">
        <v>61.155000000000001</v>
      </c>
      <c r="I315" s="60">
        <f t="shared" si="43"/>
        <v>100</v>
      </c>
      <c r="J315" s="33">
        <v>15</v>
      </c>
      <c r="K315" s="74">
        <f>I315-J315</f>
        <v>85</v>
      </c>
    </row>
    <row r="316" spans="1:11" ht="24" x14ac:dyDescent="0.2">
      <c r="A316" s="5" t="s">
        <v>74</v>
      </c>
      <c r="B316" s="4" t="s">
        <v>84</v>
      </c>
      <c r="C316" s="4" t="s">
        <v>6</v>
      </c>
      <c r="D316" s="4" t="s">
        <v>68</v>
      </c>
      <c r="E316" s="4" t="s">
        <v>150</v>
      </c>
      <c r="F316" s="4" t="s">
        <v>84</v>
      </c>
      <c r="G316" s="90">
        <v>10.754</v>
      </c>
      <c r="H316" s="90">
        <f>10.629+0.125</f>
        <v>10.754</v>
      </c>
      <c r="I316" s="60">
        <f t="shared" si="43"/>
        <v>100</v>
      </c>
      <c r="J316" s="33">
        <v>7</v>
      </c>
      <c r="K316" s="74">
        <f>I316-J316</f>
        <v>93</v>
      </c>
    </row>
    <row r="317" spans="1:11" ht="24" x14ac:dyDescent="0.2">
      <c r="A317" s="5" t="s">
        <v>450</v>
      </c>
      <c r="B317" s="4" t="s">
        <v>84</v>
      </c>
      <c r="C317" s="4" t="s">
        <v>6</v>
      </c>
      <c r="D317" s="4" t="s">
        <v>68</v>
      </c>
      <c r="E317" s="4" t="s">
        <v>468</v>
      </c>
      <c r="F317" s="4"/>
      <c r="G317" s="60">
        <f>G318</f>
        <v>367.08</v>
      </c>
      <c r="H317" s="60">
        <f>H318</f>
        <v>367.08</v>
      </c>
      <c r="I317" s="60">
        <f t="shared" si="43"/>
        <v>100</v>
      </c>
    </row>
    <row r="318" spans="1:11" ht="60" x14ac:dyDescent="0.2">
      <c r="A318" s="5" t="s">
        <v>38</v>
      </c>
      <c r="B318" s="4" t="s">
        <v>84</v>
      </c>
      <c r="C318" s="4" t="s">
        <v>6</v>
      </c>
      <c r="D318" s="4" t="s">
        <v>68</v>
      </c>
      <c r="E318" s="4" t="s">
        <v>468</v>
      </c>
      <c r="F318" s="4" t="s">
        <v>34</v>
      </c>
      <c r="G318" s="60">
        <v>367.08</v>
      </c>
      <c r="H318" s="60">
        <f>281.938+85.142</f>
        <v>367.08</v>
      </c>
      <c r="I318" s="60">
        <f t="shared" si="43"/>
        <v>100</v>
      </c>
      <c r="J318" s="33">
        <f>281.938+85.142</f>
        <v>367.08</v>
      </c>
      <c r="K318" s="74">
        <f>I318-J318</f>
        <v>-267.08</v>
      </c>
    </row>
    <row r="319" spans="1:11" ht="40.5" customHeight="1" x14ac:dyDescent="0.2">
      <c r="A319" s="8" t="s">
        <v>334</v>
      </c>
      <c r="B319" s="4" t="s">
        <v>84</v>
      </c>
      <c r="C319" s="4" t="s">
        <v>6</v>
      </c>
      <c r="D319" s="4" t="s">
        <v>68</v>
      </c>
      <c r="E319" s="4" t="s">
        <v>126</v>
      </c>
      <c r="F319" s="4"/>
      <c r="G319" s="90">
        <f t="shared" ref="G319:H321" si="51">G320</f>
        <v>1523.6657299999999</v>
      </c>
      <c r="H319" s="90">
        <f t="shared" si="51"/>
        <v>635.63556000000005</v>
      </c>
      <c r="I319" s="60">
        <f t="shared" si="43"/>
        <v>41.717520285765048</v>
      </c>
    </row>
    <row r="320" spans="1:11" ht="40.5" customHeight="1" x14ac:dyDescent="0.2">
      <c r="A320" s="8" t="s">
        <v>149</v>
      </c>
      <c r="B320" s="4" t="s">
        <v>84</v>
      </c>
      <c r="C320" s="4" t="s">
        <v>6</v>
      </c>
      <c r="D320" s="4" t="s">
        <v>68</v>
      </c>
      <c r="E320" s="4" t="s">
        <v>341</v>
      </c>
      <c r="F320" s="4"/>
      <c r="G320" s="90">
        <f t="shared" si="51"/>
        <v>1523.6657299999999</v>
      </c>
      <c r="H320" s="90">
        <f t="shared" si="51"/>
        <v>635.63556000000005</v>
      </c>
      <c r="I320" s="60">
        <f t="shared" si="43"/>
        <v>41.717520285765048</v>
      </c>
    </row>
    <row r="321" spans="1:11" ht="48" x14ac:dyDescent="0.2">
      <c r="A321" s="5" t="s">
        <v>510</v>
      </c>
      <c r="B321" s="4" t="s">
        <v>84</v>
      </c>
      <c r="C321" s="4" t="s">
        <v>6</v>
      </c>
      <c r="D321" s="4" t="s">
        <v>68</v>
      </c>
      <c r="E321" s="4" t="s">
        <v>509</v>
      </c>
      <c r="F321" s="4"/>
      <c r="G321" s="90">
        <f t="shared" si="51"/>
        <v>1523.6657299999999</v>
      </c>
      <c r="H321" s="90">
        <f t="shared" si="51"/>
        <v>635.63556000000005</v>
      </c>
      <c r="I321" s="60">
        <f t="shared" si="43"/>
        <v>41.717520285765048</v>
      </c>
    </row>
    <row r="322" spans="1:11" ht="24" x14ac:dyDescent="0.2">
      <c r="A322" s="5" t="s">
        <v>47</v>
      </c>
      <c r="B322" s="4" t="s">
        <v>84</v>
      </c>
      <c r="C322" s="4" t="s">
        <v>6</v>
      </c>
      <c r="D322" s="4" t="s">
        <v>68</v>
      </c>
      <c r="E322" s="4" t="s">
        <v>509</v>
      </c>
      <c r="F322" s="4" t="s">
        <v>51</v>
      </c>
      <c r="G322" s="90">
        <v>1523.6657299999999</v>
      </c>
      <c r="H322" s="90">
        <v>635.63556000000005</v>
      </c>
      <c r="I322" s="60">
        <f t="shared" si="43"/>
        <v>41.717520285765048</v>
      </c>
      <c r="J322" s="33">
        <v>1994</v>
      </c>
      <c r="K322" s="74">
        <f>I322-J322</f>
        <v>-1952.282479714235</v>
      </c>
    </row>
    <row r="323" spans="1:11" x14ac:dyDescent="0.2">
      <c r="A323" s="5" t="s">
        <v>46</v>
      </c>
      <c r="B323" s="4" t="s">
        <v>84</v>
      </c>
      <c r="C323" s="4" t="s">
        <v>6</v>
      </c>
      <c r="D323" s="4" t="s">
        <v>68</v>
      </c>
      <c r="E323" s="4" t="s">
        <v>44</v>
      </c>
      <c r="F323" s="4"/>
      <c r="G323" s="89">
        <f>G324</f>
        <v>455</v>
      </c>
      <c r="H323" s="89">
        <f>H324</f>
        <v>436.29599999999999</v>
      </c>
      <c r="I323" s="60">
        <f t="shared" si="43"/>
        <v>95.889230769230778</v>
      </c>
    </row>
    <row r="324" spans="1:11" ht="24" x14ac:dyDescent="0.2">
      <c r="A324" s="5" t="s">
        <v>47</v>
      </c>
      <c r="B324" s="4" t="s">
        <v>84</v>
      </c>
      <c r="C324" s="4" t="s">
        <v>6</v>
      </c>
      <c r="D324" s="4" t="s">
        <v>68</v>
      </c>
      <c r="E324" s="4" t="s">
        <v>44</v>
      </c>
      <c r="F324" s="4" t="s">
        <v>51</v>
      </c>
      <c r="G324" s="89">
        <v>455</v>
      </c>
      <c r="H324" s="89">
        <v>436.29599999999999</v>
      </c>
      <c r="I324" s="60">
        <f t="shared" si="43"/>
        <v>95.889230769230778</v>
      </c>
      <c r="J324" s="33">
        <v>455</v>
      </c>
      <c r="K324" s="74">
        <f>I324-J324</f>
        <v>-359.11076923076922</v>
      </c>
    </row>
    <row r="325" spans="1:11" ht="24" x14ac:dyDescent="0.2">
      <c r="A325" s="5" t="s">
        <v>148</v>
      </c>
      <c r="B325" s="4" t="s">
        <v>84</v>
      </c>
      <c r="C325" s="4" t="s">
        <v>6</v>
      </c>
      <c r="D325" s="4" t="s">
        <v>7</v>
      </c>
      <c r="E325" s="4"/>
      <c r="F325" s="4"/>
      <c r="G325" s="88">
        <f>G326</f>
        <v>25.96</v>
      </c>
      <c r="H325" s="88">
        <f>H326</f>
        <v>19.48</v>
      </c>
      <c r="I325" s="60">
        <f t="shared" si="43"/>
        <v>75.038520801232664</v>
      </c>
    </row>
    <row r="326" spans="1:11" ht="46.5" customHeight="1" x14ac:dyDescent="0.2">
      <c r="A326" s="8" t="s">
        <v>334</v>
      </c>
      <c r="B326" s="4" t="s">
        <v>84</v>
      </c>
      <c r="C326" s="4" t="s">
        <v>6</v>
      </c>
      <c r="D326" s="4">
        <v>14</v>
      </c>
      <c r="E326" s="4" t="s">
        <v>126</v>
      </c>
      <c r="F326" s="4"/>
      <c r="G326" s="90">
        <f>G327+G330</f>
        <v>25.96</v>
      </c>
      <c r="H326" s="90">
        <f>H327+H330</f>
        <v>19.48</v>
      </c>
      <c r="I326" s="60">
        <f t="shared" si="43"/>
        <v>75.038520801232664</v>
      </c>
    </row>
    <row r="327" spans="1:11" ht="60" x14ac:dyDescent="0.2">
      <c r="A327" s="5" t="s">
        <v>147</v>
      </c>
      <c r="B327" s="4" t="s">
        <v>84</v>
      </c>
      <c r="C327" s="4" t="s">
        <v>6</v>
      </c>
      <c r="D327" s="4" t="s">
        <v>7</v>
      </c>
      <c r="E327" s="4" t="s">
        <v>337</v>
      </c>
      <c r="F327" s="4"/>
      <c r="G327" s="90">
        <f t="shared" ref="G327:H328" si="52">G328</f>
        <v>6.48</v>
      </c>
      <c r="H327" s="90">
        <f t="shared" si="52"/>
        <v>6.48</v>
      </c>
      <c r="I327" s="60">
        <f t="shared" si="43"/>
        <v>100</v>
      </c>
    </row>
    <row r="328" spans="1:11" ht="24" x14ac:dyDescent="0.2">
      <c r="A328" s="5" t="s">
        <v>342</v>
      </c>
      <c r="B328" s="4" t="s">
        <v>84</v>
      </c>
      <c r="C328" s="4" t="s">
        <v>6</v>
      </c>
      <c r="D328" s="4" t="s">
        <v>7</v>
      </c>
      <c r="E328" s="4" t="s">
        <v>146</v>
      </c>
      <c r="F328" s="4"/>
      <c r="G328" s="90">
        <f t="shared" si="52"/>
        <v>6.48</v>
      </c>
      <c r="H328" s="90">
        <f t="shared" si="52"/>
        <v>6.48</v>
      </c>
      <c r="I328" s="60">
        <f t="shared" si="43"/>
        <v>100</v>
      </c>
    </row>
    <row r="329" spans="1:11" ht="24" x14ac:dyDescent="0.2">
      <c r="A329" s="5" t="s">
        <v>47</v>
      </c>
      <c r="B329" s="4" t="s">
        <v>84</v>
      </c>
      <c r="C329" s="4" t="s">
        <v>6</v>
      </c>
      <c r="D329" s="4">
        <v>14</v>
      </c>
      <c r="E329" s="4" t="s">
        <v>146</v>
      </c>
      <c r="F329" s="4">
        <v>200</v>
      </c>
      <c r="G329" s="90">
        <v>6.48</v>
      </c>
      <c r="H329" s="90">
        <v>6.48</v>
      </c>
      <c r="I329" s="60">
        <f t="shared" si="43"/>
        <v>100</v>
      </c>
      <c r="J329" s="33">
        <v>15</v>
      </c>
      <c r="K329" s="74">
        <f>I329-J329</f>
        <v>85</v>
      </c>
    </row>
    <row r="330" spans="1:11" ht="33.75" customHeight="1" x14ac:dyDescent="0.2">
      <c r="A330" s="8" t="s">
        <v>145</v>
      </c>
      <c r="B330" s="4" t="s">
        <v>84</v>
      </c>
      <c r="C330" s="4" t="s">
        <v>6</v>
      </c>
      <c r="D330" s="4" t="s">
        <v>7</v>
      </c>
      <c r="E330" s="4" t="s">
        <v>343</v>
      </c>
      <c r="F330" s="4"/>
      <c r="G330" s="90">
        <f>G331</f>
        <v>19.48</v>
      </c>
      <c r="H330" s="90">
        <f t="shared" ref="H330" si="53">H331</f>
        <v>13</v>
      </c>
      <c r="I330" s="60">
        <f t="shared" ref="I330:I393" si="54">H330/G330*100</f>
        <v>66.735112936344962</v>
      </c>
    </row>
    <row r="331" spans="1:11" ht="36" x14ac:dyDescent="0.2">
      <c r="A331" s="5" t="s">
        <v>345</v>
      </c>
      <c r="B331" s="4" t="s">
        <v>84</v>
      </c>
      <c r="C331" s="4" t="s">
        <v>6</v>
      </c>
      <c r="D331" s="4" t="s">
        <v>7</v>
      </c>
      <c r="E331" s="4" t="s">
        <v>344</v>
      </c>
      <c r="F331" s="4"/>
      <c r="G331" s="90">
        <f>G332</f>
        <v>19.48</v>
      </c>
      <c r="H331" s="90">
        <f>H332</f>
        <v>13</v>
      </c>
      <c r="I331" s="60">
        <f t="shared" si="54"/>
        <v>66.735112936344962</v>
      </c>
    </row>
    <row r="332" spans="1:11" ht="24" x14ac:dyDescent="0.2">
      <c r="A332" s="5" t="s">
        <v>47</v>
      </c>
      <c r="B332" s="4" t="s">
        <v>84</v>
      </c>
      <c r="C332" s="4" t="s">
        <v>6</v>
      </c>
      <c r="D332" s="4">
        <v>14</v>
      </c>
      <c r="E332" s="4" t="s">
        <v>344</v>
      </c>
      <c r="F332" s="4">
        <v>200</v>
      </c>
      <c r="G332" s="90">
        <v>19.48</v>
      </c>
      <c r="H332" s="90">
        <v>13</v>
      </c>
      <c r="I332" s="60">
        <f t="shared" si="54"/>
        <v>66.735112936344962</v>
      </c>
      <c r="J332" s="33">
        <v>25</v>
      </c>
      <c r="K332" s="74">
        <f>I332-J332</f>
        <v>41.735112936344962</v>
      </c>
    </row>
    <row r="333" spans="1:11" x14ac:dyDescent="0.2">
      <c r="A333" s="5" t="s">
        <v>143</v>
      </c>
      <c r="B333" s="4" t="s">
        <v>84</v>
      </c>
      <c r="C333" s="4" t="s">
        <v>59</v>
      </c>
      <c r="D333" s="4"/>
      <c r="E333" s="4"/>
      <c r="F333" s="4"/>
      <c r="G333" s="88">
        <f>G334+G359+G343+G354</f>
        <v>25434.393110000001</v>
      </c>
      <c r="H333" s="88">
        <f>H334+H359+H343+H354</f>
        <v>20013.16762</v>
      </c>
      <c r="I333" s="60">
        <f t="shared" si="54"/>
        <v>78.685453721840346</v>
      </c>
    </row>
    <row r="334" spans="1:11" x14ac:dyDescent="0.2">
      <c r="A334" s="5" t="s">
        <v>142</v>
      </c>
      <c r="B334" s="4" t="s">
        <v>84</v>
      </c>
      <c r="C334" s="4" t="s">
        <v>59</v>
      </c>
      <c r="D334" s="4" t="s">
        <v>36</v>
      </c>
      <c r="E334" s="4"/>
      <c r="F334" s="4"/>
      <c r="G334" s="88">
        <f t="shared" ref="G334:H335" si="55">G335</f>
        <v>767</v>
      </c>
      <c r="H334" s="88">
        <f t="shared" si="55"/>
        <v>767</v>
      </c>
      <c r="I334" s="60">
        <f t="shared" si="54"/>
        <v>100</v>
      </c>
    </row>
    <row r="335" spans="1:11" ht="60" x14ac:dyDescent="0.2">
      <c r="A335" s="5" t="s">
        <v>328</v>
      </c>
      <c r="B335" s="4" t="s">
        <v>84</v>
      </c>
      <c r="C335" s="4" t="s">
        <v>59</v>
      </c>
      <c r="D335" s="4" t="s">
        <v>36</v>
      </c>
      <c r="E335" s="4" t="s">
        <v>64</v>
      </c>
      <c r="F335" s="4"/>
      <c r="G335" s="92">
        <f t="shared" si="55"/>
        <v>767</v>
      </c>
      <c r="H335" s="92">
        <f t="shared" si="55"/>
        <v>767</v>
      </c>
      <c r="I335" s="60">
        <f t="shared" si="54"/>
        <v>100</v>
      </c>
    </row>
    <row r="336" spans="1:11" ht="36" x14ac:dyDescent="0.2">
      <c r="A336" s="5" t="s">
        <v>141</v>
      </c>
      <c r="B336" s="4" t="s">
        <v>84</v>
      </c>
      <c r="C336" s="4" t="s">
        <v>59</v>
      </c>
      <c r="D336" s="4" t="s">
        <v>36</v>
      </c>
      <c r="E336" s="4" t="s">
        <v>346</v>
      </c>
      <c r="F336" s="4"/>
      <c r="G336" s="92">
        <f>G337+G339+G341</f>
        <v>767</v>
      </c>
      <c r="H336" s="92">
        <f>H337+H339+H341</f>
        <v>767</v>
      </c>
      <c r="I336" s="60">
        <f t="shared" si="54"/>
        <v>100</v>
      </c>
    </row>
    <row r="337" spans="1:11" ht="24" x14ac:dyDescent="0.2">
      <c r="A337" s="5" t="s">
        <v>347</v>
      </c>
      <c r="B337" s="4" t="s">
        <v>84</v>
      </c>
      <c r="C337" s="4" t="s">
        <v>59</v>
      </c>
      <c r="D337" s="4" t="s">
        <v>36</v>
      </c>
      <c r="E337" s="4" t="s">
        <v>140</v>
      </c>
      <c r="F337" s="4"/>
      <c r="G337" s="92">
        <f>G338</f>
        <v>106</v>
      </c>
      <c r="H337" s="92">
        <f t="shared" ref="H337" si="56">H338</f>
        <v>106</v>
      </c>
      <c r="I337" s="60">
        <f t="shared" si="54"/>
        <v>100</v>
      </c>
    </row>
    <row r="338" spans="1:11" ht="24" x14ac:dyDescent="0.2">
      <c r="A338" s="5" t="s">
        <v>47</v>
      </c>
      <c r="B338" s="4" t="s">
        <v>84</v>
      </c>
      <c r="C338" s="4" t="s">
        <v>59</v>
      </c>
      <c r="D338" s="4" t="s">
        <v>36</v>
      </c>
      <c r="E338" s="4" t="s">
        <v>140</v>
      </c>
      <c r="F338" s="4">
        <v>200</v>
      </c>
      <c r="G338" s="92">
        <v>106</v>
      </c>
      <c r="H338" s="92">
        <v>106</v>
      </c>
      <c r="I338" s="60">
        <f t="shared" si="54"/>
        <v>100</v>
      </c>
      <c r="J338" s="33">
        <v>139</v>
      </c>
      <c r="K338" s="74">
        <f>I338-J338</f>
        <v>-39</v>
      </c>
    </row>
    <row r="339" spans="1:11" ht="96" x14ac:dyDescent="0.2">
      <c r="A339" s="5" t="s">
        <v>435</v>
      </c>
      <c r="B339" s="4" t="s">
        <v>84</v>
      </c>
      <c r="C339" s="4" t="s">
        <v>59</v>
      </c>
      <c r="D339" s="4" t="s">
        <v>36</v>
      </c>
      <c r="E339" s="4" t="s">
        <v>139</v>
      </c>
      <c r="F339" s="4"/>
      <c r="G339" s="92">
        <f>G340</f>
        <v>201.8</v>
      </c>
      <c r="H339" s="92">
        <f>H340</f>
        <v>201.8</v>
      </c>
      <c r="I339" s="60">
        <f t="shared" si="54"/>
        <v>100</v>
      </c>
    </row>
    <row r="340" spans="1:11" ht="24" x14ac:dyDescent="0.2">
      <c r="A340" s="5" t="s">
        <v>47</v>
      </c>
      <c r="B340" s="4" t="s">
        <v>84</v>
      </c>
      <c r="C340" s="4" t="s">
        <v>59</v>
      </c>
      <c r="D340" s="4" t="s">
        <v>36</v>
      </c>
      <c r="E340" s="4" t="s">
        <v>139</v>
      </c>
      <c r="F340" s="4" t="s">
        <v>51</v>
      </c>
      <c r="G340" s="92">
        <v>201.8</v>
      </c>
      <c r="H340" s="92">
        <v>201.8</v>
      </c>
      <c r="I340" s="60">
        <f t="shared" si="54"/>
        <v>100</v>
      </c>
      <c r="J340" s="33">
        <v>191.8</v>
      </c>
      <c r="K340" s="74">
        <f>I340-J340</f>
        <v>-91.800000000000011</v>
      </c>
    </row>
    <row r="341" spans="1:11" ht="36" x14ac:dyDescent="0.2">
      <c r="A341" s="5" t="s">
        <v>436</v>
      </c>
      <c r="B341" s="4" t="s">
        <v>84</v>
      </c>
      <c r="C341" s="4" t="s">
        <v>59</v>
      </c>
      <c r="D341" s="4" t="s">
        <v>36</v>
      </c>
      <c r="E341" s="4" t="s">
        <v>138</v>
      </c>
      <c r="F341" s="4"/>
      <c r="G341" s="92">
        <f>G342</f>
        <v>459.2</v>
      </c>
      <c r="H341" s="92">
        <f>H342</f>
        <v>459.2</v>
      </c>
      <c r="I341" s="60">
        <f t="shared" si="54"/>
        <v>100</v>
      </c>
    </row>
    <row r="342" spans="1:11" ht="24" x14ac:dyDescent="0.2">
      <c r="A342" s="5" t="s">
        <v>47</v>
      </c>
      <c r="B342" s="4" t="s">
        <v>84</v>
      </c>
      <c r="C342" s="4" t="s">
        <v>59</v>
      </c>
      <c r="D342" s="4" t="s">
        <v>36</v>
      </c>
      <c r="E342" s="4" t="s">
        <v>138</v>
      </c>
      <c r="F342" s="4" t="s">
        <v>51</v>
      </c>
      <c r="G342" s="92">
        <v>459.2</v>
      </c>
      <c r="H342" s="92">
        <v>459.2</v>
      </c>
      <c r="I342" s="60">
        <f t="shared" si="54"/>
        <v>100</v>
      </c>
      <c r="J342" s="33">
        <v>403.9</v>
      </c>
      <c r="K342" s="74">
        <f>I342-J342</f>
        <v>-303.89999999999998</v>
      </c>
    </row>
    <row r="343" spans="1:11" x14ac:dyDescent="0.2">
      <c r="A343" s="5" t="s">
        <v>137</v>
      </c>
      <c r="B343" s="4" t="s">
        <v>84</v>
      </c>
      <c r="C343" s="4" t="s">
        <v>59</v>
      </c>
      <c r="D343" s="4" t="s">
        <v>68</v>
      </c>
      <c r="E343" s="4"/>
      <c r="F343" s="4"/>
      <c r="G343" s="60">
        <f t="shared" ref="G343:H352" si="57">G344</f>
        <v>11454.62102</v>
      </c>
      <c r="H343" s="60">
        <f t="shared" si="57"/>
        <v>6092.1467499999999</v>
      </c>
      <c r="I343" s="60">
        <f t="shared" si="54"/>
        <v>53.185057273942007</v>
      </c>
    </row>
    <row r="344" spans="1:11" ht="60" x14ac:dyDescent="0.2">
      <c r="A344" s="5" t="s">
        <v>335</v>
      </c>
      <c r="B344" s="4" t="s">
        <v>84</v>
      </c>
      <c r="C344" s="4" t="s">
        <v>59</v>
      </c>
      <c r="D344" s="4" t="s">
        <v>68</v>
      </c>
      <c r="E344" s="4" t="s">
        <v>121</v>
      </c>
      <c r="F344" s="4"/>
      <c r="G344" s="90">
        <f t="shared" si="57"/>
        <v>11454.62102</v>
      </c>
      <c r="H344" s="90">
        <f t="shared" si="57"/>
        <v>6092.1467499999999</v>
      </c>
      <c r="I344" s="60">
        <f t="shared" si="54"/>
        <v>53.185057273942007</v>
      </c>
    </row>
    <row r="345" spans="1:11" ht="24" x14ac:dyDescent="0.2">
      <c r="A345" s="5" t="s">
        <v>348</v>
      </c>
      <c r="B345" s="4" t="s">
        <v>84</v>
      </c>
      <c r="C345" s="4" t="s">
        <v>59</v>
      </c>
      <c r="D345" s="4" t="s">
        <v>68</v>
      </c>
      <c r="E345" s="4" t="s">
        <v>349</v>
      </c>
      <c r="F345" s="4"/>
      <c r="G345" s="90">
        <f>G348+G346+G352+G350</f>
        <v>11454.62102</v>
      </c>
      <c r="H345" s="90">
        <f t="shared" ref="H345" si="58">H348+H346+H352+H350</f>
        <v>6092.1467499999999</v>
      </c>
      <c r="I345" s="60">
        <f t="shared" si="54"/>
        <v>53.185057273942007</v>
      </c>
    </row>
    <row r="346" spans="1:11" x14ac:dyDescent="0.2">
      <c r="A346" s="5" t="s">
        <v>530</v>
      </c>
      <c r="B346" s="4" t="s">
        <v>84</v>
      </c>
      <c r="C346" s="4" t="s">
        <v>59</v>
      </c>
      <c r="D346" s="4" t="s">
        <v>68</v>
      </c>
      <c r="E346" s="4" t="s">
        <v>525</v>
      </c>
      <c r="F346" s="4"/>
      <c r="G346" s="90">
        <f t="shared" si="57"/>
        <v>160</v>
      </c>
      <c r="H346" s="90">
        <f t="shared" si="57"/>
        <v>160</v>
      </c>
      <c r="I346" s="60">
        <f t="shared" si="54"/>
        <v>100</v>
      </c>
    </row>
    <row r="347" spans="1:11" ht="24" x14ac:dyDescent="0.2">
      <c r="A347" s="5" t="s">
        <v>47</v>
      </c>
      <c r="B347" s="4" t="s">
        <v>84</v>
      </c>
      <c r="C347" s="4" t="s">
        <v>59</v>
      </c>
      <c r="D347" s="4" t="s">
        <v>68</v>
      </c>
      <c r="E347" s="4" t="s">
        <v>525</v>
      </c>
      <c r="F347" s="4" t="s">
        <v>51</v>
      </c>
      <c r="G347" s="90">
        <v>160</v>
      </c>
      <c r="H347" s="90">
        <v>160</v>
      </c>
      <c r="I347" s="60">
        <f t="shared" si="54"/>
        <v>100</v>
      </c>
    </row>
    <row r="348" spans="1:11" ht="36" x14ac:dyDescent="0.2">
      <c r="A348" s="5" t="s">
        <v>351</v>
      </c>
      <c r="B348" s="4" t="s">
        <v>84</v>
      </c>
      <c r="C348" s="4" t="s">
        <v>59</v>
      </c>
      <c r="D348" s="4" t="s">
        <v>68</v>
      </c>
      <c r="E348" s="4" t="s">
        <v>350</v>
      </c>
      <c r="F348" s="4"/>
      <c r="G348" s="90">
        <f t="shared" si="57"/>
        <v>5944.9850200000001</v>
      </c>
      <c r="H348" s="90">
        <f t="shared" si="57"/>
        <v>5932.1467499999999</v>
      </c>
      <c r="I348" s="60">
        <f t="shared" si="54"/>
        <v>99.784048740967222</v>
      </c>
    </row>
    <row r="349" spans="1:11" ht="24" x14ac:dyDescent="0.2">
      <c r="A349" s="5" t="s">
        <v>47</v>
      </c>
      <c r="B349" s="4" t="s">
        <v>84</v>
      </c>
      <c r="C349" s="4" t="s">
        <v>59</v>
      </c>
      <c r="D349" s="4" t="s">
        <v>68</v>
      </c>
      <c r="E349" s="4" t="s">
        <v>350</v>
      </c>
      <c r="F349" s="4" t="s">
        <v>51</v>
      </c>
      <c r="G349" s="90">
        <v>5944.9850200000001</v>
      </c>
      <c r="H349" s="90">
        <v>5932.1467499999999</v>
      </c>
      <c r="I349" s="60">
        <f t="shared" si="54"/>
        <v>99.784048740967222</v>
      </c>
      <c r="J349" s="33">
        <v>5644.6362499999996</v>
      </c>
      <c r="K349" s="74">
        <f>I349-J349</f>
        <v>-5544.852201259032</v>
      </c>
    </row>
    <row r="350" spans="1:11" ht="24" x14ac:dyDescent="0.2">
      <c r="A350" s="5" t="s">
        <v>531</v>
      </c>
      <c r="B350" s="4" t="s">
        <v>84</v>
      </c>
      <c r="C350" s="4" t="s">
        <v>59</v>
      </c>
      <c r="D350" s="4" t="s">
        <v>68</v>
      </c>
      <c r="E350" s="4" t="s">
        <v>527</v>
      </c>
      <c r="F350" s="4"/>
      <c r="G350" s="90">
        <f t="shared" si="57"/>
        <v>160.54328000000001</v>
      </c>
      <c r="H350" s="90">
        <f t="shared" si="57"/>
        <v>0</v>
      </c>
      <c r="I350" s="60">
        <f t="shared" si="54"/>
        <v>0</v>
      </c>
      <c r="K350" s="74"/>
    </row>
    <row r="351" spans="1:11" ht="24" x14ac:dyDescent="0.2">
      <c r="A351" s="5" t="s">
        <v>47</v>
      </c>
      <c r="B351" s="4" t="s">
        <v>84</v>
      </c>
      <c r="C351" s="4" t="s">
        <v>59</v>
      </c>
      <c r="D351" s="4" t="s">
        <v>68</v>
      </c>
      <c r="E351" s="4" t="s">
        <v>527</v>
      </c>
      <c r="F351" s="4" t="s">
        <v>51</v>
      </c>
      <c r="G351" s="90">
        <v>160.54328000000001</v>
      </c>
      <c r="H351" s="90"/>
      <c r="I351" s="60">
        <f t="shared" si="54"/>
        <v>0</v>
      </c>
      <c r="K351" s="74"/>
    </row>
    <row r="352" spans="1:11" x14ac:dyDescent="0.2">
      <c r="A352" s="5" t="s">
        <v>532</v>
      </c>
      <c r="B352" s="4" t="s">
        <v>84</v>
      </c>
      <c r="C352" s="4" t="s">
        <v>59</v>
      </c>
      <c r="D352" s="4" t="s">
        <v>68</v>
      </c>
      <c r="E352" s="4" t="s">
        <v>526</v>
      </c>
      <c r="F352" s="4"/>
      <c r="G352" s="90">
        <f t="shared" si="57"/>
        <v>5189.0927199999996</v>
      </c>
      <c r="H352" s="90">
        <f t="shared" si="57"/>
        <v>0</v>
      </c>
      <c r="I352" s="60">
        <f t="shared" si="54"/>
        <v>0</v>
      </c>
      <c r="K352" s="74"/>
    </row>
    <row r="353" spans="1:11" ht="24" x14ac:dyDescent="0.2">
      <c r="A353" s="5" t="s">
        <v>47</v>
      </c>
      <c r="B353" s="4" t="s">
        <v>84</v>
      </c>
      <c r="C353" s="4" t="s">
        <v>59</v>
      </c>
      <c r="D353" s="4" t="s">
        <v>68</v>
      </c>
      <c r="E353" s="4" t="s">
        <v>526</v>
      </c>
      <c r="F353" s="4" t="s">
        <v>51</v>
      </c>
      <c r="G353" s="90">
        <v>5189.0927199999996</v>
      </c>
      <c r="H353" s="90"/>
      <c r="I353" s="60">
        <f t="shared" si="54"/>
        <v>0</v>
      </c>
      <c r="K353" s="74"/>
    </row>
    <row r="354" spans="1:11" x14ac:dyDescent="0.2">
      <c r="A354" s="5" t="s">
        <v>497</v>
      </c>
      <c r="B354" s="4" t="s">
        <v>84</v>
      </c>
      <c r="C354" s="4" t="s">
        <v>59</v>
      </c>
      <c r="D354" s="4" t="s">
        <v>54</v>
      </c>
      <c r="E354" s="4"/>
      <c r="F354" s="4"/>
      <c r="G354" s="90">
        <f t="shared" ref="G354:H357" si="59">G355</f>
        <v>380</v>
      </c>
      <c r="H354" s="90">
        <f t="shared" si="59"/>
        <v>380</v>
      </c>
      <c r="I354" s="60">
        <f t="shared" si="54"/>
        <v>100</v>
      </c>
    </row>
    <row r="355" spans="1:11" ht="47.25" customHeight="1" x14ac:dyDescent="0.2">
      <c r="A355" s="8" t="s">
        <v>335</v>
      </c>
      <c r="B355" s="4" t="s">
        <v>84</v>
      </c>
      <c r="C355" s="4" t="s">
        <v>59</v>
      </c>
      <c r="D355" s="4" t="s">
        <v>54</v>
      </c>
      <c r="E355" s="4" t="s">
        <v>121</v>
      </c>
      <c r="F355" s="4"/>
      <c r="G355" s="90">
        <f t="shared" si="59"/>
        <v>380</v>
      </c>
      <c r="H355" s="90">
        <f t="shared" si="59"/>
        <v>380</v>
      </c>
      <c r="I355" s="60">
        <f t="shared" si="54"/>
        <v>100</v>
      </c>
    </row>
    <row r="356" spans="1:11" ht="24" x14ac:dyDescent="0.2">
      <c r="A356" s="5" t="s">
        <v>499</v>
      </c>
      <c r="B356" s="4" t="s">
        <v>84</v>
      </c>
      <c r="C356" s="4" t="s">
        <v>59</v>
      </c>
      <c r="D356" s="4" t="s">
        <v>54</v>
      </c>
      <c r="E356" s="4" t="s">
        <v>491</v>
      </c>
      <c r="F356" s="4"/>
      <c r="G356" s="90">
        <f t="shared" si="59"/>
        <v>380</v>
      </c>
      <c r="H356" s="90">
        <f t="shared" si="59"/>
        <v>380</v>
      </c>
      <c r="I356" s="60">
        <f t="shared" si="54"/>
        <v>100</v>
      </c>
    </row>
    <row r="357" spans="1:11" x14ac:dyDescent="0.2">
      <c r="A357" s="5" t="s">
        <v>498</v>
      </c>
      <c r="B357" s="4" t="s">
        <v>84</v>
      </c>
      <c r="C357" s="4" t="s">
        <v>59</v>
      </c>
      <c r="D357" s="4" t="s">
        <v>54</v>
      </c>
      <c r="E357" s="4" t="s">
        <v>492</v>
      </c>
      <c r="F357" s="4"/>
      <c r="G357" s="90">
        <f t="shared" si="59"/>
        <v>380</v>
      </c>
      <c r="H357" s="90">
        <f t="shared" si="59"/>
        <v>380</v>
      </c>
      <c r="I357" s="60">
        <f t="shared" si="54"/>
        <v>100</v>
      </c>
    </row>
    <row r="358" spans="1:11" ht="24" x14ac:dyDescent="0.2">
      <c r="A358" s="5" t="s">
        <v>47</v>
      </c>
      <c r="B358" s="4" t="s">
        <v>84</v>
      </c>
      <c r="C358" s="4" t="s">
        <v>59</v>
      </c>
      <c r="D358" s="4" t="s">
        <v>54</v>
      </c>
      <c r="E358" s="4" t="s">
        <v>492</v>
      </c>
      <c r="F358" s="4" t="s">
        <v>51</v>
      </c>
      <c r="G358" s="90">
        <v>380</v>
      </c>
      <c r="H358" s="90">
        <v>380</v>
      </c>
      <c r="I358" s="60">
        <f t="shared" si="54"/>
        <v>100</v>
      </c>
      <c r="J358" s="33">
        <v>380</v>
      </c>
      <c r="K358" s="74">
        <f>I358-J358</f>
        <v>-280</v>
      </c>
    </row>
    <row r="359" spans="1:11" x14ac:dyDescent="0.2">
      <c r="A359" s="5" t="s">
        <v>136</v>
      </c>
      <c r="B359" s="4" t="s">
        <v>84</v>
      </c>
      <c r="C359" s="4" t="s">
        <v>59</v>
      </c>
      <c r="D359" s="4" t="s">
        <v>28</v>
      </c>
      <c r="E359" s="4"/>
      <c r="F359" s="4"/>
      <c r="G359" s="88">
        <f>G360+G369+G377+G382+G391</f>
        <v>12832.77209</v>
      </c>
      <c r="H359" s="88">
        <f>H360+H369+H377+H382+H391</f>
        <v>12774.020870000002</v>
      </c>
      <c r="I359" s="60">
        <f t="shared" si="54"/>
        <v>99.54217826368334</v>
      </c>
    </row>
    <row r="360" spans="1:11" ht="84" x14ac:dyDescent="0.2">
      <c r="A360" s="5" t="s">
        <v>359</v>
      </c>
      <c r="B360" s="5" t="s">
        <v>84</v>
      </c>
      <c r="C360" s="5" t="s">
        <v>59</v>
      </c>
      <c r="D360" s="5" t="s">
        <v>28</v>
      </c>
      <c r="E360" s="5" t="s">
        <v>270</v>
      </c>
      <c r="F360" s="5"/>
      <c r="G360" s="96">
        <f>G361+G367</f>
        <v>1184.74</v>
      </c>
      <c r="H360" s="96">
        <f>H361+H367</f>
        <v>1180.17383</v>
      </c>
      <c r="I360" s="60">
        <f t="shared" si="54"/>
        <v>99.614584634603361</v>
      </c>
    </row>
    <row r="361" spans="1:11" ht="36.75" customHeight="1" x14ac:dyDescent="0.2">
      <c r="A361" s="5" t="s">
        <v>340</v>
      </c>
      <c r="B361" s="5" t="s">
        <v>84</v>
      </c>
      <c r="C361" s="5" t="s">
        <v>59</v>
      </c>
      <c r="D361" s="5" t="s">
        <v>28</v>
      </c>
      <c r="E361" s="5" t="s">
        <v>360</v>
      </c>
      <c r="F361" s="5"/>
      <c r="G361" s="96">
        <f>G362+G364</f>
        <v>1105.46</v>
      </c>
      <c r="H361" s="96">
        <f>H362+H364</f>
        <v>1104.99063</v>
      </c>
      <c r="I361" s="60">
        <f t="shared" si="54"/>
        <v>99.957540752266027</v>
      </c>
    </row>
    <row r="362" spans="1:11" ht="36" x14ac:dyDescent="0.2">
      <c r="A362" s="5" t="s">
        <v>272</v>
      </c>
      <c r="B362" s="5" t="s">
        <v>84</v>
      </c>
      <c r="C362" s="5" t="s">
        <v>59</v>
      </c>
      <c r="D362" s="5" t="s">
        <v>28</v>
      </c>
      <c r="E362" s="5" t="s">
        <v>265</v>
      </c>
      <c r="F362" s="5"/>
      <c r="G362" s="96">
        <f>G363</f>
        <v>958.81</v>
      </c>
      <c r="H362" s="96">
        <f>H363</f>
        <v>958.71090000000004</v>
      </c>
      <c r="I362" s="60">
        <f t="shared" si="54"/>
        <v>99.989664271336352</v>
      </c>
    </row>
    <row r="363" spans="1:11" ht="60" x14ac:dyDescent="0.2">
      <c r="A363" s="5" t="s">
        <v>38</v>
      </c>
      <c r="B363" s="5" t="s">
        <v>84</v>
      </c>
      <c r="C363" s="5" t="s">
        <v>59</v>
      </c>
      <c r="D363" s="5" t="s">
        <v>28</v>
      </c>
      <c r="E363" s="5" t="s">
        <v>265</v>
      </c>
      <c r="F363" s="5" t="s">
        <v>34</v>
      </c>
      <c r="G363" s="96">
        <v>958.81</v>
      </c>
      <c r="H363" s="96">
        <f>737.34+221.3709</f>
        <v>958.71090000000004</v>
      </c>
      <c r="I363" s="60">
        <f t="shared" si="54"/>
        <v>99.989664271336352</v>
      </c>
      <c r="J363" s="33">
        <f>631+190.56</f>
        <v>821.56</v>
      </c>
      <c r="K363" s="74">
        <f>I363-J363</f>
        <v>-721.57033572866362</v>
      </c>
    </row>
    <row r="364" spans="1:11" ht="36" x14ac:dyDescent="0.2">
      <c r="A364" s="5" t="s">
        <v>273</v>
      </c>
      <c r="B364" s="5" t="s">
        <v>84</v>
      </c>
      <c r="C364" s="5" t="s">
        <v>59</v>
      </c>
      <c r="D364" s="5" t="s">
        <v>28</v>
      </c>
      <c r="E364" s="5" t="s">
        <v>264</v>
      </c>
      <c r="F364" s="5"/>
      <c r="G364" s="96">
        <f>G365+G366</f>
        <v>146.65</v>
      </c>
      <c r="H364" s="96">
        <f>H365+H366</f>
        <v>146.27973</v>
      </c>
      <c r="I364" s="60">
        <f t="shared" si="54"/>
        <v>99.747514490282981</v>
      </c>
    </row>
    <row r="365" spans="1:11" ht="24" x14ac:dyDescent="0.2">
      <c r="A365" s="5" t="s">
        <v>47</v>
      </c>
      <c r="B365" s="5" t="s">
        <v>84</v>
      </c>
      <c r="C365" s="5" t="s">
        <v>59</v>
      </c>
      <c r="D365" s="5" t="s">
        <v>28</v>
      </c>
      <c r="E365" s="5" t="s">
        <v>264</v>
      </c>
      <c r="F365" s="5" t="s">
        <v>51</v>
      </c>
      <c r="G365" s="96">
        <v>51.85</v>
      </c>
      <c r="H365" s="96">
        <v>51.85</v>
      </c>
      <c r="I365" s="60">
        <f t="shared" si="54"/>
        <v>100</v>
      </c>
      <c r="J365" s="33">
        <v>97.2</v>
      </c>
      <c r="K365" s="74">
        <f>I365-J365</f>
        <v>2.7999999999999972</v>
      </c>
    </row>
    <row r="366" spans="1:11" s="62" customFormat="1" ht="12.75" customHeight="1" x14ac:dyDescent="0.2">
      <c r="A366" s="8" t="s">
        <v>74</v>
      </c>
      <c r="B366" s="8" t="s">
        <v>84</v>
      </c>
      <c r="C366" s="8" t="s">
        <v>59</v>
      </c>
      <c r="D366" s="8" t="s">
        <v>28</v>
      </c>
      <c r="E366" s="8" t="s">
        <v>264</v>
      </c>
      <c r="F366" s="8" t="s">
        <v>84</v>
      </c>
      <c r="G366" s="97">
        <v>94.8</v>
      </c>
      <c r="H366" s="97">
        <f>87.85+0.075+6.50473</f>
        <v>94.429729999999992</v>
      </c>
      <c r="I366" s="60">
        <f t="shared" si="54"/>
        <v>99.609419831223619</v>
      </c>
      <c r="J366" s="62">
        <f>115.55+0.2+0.25</f>
        <v>116</v>
      </c>
      <c r="K366" s="86">
        <f>I366-J366</f>
        <v>-16.390580168776381</v>
      </c>
    </row>
    <row r="367" spans="1:11" ht="24" x14ac:dyDescent="0.2">
      <c r="A367" s="5" t="s">
        <v>450</v>
      </c>
      <c r="B367" s="4" t="s">
        <v>84</v>
      </c>
      <c r="C367" s="4" t="s">
        <v>59</v>
      </c>
      <c r="D367" s="4" t="s">
        <v>28</v>
      </c>
      <c r="E367" s="4" t="s">
        <v>469</v>
      </c>
      <c r="F367" s="4"/>
      <c r="G367" s="60">
        <f>G368</f>
        <v>79.28</v>
      </c>
      <c r="H367" s="60">
        <f>H368</f>
        <v>75.183199999999999</v>
      </c>
      <c r="I367" s="60">
        <f t="shared" si="54"/>
        <v>94.832492431886976</v>
      </c>
    </row>
    <row r="368" spans="1:11" ht="60" x14ac:dyDescent="0.2">
      <c r="A368" s="5" t="s">
        <v>38</v>
      </c>
      <c r="B368" s="4" t="s">
        <v>84</v>
      </c>
      <c r="C368" s="4" t="s">
        <v>59</v>
      </c>
      <c r="D368" s="4" t="s">
        <v>28</v>
      </c>
      <c r="E368" s="4" t="s">
        <v>469</v>
      </c>
      <c r="F368" s="4" t="s">
        <v>34</v>
      </c>
      <c r="G368" s="60">
        <v>79.28</v>
      </c>
      <c r="H368" s="60">
        <f>56.7912+18.392</f>
        <v>75.183199999999999</v>
      </c>
      <c r="I368" s="60">
        <f t="shared" si="54"/>
        <v>94.832492431886976</v>
      </c>
      <c r="J368" s="33">
        <f>60.888+18.392</f>
        <v>79.28</v>
      </c>
      <c r="K368" s="74">
        <f>I368-J368</f>
        <v>15.552492431886975</v>
      </c>
    </row>
    <row r="369" spans="1:11" ht="48" x14ac:dyDescent="0.2">
      <c r="A369" s="5" t="s">
        <v>352</v>
      </c>
      <c r="B369" s="4" t="s">
        <v>84</v>
      </c>
      <c r="C369" s="4" t="s">
        <v>59</v>
      </c>
      <c r="D369" s="4" t="s">
        <v>28</v>
      </c>
      <c r="E369" s="4" t="s">
        <v>135</v>
      </c>
      <c r="F369" s="4"/>
      <c r="G369" s="91">
        <f>G370+G374</f>
        <v>684</v>
      </c>
      <c r="H369" s="91">
        <f>H370+H374</f>
        <v>683.99962000000005</v>
      </c>
      <c r="I369" s="60">
        <f t="shared" si="54"/>
        <v>99.999944444444452</v>
      </c>
    </row>
    <row r="370" spans="1:11" ht="36" x14ac:dyDescent="0.2">
      <c r="A370" s="5" t="s">
        <v>253</v>
      </c>
      <c r="B370" s="4" t="s">
        <v>84</v>
      </c>
      <c r="C370" s="4" t="s">
        <v>59</v>
      </c>
      <c r="D370" s="4" t="s">
        <v>28</v>
      </c>
      <c r="E370" s="4" t="s">
        <v>353</v>
      </c>
      <c r="F370" s="4"/>
      <c r="G370" s="91">
        <f>G371</f>
        <v>684</v>
      </c>
      <c r="H370" s="91">
        <f>H371</f>
        <v>683.99962000000005</v>
      </c>
      <c r="I370" s="60">
        <f t="shared" si="54"/>
        <v>99.999944444444452</v>
      </c>
    </row>
    <row r="371" spans="1:11" ht="48" x14ac:dyDescent="0.2">
      <c r="A371" s="5" t="s">
        <v>354</v>
      </c>
      <c r="B371" s="4" t="s">
        <v>84</v>
      </c>
      <c r="C371" s="4" t="s">
        <v>59</v>
      </c>
      <c r="D371" s="4" t="s">
        <v>28</v>
      </c>
      <c r="E371" s="4" t="s">
        <v>134</v>
      </c>
      <c r="F371" s="4"/>
      <c r="G371" s="91">
        <f>G373+G372</f>
        <v>684</v>
      </c>
      <c r="H371" s="91">
        <f>H373+H372</f>
        <v>683.99962000000005</v>
      </c>
      <c r="I371" s="60">
        <f t="shared" si="54"/>
        <v>99.999944444444452</v>
      </c>
    </row>
    <row r="372" spans="1:11" ht="24" x14ac:dyDescent="0.2">
      <c r="A372" s="5" t="s">
        <v>47</v>
      </c>
      <c r="B372" s="4" t="s">
        <v>84</v>
      </c>
      <c r="C372" s="4" t="s">
        <v>59</v>
      </c>
      <c r="D372" s="4" t="s">
        <v>28</v>
      </c>
      <c r="E372" s="4" t="s">
        <v>134</v>
      </c>
      <c r="F372" s="4" t="s">
        <v>51</v>
      </c>
      <c r="G372" s="91">
        <v>139</v>
      </c>
      <c r="H372" s="91">
        <v>138.99961999999999</v>
      </c>
      <c r="I372" s="60">
        <f t="shared" si="54"/>
        <v>99.999726618705026</v>
      </c>
      <c r="J372" s="33">
        <v>148.999</v>
      </c>
      <c r="K372" s="74">
        <f>I372-J372</f>
        <v>-48.999273381294969</v>
      </c>
    </row>
    <row r="373" spans="1:11" ht="12.75" customHeight="1" x14ac:dyDescent="0.2">
      <c r="A373" s="8" t="s">
        <v>74</v>
      </c>
      <c r="B373" s="4" t="s">
        <v>84</v>
      </c>
      <c r="C373" s="4" t="s">
        <v>59</v>
      </c>
      <c r="D373" s="4" t="s">
        <v>28</v>
      </c>
      <c r="E373" s="4" t="s">
        <v>134</v>
      </c>
      <c r="F373" s="4" t="s">
        <v>84</v>
      </c>
      <c r="G373" s="91">
        <v>545</v>
      </c>
      <c r="H373" s="91">
        <v>545</v>
      </c>
      <c r="I373" s="60">
        <f t="shared" si="54"/>
        <v>100</v>
      </c>
      <c r="J373" s="33">
        <v>790</v>
      </c>
      <c r="K373" s="74">
        <f>I373-J373</f>
        <v>-690</v>
      </c>
    </row>
    <row r="374" spans="1:11" ht="36" x14ac:dyDescent="0.2">
      <c r="A374" s="8" t="s">
        <v>357</v>
      </c>
      <c r="B374" s="4" t="s">
        <v>84</v>
      </c>
      <c r="C374" s="4" t="s">
        <v>59</v>
      </c>
      <c r="D374" s="4" t="s">
        <v>28</v>
      </c>
      <c r="E374" s="4" t="s">
        <v>355</v>
      </c>
      <c r="F374" s="4"/>
      <c r="G374" s="91">
        <f t="shared" ref="G374:H375" si="60">G375</f>
        <v>0</v>
      </c>
      <c r="H374" s="91">
        <f t="shared" si="60"/>
        <v>0</v>
      </c>
      <c r="I374" s="60" t="e">
        <f t="shared" si="54"/>
        <v>#DIV/0!</v>
      </c>
    </row>
    <row r="375" spans="1:11" ht="24" x14ac:dyDescent="0.2">
      <c r="A375" s="5" t="s">
        <v>358</v>
      </c>
      <c r="B375" s="4" t="s">
        <v>84</v>
      </c>
      <c r="C375" s="4" t="s">
        <v>59</v>
      </c>
      <c r="D375" s="4" t="s">
        <v>28</v>
      </c>
      <c r="E375" s="4" t="s">
        <v>356</v>
      </c>
      <c r="F375" s="4"/>
      <c r="G375" s="91">
        <f t="shared" si="60"/>
        <v>0</v>
      </c>
      <c r="H375" s="91">
        <f t="shared" si="60"/>
        <v>0</v>
      </c>
      <c r="I375" s="60" t="e">
        <f t="shared" si="54"/>
        <v>#DIV/0!</v>
      </c>
    </row>
    <row r="376" spans="1:11" ht="24" x14ac:dyDescent="0.2">
      <c r="A376" s="5" t="s">
        <v>47</v>
      </c>
      <c r="B376" s="4" t="s">
        <v>84</v>
      </c>
      <c r="C376" s="4" t="s">
        <v>59</v>
      </c>
      <c r="D376" s="4" t="s">
        <v>28</v>
      </c>
      <c r="E376" s="4" t="s">
        <v>356</v>
      </c>
      <c r="F376" s="4" t="s">
        <v>51</v>
      </c>
      <c r="G376" s="91">
        <v>0</v>
      </c>
      <c r="H376" s="91"/>
      <c r="I376" s="60" t="e">
        <f t="shared" si="54"/>
        <v>#DIV/0!</v>
      </c>
      <c r="J376" s="33">
        <v>55</v>
      </c>
      <c r="K376" s="74" t="e">
        <f>I376-J376</f>
        <v>#DIV/0!</v>
      </c>
    </row>
    <row r="377" spans="1:11" ht="60" x14ac:dyDescent="0.2">
      <c r="A377" s="5" t="s">
        <v>361</v>
      </c>
      <c r="B377" s="4" t="s">
        <v>84</v>
      </c>
      <c r="C377" s="4" t="s">
        <v>59</v>
      </c>
      <c r="D377" s="4" t="s">
        <v>28</v>
      </c>
      <c r="E377" s="4" t="s">
        <v>129</v>
      </c>
      <c r="F377" s="4"/>
      <c r="G377" s="91">
        <f t="shared" ref="G377:H378" si="61">G378</f>
        <v>10090.26309</v>
      </c>
      <c r="H377" s="91">
        <f t="shared" si="61"/>
        <v>10052.398420000001</v>
      </c>
      <c r="I377" s="60">
        <f t="shared" si="54"/>
        <v>99.624740508128824</v>
      </c>
    </row>
    <row r="378" spans="1:11" ht="48" x14ac:dyDescent="0.2">
      <c r="A378" s="5" t="s">
        <v>128</v>
      </c>
      <c r="B378" s="4" t="s">
        <v>84</v>
      </c>
      <c r="C378" s="4" t="s">
        <v>59</v>
      </c>
      <c r="D378" s="4" t="s">
        <v>28</v>
      </c>
      <c r="E378" s="4" t="s">
        <v>362</v>
      </c>
      <c r="F378" s="4"/>
      <c r="G378" s="91">
        <f t="shared" si="61"/>
        <v>10090.26309</v>
      </c>
      <c r="H378" s="91">
        <f t="shared" si="61"/>
        <v>10052.398420000001</v>
      </c>
      <c r="I378" s="60">
        <f t="shared" si="54"/>
        <v>99.624740508128824</v>
      </c>
    </row>
    <row r="379" spans="1:11" ht="36" x14ac:dyDescent="0.2">
      <c r="A379" s="5" t="s">
        <v>363</v>
      </c>
      <c r="B379" s="4" t="s">
        <v>84</v>
      </c>
      <c r="C379" s="4" t="s">
        <v>59</v>
      </c>
      <c r="D379" s="4" t="s">
        <v>28</v>
      </c>
      <c r="E379" s="4" t="s">
        <v>127</v>
      </c>
      <c r="F379" s="4"/>
      <c r="G379" s="91">
        <f>G380+G381</f>
        <v>10090.26309</v>
      </c>
      <c r="H379" s="91">
        <f>H380+H381</f>
        <v>10052.398420000001</v>
      </c>
      <c r="I379" s="60">
        <f t="shared" si="54"/>
        <v>99.624740508128824</v>
      </c>
    </row>
    <row r="380" spans="1:11" ht="24" x14ac:dyDescent="0.2">
      <c r="A380" s="5" t="s">
        <v>47</v>
      </c>
      <c r="B380" s="4" t="s">
        <v>84</v>
      </c>
      <c r="C380" s="4" t="s">
        <v>59</v>
      </c>
      <c r="D380" s="4" t="s">
        <v>28</v>
      </c>
      <c r="E380" s="4" t="s">
        <v>127</v>
      </c>
      <c r="F380" s="4" t="s">
        <v>51</v>
      </c>
      <c r="G380" s="91">
        <v>9023.0630899999996</v>
      </c>
      <c r="H380" s="91">
        <v>9005.0384200000008</v>
      </c>
      <c r="I380" s="60">
        <f t="shared" si="54"/>
        <v>99.800237792640772</v>
      </c>
      <c r="J380" s="33">
        <v>5226.0739999999996</v>
      </c>
      <c r="K380" s="74">
        <f>I380-J380</f>
        <v>-5126.2737622073591</v>
      </c>
    </row>
    <row r="381" spans="1:11" s="62" customFormat="1" ht="15.75" customHeight="1" x14ac:dyDescent="0.2">
      <c r="A381" s="8" t="s">
        <v>74</v>
      </c>
      <c r="B381" s="87" t="s">
        <v>84</v>
      </c>
      <c r="C381" s="87" t="s">
        <v>59</v>
      </c>
      <c r="D381" s="87" t="s">
        <v>28</v>
      </c>
      <c r="E381" s="87" t="s">
        <v>127</v>
      </c>
      <c r="F381" s="87" t="s">
        <v>84</v>
      </c>
      <c r="G381" s="98">
        <v>1067.2</v>
      </c>
      <c r="H381" s="98">
        <v>1047.3599999999999</v>
      </c>
      <c r="I381" s="60">
        <f t="shared" si="54"/>
        <v>98.140929535232374</v>
      </c>
      <c r="J381" s="62">
        <f>1047.36+19.84</f>
        <v>1067.1999999999998</v>
      </c>
      <c r="K381" s="86">
        <f>I381-J381</f>
        <v>-969.0590704647675</v>
      </c>
    </row>
    <row r="382" spans="1:11" s="62" customFormat="1" ht="27.75" customHeight="1" x14ac:dyDescent="0.2">
      <c r="A382" s="8" t="s">
        <v>335</v>
      </c>
      <c r="B382" s="87" t="s">
        <v>84</v>
      </c>
      <c r="C382" s="87" t="s">
        <v>59</v>
      </c>
      <c r="D382" s="87" t="s">
        <v>28</v>
      </c>
      <c r="E382" s="87" t="s">
        <v>121</v>
      </c>
      <c r="F382" s="87"/>
      <c r="G382" s="98">
        <f>G383+G388</f>
        <v>823.76900000000001</v>
      </c>
      <c r="H382" s="98">
        <f>H383+H388</f>
        <v>807.44899999999996</v>
      </c>
      <c r="I382" s="60">
        <f t="shared" si="54"/>
        <v>98.01886208390944</v>
      </c>
    </row>
    <row r="383" spans="1:11" s="62" customFormat="1" ht="24.75" customHeight="1" x14ac:dyDescent="0.2">
      <c r="A383" s="8" t="s">
        <v>133</v>
      </c>
      <c r="B383" s="87" t="s">
        <v>84</v>
      </c>
      <c r="C383" s="87" t="s">
        <v>59</v>
      </c>
      <c r="D383" s="87" t="s">
        <v>28</v>
      </c>
      <c r="E383" s="87" t="s">
        <v>364</v>
      </c>
      <c r="F383" s="87"/>
      <c r="G383" s="98">
        <f>G384+G386</f>
        <v>7.4489999999999998</v>
      </c>
      <c r="H383" s="98">
        <f t="shared" ref="H383" si="62">H384+H386</f>
        <v>0</v>
      </c>
      <c r="I383" s="60">
        <f t="shared" si="54"/>
        <v>0</v>
      </c>
    </row>
    <row r="384" spans="1:11" ht="24" x14ac:dyDescent="0.2">
      <c r="A384" s="5" t="s">
        <v>366</v>
      </c>
      <c r="B384" s="4" t="s">
        <v>84</v>
      </c>
      <c r="C384" s="4" t="s">
        <v>59</v>
      </c>
      <c r="D384" s="4" t="s">
        <v>28</v>
      </c>
      <c r="E384" s="4" t="s">
        <v>365</v>
      </c>
      <c r="F384" s="4"/>
      <c r="G384" s="91">
        <f>G385</f>
        <v>0</v>
      </c>
      <c r="H384" s="91">
        <f>H385</f>
        <v>0</v>
      </c>
      <c r="I384" s="60" t="e">
        <f t="shared" si="54"/>
        <v>#DIV/0!</v>
      </c>
    </row>
    <row r="385" spans="1:11" ht="24" x14ac:dyDescent="0.2">
      <c r="A385" s="5" t="s">
        <v>47</v>
      </c>
      <c r="B385" s="4" t="s">
        <v>84</v>
      </c>
      <c r="C385" s="4" t="s">
        <v>59</v>
      </c>
      <c r="D385" s="4" t="s">
        <v>28</v>
      </c>
      <c r="E385" s="4" t="s">
        <v>365</v>
      </c>
      <c r="F385" s="4" t="s">
        <v>51</v>
      </c>
      <c r="G385" s="91">
        <v>0</v>
      </c>
      <c r="H385" s="91"/>
      <c r="I385" s="60" t="e">
        <f t="shared" si="54"/>
        <v>#DIV/0!</v>
      </c>
      <c r="J385" s="33">
        <v>1755</v>
      </c>
      <c r="K385" s="74" t="e">
        <f>I385-J385</f>
        <v>#DIV/0!</v>
      </c>
    </row>
    <row r="386" spans="1:11" ht="48" x14ac:dyDescent="0.2">
      <c r="A386" s="5" t="s">
        <v>471</v>
      </c>
      <c r="B386" s="4" t="s">
        <v>84</v>
      </c>
      <c r="C386" s="4" t="s">
        <v>59</v>
      </c>
      <c r="D386" s="4" t="s">
        <v>28</v>
      </c>
      <c r="E386" s="4" t="s">
        <v>470</v>
      </c>
      <c r="F386" s="4"/>
      <c r="G386" s="91">
        <f>G387</f>
        <v>7.4489999999999998</v>
      </c>
      <c r="H386" s="91">
        <f>H387</f>
        <v>0</v>
      </c>
      <c r="I386" s="60">
        <f t="shared" si="54"/>
        <v>0</v>
      </c>
    </row>
    <row r="387" spans="1:11" ht="24" x14ac:dyDescent="0.2">
      <c r="A387" s="5" t="s">
        <v>47</v>
      </c>
      <c r="B387" s="4" t="s">
        <v>84</v>
      </c>
      <c r="C387" s="4" t="s">
        <v>59</v>
      </c>
      <c r="D387" s="4" t="s">
        <v>28</v>
      </c>
      <c r="E387" s="4" t="s">
        <v>470</v>
      </c>
      <c r="F387" s="4" t="s">
        <v>51</v>
      </c>
      <c r="G387" s="91">
        <v>7.4489999999999998</v>
      </c>
      <c r="H387" s="91"/>
      <c r="I387" s="60">
        <f t="shared" si="54"/>
        <v>0</v>
      </c>
      <c r="J387" s="33">
        <v>372.44900000000001</v>
      </c>
      <c r="K387" s="74">
        <f>I387-J387</f>
        <v>-372.44900000000001</v>
      </c>
    </row>
    <row r="388" spans="1:11" ht="48" x14ac:dyDescent="0.2">
      <c r="A388" s="5" t="s">
        <v>416</v>
      </c>
      <c r="B388" s="4" t="s">
        <v>84</v>
      </c>
      <c r="C388" s="4" t="s">
        <v>59</v>
      </c>
      <c r="D388" s="4" t="s">
        <v>28</v>
      </c>
      <c r="E388" s="4" t="s">
        <v>415</v>
      </c>
      <c r="F388" s="4"/>
      <c r="G388" s="91">
        <f>G389</f>
        <v>816.32</v>
      </c>
      <c r="H388" s="91">
        <f t="shared" ref="H388" si="63">H389</f>
        <v>807.44899999999996</v>
      </c>
      <c r="I388" s="60">
        <f t="shared" si="54"/>
        <v>98.913293806350438</v>
      </c>
    </row>
    <row r="389" spans="1:11" ht="48" x14ac:dyDescent="0.2">
      <c r="A389" s="5" t="s">
        <v>443</v>
      </c>
      <c r="B389" s="4" t="s">
        <v>84</v>
      </c>
      <c r="C389" s="4" t="s">
        <v>59</v>
      </c>
      <c r="D389" s="4" t="s">
        <v>28</v>
      </c>
      <c r="E389" s="4" t="s">
        <v>442</v>
      </c>
      <c r="F389" s="4"/>
      <c r="G389" s="91">
        <f>G390</f>
        <v>816.32</v>
      </c>
      <c r="H389" s="91">
        <f>H390</f>
        <v>807.44899999999996</v>
      </c>
      <c r="I389" s="60">
        <f t="shared" si="54"/>
        <v>98.913293806350438</v>
      </c>
    </row>
    <row r="390" spans="1:11" ht="24" x14ac:dyDescent="0.2">
      <c r="A390" s="5" t="s">
        <v>47</v>
      </c>
      <c r="B390" s="4" t="s">
        <v>84</v>
      </c>
      <c r="C390" s="4" t="s">
        <v>59</v>
      </c>
      <c r="D390" s="4" t="s">
        <v>28</v>
      </c>
      <c r="E390" s="4" t="s">
        <v>520</v>
      </c>
      <c r="F390" s="4" t="s">
        <v>51</v>
      </c>
      <c r="G390" s="91">
        <v>816.32</v>
      </c>
      <c r="H390" s="91">
        <v>807.44899999999996</v>
      </c>
      <c r="I390" s="60">
        <f t="shared" si="54"/>
        <v>98.913293806350438</v>
      </c>
      <c r="J390" s="33">
        <v>816.32</v>
      </c>
      <c r="K390" s="74">
        <f>I390-J390</f>
        <v>-717.4067061936496</v>
      </c>
    </row>
    <row r="391" spans="1:11" x14ac:dyDescent="0.2">
      <c r="A391" s="5" t="s">
        <v>46</v>
      </c>
      <c r="B391" s="4" t="s">
        <v>84</v>
      </c>
      <c r="C391" s="4" t="s">
        <v>59</v>
      </c>
      <c r="D391" s="4" t="s">
        <v>28</v>
      </c>
      <c r="E391" s="4" t="s">
        <v>44</v>
      </c>
      <c r="F391" s="4"/>
      <c r="G391" s="91">
        <f>G392</f>
        <v>50</v>
      </c>
      <c r="H391" s="91">
        <f>H392</f>
        <v>50</v>
      </c>
      <c r="I391" s="60">
        <f t="shared" si="54"/>
        <v>100</v>
      </c>
    </row>
    <row r="392" spans="1:11" ht="24" x14ac:dyDescent="0.2">
      <c r="A392" s="5" t="s">
        <v>47</v>
      </c>
      <c r="B392" s="4" t="s">
        <v>84</v>
      </c>
      <c r="C392" s="4" t="s">
        <v>59</v>
      </c>
      <c r="D392" s="4" t="s">
        <v>28</v>
      </c>
      <c r="E392" s="4" t="s">
        <v>44</v>
      </c>
      <c r="F392" s="4" t="s">
        <v>51</v>
      </c>
      <c r="G392" s="91">
        <v>50</v>
      </c>
      <c r="H392" s="91">
        <v>50</v>
      </c>
      <c r="I392" s="60">
        <f t="shared" si="54"/>
        <v>100</v>
      </c>
      <c r="J392" s="33">
        <v>50</v>
      </c>
      <c r="K392" s="74">
        <f>I392-J392</f>
        <v>50</v>
      </c>
    </row>
    <row r="393" spans="1:11" x14ac:dyDescent="0.2">
      <c r="A393" s="5" t="s">
        <v>132</v>
      </c>
      <c r="B393" s="4" t="s">
        <v>84</v>
      </c>
      <c r="C393" s="4" t="s">
        <v>36</v>
      </c>
      <c r="D393" s="4"/>
      <c r="E393" s="4"/>
      <c r="F393" s="4"/>
      <c r="G393" s="99">
        <f>G399+G429+G394</f>
        <v>27083.255070000003</v>
      </c>
      <c r="H393" s="99">
        <f>H399+H429+H394</f>
        <v>26763.413830000001</v>
      </c>
      <c r="I393" s="60">
        <f t="shared" si="54"/>
        <v>98.819044316595878</v>
      </c>
    </row>
    <row r="394" spans="1:11" x14ac:dyDescent="0.2">
      <c r="A394" s="5" t="s">
        <v>131</v>
      </c>
      <c r="B394" s="4" t="s">
        <v>84</v>
      </c>
      <c r="C394" s="4" t="s">
        <v>36</v>
      </c>
      <c r="D394" s="4" t="s">
        <v>15</v>
      </c>
      <c r="E394" s="4"/>
      <c r="F394" s="4"/>
      <c r="G394" s="99">
        <f t="shared" ref="G394:H397" si="64">G395</f>
        <v>10.79532</v>
      </c>
      <c r="H394" s="99">
        <f t="shared" si="64"/>
        <v>10.79532</v>
      </c>
      <c r="I394" s="60">
        <f t="shared" ref="I394:I457" si="65">H394/G394*100</f>
        <v>100</v>
      </c>
    </row>
    <row r="395" spans="1:11" ht="60" x14ac:dyDescent="0.2">
      <c r="A395" s="5" t="s">
        <v>361</v>
      </c>
      <c r="B395" s="4" t="s">
        <v>84</v>
      </c>
      <c r="C395" s="4" t="s">
        <v>36</v>
      </c>
      <c r="D395" s="4" t="s">
        <v>15</v>
      </c>
      <c r="E395" s="4" t="s">
        <v>129</v>
      </c>
      <c r="F395" s="4"/>
      <c r="G395" s="99">
        <f t="shared" si="64"/>
        <v>10.79532</v>
      </c>
      <c r="H395" s="99">
        <f t="shared" si="64"/>
        <v>10.79532</v>
      </c>
      <c r="I395" s="60">
        <f t="shared" si="65"/>
        <v>100</v>
      </c>
    </row>
    <row r="396" spans="1:11" ht="24" x14ac:dyDescent="0.2">
      <c r="A396" s="5" t="s">
        <v>283</v>
      </c>
      <c r="B396" s="4" t="s">
        <v>84</v>
      </c>
      <c r="C396" s="4" t="s">
        <v>36</v>
      </c>
      <c r="D396" s="4" t="s">
        <v>15</v>
      </c>
      <c r="E396" s="4" t="s">
        <v>367</v>
      </c>
      <c r="F396" s="4"/>
      <c r="G396" s="99">
        <f t="shared" si="64"/>
        <v>10.79532</v>
      </c>
      <c r="H396" s="99">
        <f t="shared" si="64"/>
        <v>10.79532</v>
      </c>
      <c r="I396" s="60">
        <f t="shared" si="65"/>
        <v>100</v>
      </c>
    </row>
    <row r="397" spans="1:11" ht="24" x14ac:dyDescent="0.2">
      <c r="A397" s="5" t="s">
        <v>369</v>
      </c>
      <c r="B397" s="4" t="s">
        <v>84</v>
      </c>
      <c r="C397" s="4" t="s">
        <v>36</v>
      </c>
      <c r="D397" s="4" t="s">
        <v>15</v>
      </c>
      <c r="E397" s="4" t="s">
        <v>368</v>
      </c>
      <c r="F397" s="4"/>
      <c r="G397" s="99">
        <f t="shared" si="64"/>
        <v>10.79532</v>
      </c>
      <c r="H397" s="99">
        <f t="shared" si="64"/>
        <v>10.79532</v>
      </c>
      <c r="I397" s="60">
        <f t="shared" si="65"/>
        <v>100</v>
      </c>
    </row>
    <row r="398" spans="1:11" s="41" customFormat="1" ht="24" x14ac:dyDescent="0.2">
      <c r="A398" s="5" t="s">
        <v>47</v>
      </c>
      <c r="B398" s="4" t="s">
        <v>84</v>
      </c>
      <c r="C398" s="4" t="s">
        <v>36</v>
      </c>
      <c r="D398" s="4" t="s">
        <v>15</v>
      </c>
      <c r="E398" s="4" t="s">
        <v>368</v>
      </c>
      <c r="F398" s="4" t="s">
        <v>51</v>
      </c>
      <c r="G398" s="60">
        <v>10.79532</v>
      </c>
      <c r="H398" s="60">
        <v>10.79532</v>
      </c>
      <c r="I398" s="60">
        <f t="shared" si="65"/>
        <v>100</v>
      </c>
      <c r="J398" s="41">
        <v>60</v>
      </c>
      <c r="K398" s="74">
        <f>I398-J398</f>
        <v>40</v>
      </c>
    </row>
    <row r="399" spans="1:11" x14ac:dyDescent="0.2">
      <c r="A399" s="5" t="s">
        <v>130</v>
      </c>
      <c r="B399" s="4" t="s">
        <v>84</v>
      </c>
      <c r="C399" s="4" t="s">
        <v>36</v>
      </c>
      <c r="D399" s="4" t="s">
        <v>27</v>
      </c>
      <c r="E399" s="4"/>
      <c r="F399" s="4"/>
      <c r="G399" s="88">
        <f>G400+G404+G408+G413+G427</f>
        <v>26704.459750000002</v>
      </c>
      <c r="H399" s="88">
        <f>H400+H404+H408+H413+H427</f>
        <v>26388.823510000002</v>
      </c>
      <c r="I399" s="60">
        <f t="shared" si="65"/>
        <v>98.818039222830564</v>
      </c>
    </row>
    <row r="400" spans="1:11" ht="60" x14ac:dyDescent="0.2">
      <c r="A400" s="5" t="s">
        <v>328</v>
      </c>
      <c r="B400" s="4">
        <v>800</v>
      </c>
      <c r="C400" s="4" t="s">
        <v>36</v>
      </c>
      <c r="D400" s="4" t="s">
        <v>27</v>
      </c>
      <c r="E400" s="4" t="s">
        <v>64</v>
      </c>
      <c r="F400" s="4"/>
      <c r="G400" s="90">
        <f>G401</f>
        <v>10204.08164</v>
      </c>
      <c r="H400" s="90">
        <f>H401</f>
        <v>10204.08164</v>
      </c>
      <c r="I400" s="60">
        <f t="shared" si="65"/>
        <v>100</v>
      </c>
    </row>
    <row r="401" spans="1:11" ht="24" x14ac:dyDescent="0.2">
      <c r="A401" s="5" t="s">
        <v>111</v>
      </c>
      <c r="B401" s="4">
        <v>800</v>
      </c>
      <c r="C401" s="4" t="s">
        <v>36</v>
      </c>
      <c r="D401" s="4" t="s">
        <v>27</v>
      </c>
      <c r="E401" s="4" t="s">
        <v>370</v>
      </c>
      <c r="F401" s="4"/>
      <c r="G401" s="92">
        <f>G402</f>
        <v>10204.08164</v>
      </c>
      <c r="H401" s="92">
        <f t="shared" ref="H401" si="66">H402</f>
        <v>10204.08164</v>
      </c>
      <c r="I401" s="60">
        <f t="shared" si="65"/>
        <v>100</v>
      </c>
    </row>
    <row r="402" spans="1:11" ht="82.5" customHeight="1" x14ac:dyDescent="0.2">
      <c r="A402" s="5" t="s">
        <v>535</v>
      </c>
      <c r="B402" s="4">
        <v>800</v>
      </c>
      <c r="C402" s="4" t="s">
        <v>36</v>
      </c>
      <c r="D402" s="4" t="s">
        <v>27</v>
      </c>
      <c r="E402" s="4" t="s">
        <v>472</v>
      </c>
      <c r="F402" s="4"/>
      <c r="G402" s="90">
        <f>G403</f>
        <v>10204.08164</v>
      </c>
      <c r="H402" s="90">
        <f>H403</f>
        <v>10204.08164</v>
      </c>
      <c r="I402" s="60">
        <f t="shared" si="65"/>
        <v>100</v>
      </c>
    </row>
    <row r="403" spans="1:11" ht="24" x14ac:dyDescent="0.2">
      <c r="A403" s="5" t="s">
        <v>71</v>
      </c>
      <c r="B403" s="4">
        <v>800</v>
      </c>
      <c r="C403" s="4" t="s">
        <v>36</v>
      </c>
      <c r="D403" s="4" t="s">
        <v>27</v>
      </c>
      <c r="E403" s="4" t="s">
        <v>472</v>
      </c>
      <c r="F403" s="4">
        <v>400</v>
      </c>
      <c r="G403" s="90">
        <v>10204.08164</v>
      </c>
      <c r="H403" s="90">
        <v>10204.08164</v>
      </c>
      <c r="I403" s="60">
        <f t="shared" si="65"/>
        <v>100</v>
      </c>
      <c r="J403" s="33">
        <v>10204.08164</v>
      </c>
      <c r="K403" s="74">
        <f>I403-J403</f>
        <v>-10104.08164</v>
      </c>
    </row>
    <row r="404" spans="1:11" ht="60" x14ac:dyDescent="0.2">
      <c r="A404" s="5" t="s">
        <v>361</v>
      </c>
      <c r="B404" s="4" t="s">
        <v>84</v>
      </c>
      <c r="C404" s="4" t="s">
        <v>36</v>
      </c>
      <c r="D404" s="4" t="s">
        <v>27</v>
      </c>
      <c r="E404" s="4" t="s">
        <v>129</v>
      </c>
      <c r="F404" s="4"/>
      <c r="G404" s="91">
        <f t="shared" ref="G404:H406" si="67">G405</f>
        <v>5246.4520000000002</v>
      </c>
      <c r="H404" s="91">
        <f t="shared" si="67"/>
        <v>5215.58</v>
      </c>
      <c r="I404" s="60">
        <f t="shared" si="65"/>
        <v>99.411564234267274</v>
      </c>
    </row>
    <row r="405" spans="1:11" ht="48" x14ac:dyDescent="0.2">
      <c r="A405" s="5" t="s">
        <v>128</v>
      </c>
      <c r="B405" s="4" t="s">
        <v>84</v>
      </c>
      <c r="C405" s="4" t="s">
        <v>36</v>
      </c>
      <c r="D405" s="4" t="s">
        <v>27</v>
      </c>
      <c r="E405" s="4" t="s">
        <v>362</v>
      </c>
      <c r="F405" s="4"/>
      <c r="G405" s="91">
        <f t="shared" si="67"/>
        <v>5246.4520000000002</v>
      </c>
      <c r="H405" s="91">
        <f t="shared" si="67"/>
        <v>5215.58</v>
      </c>
      <c r="I405" s="60">
        <f t="shared" si="65"/>
        <v>99.411564234267274</v>
      </c>
    </row>
    <row r="406" spans="1:11" ht="36" x14ac:dyDescent="0.2">
      <c r="A406" s="5" t="s">
        <v>371</v>
      </c>
      <c r="B406" s="4" t="s">
        <v>84</v>
      </c>
      <c r="C406" s="4" t="s">
        <v>36</v>
      </c>
      <c r="D406" s="4" t="s">
        <v>27</v>
      </c>
      <c r="E406" s="4" t="s">
        <v>127</v>
      </c>
      <c r="F406" s="4"/>
      <c r="G406" s="91">
        <f>G407</f>
        <v>5246.4520000000002</v>
      </c>
      <c r="H406" s="91">
        <f t="shared" si="67"/>
        <v>5215.58</v>
      </c>
      <c r="I406" s="60">
        <f t="shared" si="65"/>
        <v>99.411564234267274</v>
      </c>
    </row>
    <row r="407" spans="1:11" ht="24" x14ac:dyDescent="0.2">
      <c r="A407" s="5" t="s">
        <v>47</v>
      </c>
      <c r="B407" s="4" t="s">
        <v>84</v>
      </c>
      <c r="C407" s="4" t="s">
        <v>36</v>
      </c>
      <c r="D407" s="4" t="s">
        <v>27</v>
      </c>
      <c r="E407" s="4" t="s">
        <v>127</v>
      </c>
      <c r="F407" s="4" t="s">
        <v>51</v>
      </c>
      <c r="G407" s="91">
        <v>5246.4520000000002</v>
      </c>
      <c r="H407" s="91">
        <v>5215.58</v>
      </c>
      <c r="I407" s="60">
        <f t="shared" si="65"/>
        <v>99.411564234267274</v>
      </c>
      <c r="J407" s="33">
        <v>3742.7</v>
      </c>
      <c r="K407" s="74">
        <f>I407-J407</f>
        <v>-3643.2884357657326</v>
      </c>
    </row>
    <row r="408" spans="1:11" ht="60" x14ac:dyDescent="0.2">
      <c r="A408" s="5" t="s">
        <v>334</v>
      </c>
      <c r="B408" s="4" t="s">
        <v>84</v>
      </c>
      <c r="C408" s="4" t="s">
        <v>36</v>
      </c>
      <c r="D408" s="4" t="s">
        <v>27</v>
      </c>
      <c r="E408" s="4" t="s">
        <v>126</v>
      </c>
      <c r="F408" s="4"/>
      <c r="G408" s="92">
        <f t="shared" ref="G408:H409" si="68">G409</f>
        <v>1399.2139999999999</v>
      </c>
      <c r="H408" s="92">
        <f t="shared" si="68"/>
        <v>1129.8321699999999</v>
      </c>
      <c r="I408" s="60">
        <f t="shared" si="65"/>
        <v>80.74763188475815</v>
      </c>
    </row>
    <row r="409" spans="1:11" ht="36" x14ac:dyDescent="0.2">
      <c r="A409" s="5" t="s">
        <v>125</v>
      </c>
      <c r="B409" s="4" t="s">
        <v>84</v>
      </c>
      <c r="C409" s="4" t="s">
        <v>36</v>
      </c>
      <c r="D409" s="4" t="s">
        <v>27</v>
      </c>
      <c r="E409" s="4" t="s">
        <v>372</v>
      </c>
      <c r="F409" s="4"/>
      <c r="G409" s="92">
        <f t="shared" si="68"/>
        <v>1399.2139999999999</v>
      </c>
      <c r="H409" s="92">
        <f t="shared" si="68"/>
        <v>1129.8321699999999</v>
      </c>
      <c r="I409" s="60">
        <f t="shared" si="65"/>
        <v>80.74763188475815</v>
      </c>
    </row>
    <row r="410" spans="1:11" ht="48" x14ac:dyDescent="0.2">
      <c r="A410" s="5" t="s">
        <v>373</v>
      </c>
      <c r="B410" s="4" t="s">
        <v>84</v>
      </c>
      <c r="C410" s="4" t="s">
        <v>36</v>
      </c>
      <c r="D410" s="4" t="s">
        <v>27</v>
      </c>
      <c r="E410" s="4" t="s">
        <v>374</v>
      </c>
      <c r="F410" s="4"/>
      <c r="G410" s="92">
        <f>G411+G412</f>
        <v>1399.2139999999999</v>
      </c>
      <c r="H410" s="92">
        <f>H411+H412</f>
        <v>1129.8321699999999</v>
      </c>
      <c r="I410" s="60">
        <f t="shared" si="65"/>
        <v>80.74763188475815</v>
      </c>
    </row>
    <row r="411" spans="1:11" ht="24" x14ac:dyDescent="0.2">
      <c r="A411" s="5" t="s">
        <v>47</v>
      </c>
      <c r="B411" s="4" t="s">
        <v>84</v>
      </c>
      <c r="C411" s="4" t="s">
        <v>36</v>
      </c>
      <c r="D411" s="4" t="s">
        <v>27</v>
      </c>
      <c r="E411" s="4" t="s">
        <v>374</v>
      </c>
      <c r="F411" s="4" t="s">
        <v>51</v>
      </c>
      <c r="G411" s="92">
        <v>1326.7139999999999</v>
      </c>
      <c r="H411" s="92">
        <v>1057.3321699999999</v>
      </c>
      <c r="I411" s="60">
        <f t="shared" si="65"/>
        <v>79.695561364393527</v>
      </c>
      <c r="J411" s="33">
        <v>1922.5</v>
      </c>
      <c r="K411" s="74">
        <f>I411-J411</f>
        <v>-1842.8044386356064</v>
      </c>
    </row>
    <row r="412" spans="1:11" ht="13.5" customHeight="1" x14ac:dyDescent="0.2">
      <c r="A412" s="8" t="s">
        <v>74</v>
      </c>
      <c r="B412" s="4" t="s">
        <v>84</v>
      </c>
      <c r="C412" s="4" t="s">
        <v>36</v>
      </c>
      <c r="D412" s="4" t="s">
        <v>27</v>
      </c>
      <c r="E412" s="4" t="s">
        <v>374</v>
      </c>
      <c r="F412" s="4" t="s">
        <v>84</v>
      </c>
      <c r="G412" s="92">
        <v>72.5</v>
      </c>
      <c r="H412" s="92">
        <v>72.5</v>
      </c>
      <c r="I412" s="60">
        <f t="shared" si="65"/>
        <v>100</v>
      </c>
      <c r="J412" s="33">
        <v>130</v>
      </c>
      <c r="K412" s="74">
        <f>I412-J412</f>
        <v>-30</v>
      </c>
    </row>
    <row r="413" spans="1:11" ht="45" customHeight="1" x14ac:dyDescent="0.2">
      <c r="A413" s="8" t="s">
        <v>335</v>
      </c>
      <c r="B413" s="4" t="s">
        <v>84</v>
      </c>
      <c r="C413" s="4" t="s">
        <v>36</v>
      </c>
      <c r="D413" s="4" t="s">
        <v>27</v>
      </c>
      <c r="E413" s="4" t="s">
        <v>121</v>
      </c>
      <c r="F413" s="4"/>
      <c r="G413" s="92">
        <f>G414+G418</f>
        <v>9355.3121099999989</v>
      </c>
      <c r="H413" s="92">
        <f>H414+H418</f>
        <v>9339.9297000000006</v>
      </c>
      <c r="I413" s="60">
        <f t="shared" si="65"/>
        <v>99.835575662050275</v>
      </c>
    </row>
    <row r="414" spans="1:11" ht="48" x14ac:dyDescent="0.2">
      <c r="A414" s="5" t="s">
        <v>124</v>
      </c>
      <c r="B414" s="4" t="s">
        <v>84</v>
      </c>
      <c r="C414" s="4" t="s">
        <v>36</v>
      </c>
      <c r="D414" s="4" t="s">
        <v>27</v>
      </c>
      <c r="E414" s="4" t="s">
        <v>326</v>
      </c>
      <c r="F414" s="4"/>
      <c r="G414" s="92">
        <f>G415</f>
        <v>1849.877</v>
      </c>
      <c r="H414" s="92">
        <f>H415</f>
        <v>1848.5024599999999</v>
      </c>
      <c r="I414" s="60">
        <f t="shared" si="65"/>
        <v>99.925695600302078</v>
      </c>
    </row>
    <row r="415" spans="1:11" ht="24" x14ac:dyDescent="0.2">
      <c r="A415" s="5" t="s">
        <v>375</v>
      </c>
      <c r="B415" s="4" t="s">
        <v>84</v>
      </c>
      <c r="C415" s="4" t="s">
        <v>36</v>
      </c>
      <c r="D415" s="4" t="s">
        <v>27</v>
      </c>
      <c r="E415" s="4" t="s">
        <v>376</v>
      </c>
      <c r="F415" s="4"/>
      <c r="G415" s="92">
        <f>G416+G417</f>
        <v>1849.877</v>
      </c>
      <c r="H415" s="92">
        <f>H416+H417</f>
        <v>1848.5024599999999</v>
      </c>
      <c r="I415" s="60">
        <f t="shared" si="65"/>
        <v>99.925695600302078</v>
      </c>
    </row>
    <row r="416" spans="1:11" ht="24" x14ac:dyDescent="0.2">
      <c r="A416" s="5" t="s">
        <v>47</v>
      </c>
      <c r="B416" s="4" t="s">
        <v>84</v>
      </c>
      <c r="C416" s="4" t="s">
        <v>36</v>
      </c>
      <c r="D416" s="4" t="s">
        <v>27</v>
      </c>
      <c r="E416" s="4" t="s">
        <v>376</v>
      </c>
      <c r="F416" s="4">
        <v>200</v>
      </c>
      <c r="G416" s="92"/>
      <c r="H416" s="92"/>
      <c r="I416" s="60" t="e">
        <f t="shared" si="65"/>
        <v>#DIV/0!</v>
      </c>
      <c r="J416" s="33">
        <v>100</v>
      </c>
      <c r="K416" s="74" t="e">
        <f>I416-J416</f>
        <v>#DIV/0!</v>
      </c>
    </row>
    <row r="417" spans="1:11" ht="24" x14ac:dyDescent="0.2">
      <c r="A417" s="5" t="s">
        <v>71</v>
      </c>
      <c r="B417" s="4" t="s">
        <v>84</v>
      </c>
      <c r="C417" s="4" t="s">
        <v>36</v>
      </c>
      <c r="D417" s="4" t="s">
        <v>27</v>
      </c>
      <c r="E417" s="4" t="s">
        <v>376</v>
      </c>
      <c r="F417" s="4" t="s">
        <v>70</v>
      </c>
      <c r="G417" s="92">
        <v>1849.877</v>
      </c>
      <c r="H417" s="92">
        <v>1848.5024599999999</v>
      </c>
      <c r="I417" s="60">
        <f t="shared" si="65"/>
        <v>99.925695600302078</v>
      </c>
      <c r="J417" s="33">
        <v>2255.6669999999999</v>
      </c>
      <c r="K417" s="74">
        <f>I417-J417</f>
        <v>-2155.741304399698</v>
      </c>
    </row>
    <row r="418" spans="1:11" ht="36" x14ac:dyDescent="0.2">
      <c r="A418" s="5" t="s">
        <v>377</v>
      </c>
      <c r="B418" s="4" t="s">
        <v>84</v>
      </c>
      <c r="C418" s="4" t="s">
        <v>36</v>
      </c>
      <c r="D418" s="4" t="s">
        <v>27</v>
      </c>
      <c r="E418" s="4" t="s">
        <v>379</v>
      </c>
      <c r="F418" s="4"/>
      <c r="G418" s="92">
        <f>G419+G425+G423+G421</f>
        <v>7505.4351099999994</v>
      </c>
      <c r="H418" s="92">
        <f t="shared" ref="H418" si="69">H419+H425+H423+H421</f>
        <v>7491.42724</v>
      </c>
      <c r="I418" s="60">
        <f t="shared" si="65"/>
        <v>99.813363651877623</v>
      </c>
    </row>
    <row r="419" spans="1:11" ht="60" x14ac:dyDescent="0.2">
      <c r="A419" s="5" t="s">
        <v>378</v>
      </c>
      <c r="B419" s="4" t="s">
        <v>84</v>
      </c>
      <c r="C419" s="4" t="s">
        <v>36</v>
      </c>
      <c r="D419" s="4" t="s">
        <v>27</v>
      </c>
      <c r="E419" s="4" t="s">
        <v>380</v>
      </c>
      <c r="F419" s="4"/>
      <c r="G419" s="92">
        <f>G420</f>
        <v>1000</v>
      </c>
      <c r="H419" s="92">
        <f>H420</f>
        <v>1000</v>
      </c>
      <c r="I419" s="60">
        <f t="shared" si="65"/>
        <v>100</v>
      </c>
    </row>
    <row r="420" spans="1:11" ht="15.75" customHeight="1" x14ac:dyDescent="0.2">
      <c r="A420" s="8" t="s">
        <v>74</v>
      </c>
      <c r="B420" s="4" t="s">
        <v>84</v>
      </c>
      <c r="C420" s="4" t="s">
        <v>36</v>
      </c>
      <c r="D420" s="4" t="s">
        <v>27</v>
      </c>
      <c r="E420" s="4" t="s">
        <v>380</v>
      </c>
      <c r="F420" s="4" t="s">
        <v>84</v>
      </c>
      <c r="G420" s="92">
        <v>1000</v>
      </c>
      <c r="H420" s="92">
        <v>1000</v>
      </c>
      <c r="I420" s="60">
        <f t="shared" si="65"/>
        <v>100</v>
      </c>
      <c r="J420" s="33">
        <v>1000</v>
      </c>
      <c r="K420" s="74">
        <f>I420-J420</f>
        <v>-900</v>
      </c>
    </row>
    <row r="421" spans="1:11" ht="24" x14ac:dyDescent="0.2">
      <c r="A421" s="5" t="s">
        <v>512</v>
      </c>
      <c r="B421" s="4" t="s">
        <v>84</v>
      </c>
      <c r="C421" s="4" t="s">
        <v>36</v>
      </c>
      <c r="D421" s="4" t="s">
        <v>27</v>
      </c>
      <c r="E421" s="4" t="s">
        <v>513</v>
      </c>
      <c r="F421" s="4"/>
      <c r="G421" s="92">
        <f>G422</f>
        <v>2728.0169999999998</v>
      </c>
      <c r="H421" s="92">
        <f>H422</f>
        <v>2728.0168899999999</v>
      </c>
      <c r="I421" s="60">
        <f t="shared" si="65"/>
        <v>99.999995967767063</v>
      </c>
    </row>
    <row r="422" spans="1:11" ht="24" x14ac:dyDescent="0.2">
      <c r="A422" s="5" t="s">
        <v>47</v>
      </c>
      <c r="B422" s="4" t="s">
        <v>84</v>
      </c>
      <c r="C422" s="4" t="s">
        <v>36</v>
      </c>
      <c r="D422" s="4" t="s">
        <v>27</v>
      </c>
      <c r="E422" s="4" t="s">
        <v>513</v>
      </c>
      <c r="F422" s="4" t="s">
        <v>51</v>
      </c>
      <c r="G422" s="92">
        <v>2728.0169999999998</v>
      </c>
      <c r="H422" s="92">
        <f>858.017+1869.99989</f>
        <v>2728.0168899999999</v>
      </c>
      <c r="I422" s="60">
        <f t="shared" si="65"/>
        <v>99.999995967767063</v>
      </c>
      <c r="J422" s="33">
        <v>1870</v>
      </c>
      <c r="K422" s="74">
        <f>I422-J422</f>
        <v>-1770.0000040322329</v>
      </c>
    </row>
    <row r="423" spans="1:11" ht="60" x14ac:dyDescent="0.2">
      <c r="A423" s="8" t="s">
        <v>473</v>
      </c>
      <c r="B423" s="4" t="s">
        <v>84</v>
      </c>
      <c r="C423" s="4" t="s">
        <v>36</v>
      </c>
      <c r="D423" s="4" t="s">
        <v>27</v>
      </c>
      <c r="E423" s="4" t="s">
        <v>474</v>
      </c>
      <c r="F423" s="4"/>
      <c r="G423" s="92">
        <f>G424</f>
        <v>3430.7721099999999</v>
      </c>
      <c r="H423" s="92">
        <f>H424</f>
        <v>3416.7643499999999</v>
      </c>
      <c r="I423" s="60">
        <f t="shared" si="65"/>
        <v>99.59170240543898</v>
      </c>
    </row>
    <row r="424" spans="1:11" ht="24" x14ac:dyDescent="0.2">
      <c r="A424" s="5" t="s">
        <v>47</v>
      </c>
      <c r="B424" s="4" t="s">
        <v>84</v>
      </c>
      <c r="C424" s="4" t="s">
        <v>36</v>
      </c>
      <c r="D424" s="4" t="s">
        <v>27</v>
      </c>
      <c r="E424" s="4" t="s">
        <v>474</v>
      </c>
      <c r="F424" s="4" t="s">
        <v>51</v>
      </c>
      <c r="G424" s="92">
        <v>3430.7721099999999</v>
      </c>
      <c r="H424" s="92">
        <v>3416.7643499999999</v>
      </c>
      <c r="I424" s="60">
        <f t="shared" si="65"/>
        <v>99.59170240543898</v>
      </c>
      <c r="J424" s="33">
        <v>3521.06</v>
      </c>
      <c r="K424" s="74">
        <f>I424-J424</f>
        <v>-3421.4682975945611</v>
      </c>
    </row>
    <row r="425" spans="1:11" ht="56.25" customHeight="1" x14ac:dyDescent="0.2">
      <c r="A425" s="8" t="s">
        <v>437</v>
      </c>
      <c r="B425" s="4" t="s">
        <v>84</v>
      </c>
      <c r="C425" s="4" t="s">
        <v>36</v>
      </c>
      <c r="D425" s="4" t="s">
        <v>27</v>
      </c>
      <c r="E425" s="4" t="s">
        <v>123</v>
      </c>
      <c r="F425" s="4"/>
      <c r="G425" s="92">
        <f>G426</f>
        <v>346.64600000000002</v>
      </c>
      <c r="H425" s="92">
        <f t="shared" ref="H425" si="70">H426</f>
        <v>346.64600000000002</v>
      </c>
      <c r="I425" s="60">
        <f t="shared" si="65"/>
        <v>100</v>
      </c>
    </row>
    <row r="426" spans="1:11" ht="14.25" customHeight="1" x14ac:dyDescent="0.2">
      <c r="A426" s="8" t="s">
        <v>74</v>
      </c>
      <c r="B426" s="4" t="s">
        <v>84</v>
      </c>
      <c r="C426" s="4" t="s">
        <v>36</v>
      </c>
      <c r="D426" s="4" t="s">
        <v>27</v>
      </c>
      <c r="E426" s="4" t="s">
        <v>123</v>
      </c>
      <c r="F426" s="4" t="s">
        <v>84</v>
      </c>
      <c r="G426" s="92">
        <v>346.64600000000002</v>
      </c>
      <c r="H426" s="92">
        <v>346.64600000000002</v>
      </c>
      <c r="I426" s="60">
        <f t="shared" si="65"/>
        <v>100</v>
      </c>
      <c r="J426" s="33">
        <f>315.533</f>
        <v>315.53300000000002</v>
      </c>
      <c r="K426" s="74">
        <f>I426-J426</f>
        <v>-215.53300000000002</v>
      </c>
    </row>
    <row r="427" spans="1:11" x14ac:dyDescent="0.2">
      <c r="A427" s="5" t="s">
        <v>46</v>
      </c>
      <c r="B427" s="4" t="s">
        <v>84</v>
      </c>
      <c r="C427" s="4" t="s">
        <v>36</v>
      </c>
      <c r="D427" s="4" t="s">
        <v>27</v>
      </c>
      <c r="E427" s="4" t="s">
        <v>44</v>
      </c>
      <c r="F427" s="4"/>
      <c r="G427" s="91">
        <f>G428</f>
        <v>499.4</v>
      </c>
      <c r="H427" s="91">
        <f>H428</f>
        <v>499.4</v>
      </c>
      <c r="I427" s="60">
        <f t="shared" si="65"/>
        <v>100</v>
      </c>
    </row>
    <row r="428" spans="1:11" ht="24" x14ac:dyDescent="0.2">
      <c r="A428" s="5" t="s">
        <v>47</v>
      </c>
      <c r="B428" s="4" t="s">
        <v>84</v>
      </c>
      <c r="C428" s="4" t="s">
        <v>36</v>
      </c>
      <c r="D428" s="4" t="s">
        <v>27</v>
      </c>
      <c r="E428" s="4" t="s">
        <v>44</v>
      </c>
      <c r="F428" s="4" t="s">
        <v>51</v>
      </c>
      <c r="G428" s="91">
        <v>499.4</v>
      </c>
      <c r="H428" s="91">
        <v>499.4</v>
      </c>
      <c r="I428" s="60">
        <f t="shared" si="65"/>
        <v>100</v>
      </c>
      <c r="J428" s="33">
        <v>499.4</v>
      </c>
      <c r="K428" s="74">
        <f>I428-J428</f>
        <v>-399.4</v>
      </c>
    </row>
    <row r="429" spans="1:11" x14ac:dyDescent="0.2">
      <c r="A429" s="5" t="s">
        <v>122</v>
      </c>
      <c r="B429" s="4" t="s">
        <v>84</v>
      </c>
      <c r="C429" s="4" t="s">
        <v>36</v>
      </c>
      <c r="D429" s="4" t="s">
        <v>6</v>
      </c>
      <c r="E429" s="4"/>
      <c r="F429" s="4"/>
      <c r="G429" s="88">
        <f t="shared" ref="G429:H431" si="71">G430</f>
        <v>368</v>
      </c>
      <c r="H429" s="88">
        <f t="shared" si="71"/>
        <v>363.79500000000002</v>
      </c>
      <c r="I429" s="60">
        <f t="shared" si="65"/>
        <v>98.857336956521749</v>
      </c>
    </row>
    <row r="430" spans="1:11" ht="42" customHeight="1" x14ac:dyDescent="0.2">
      <c r="A430" s="8" t="s">
        <v>335</v>
      </c>
      <c r="B430" s="4" t="s">
        <v>84</v>
      </c>
      <c r="C430" s="4" t="s">
        <v>36</v>
      </c>
      <c r="D430" s="4" t="s">
        <v>6</v>
      </c>
      <c r="E430" s="4" t="s">
        <v>121</v>
      </c>
      <c r="F430" s="4"/>
      <c r="G430" s="90">
        <f t="shared" si="71"/>
        <v>368</v>
      </c>
      <c r="H430" s="90">
        <f t="shared" si="71"/>
        <v>363.79500000000002</v>
      </c>
      <c r="I430" s="60">
        <f t="shared" si="65"/>
        <v>98.857336956521749</v>
      </c>
    </row>
    <row r="431" spans="1:11" ht="24" x14ac:dyDescent="0.2">
      <c r="A431" s="5" t="s">
        <v>269</v>
      </c>
      <c r="B431" s="4" t="s">
        <v>84</v>
      </c>
      <c r="C431" s="4" t="s">
        <v>36</v>
      </c>
      <c r="D431" s="4" t="s">
        <v>6</v>
      </c>
      <c r="E431" s="4" t="s">
        <v>381</v>
      </c>
      <c r="F431" s="4"/>
      <c r="G431" s="90">
        <f t="shared" si="71"/>
        <v>368</v>
      </c>
      <c r="H431" s="90">
        <f t="shared" si="71"/>
        <v>363.79500000000002</v>
      </c>
      <c r="I431" s="60">
        <f t="shared" si="65"/>
        <v>98.857336956521749</v>
      </c>
    </row>
    <row r="432" spans="1:11" ht="24" x14ac:dyDescent="0.2">
      <c r="A432" s="5" t="s">
        <v>383</v>
      </c>
      <c r="B432" s="4" t="s">
        <v>84</v>
      </c>
      <c r="C432" s="4" t="s">
        <v>36</v>
      </c>
      <c r="D432" s="4" t="s">
        <v>6</v>
      </c>
      <c r="E432" s="4" t="s">
        <v>382</v>
      </c>
      <c r="F432" s="4"/>
      <c r="G432" s="90">
        <f>G433+G434</f>
        <v>368</v>
      </c>
      <c r="H432" s="90">
        <f>H433+H434</f>
        <v>363.79500000000002</v>
      </c>
      <c r="I432" s="60">
        <f t="shared" si="65"/>
        <v>98.857336956521749</v>
      </c>
    </row>
    <row r="433" spans="1:11" ht="24" x14ac:dyDescent="0.2">
      <c r="A433" s="5" t="s">
        <v>47</v>
      </c>
      <c r="B433" s="4" t="s">
        <v>84</v>
      </c>
      <c r="C433" s="4" t="s">
        <v>36</v>
      </c>
      <c r="D433" s="4" t="s">
        <v>6</v>
      </c>
      <c r="E433" s="4" t="s">
        <v>382</v>
      </c>
      <c r="F433" s="4" t="s">
        <v>51</v>
      </c>
      <c r="G433" s="90">
        <v>318</v>
      </c>
      <c r="H433" s="90">
        <v>313.79500000000002</v>
      </c>
      <c r="I433" s="60">
        <f t="shared" si="65"/>
        <v>98.677672955974856</v>
      </c>
      <c r="J433" s="33">
        <v>550</v>
      </c>
      <c r="K433" s="74">
        <f>I433-J433</f>
        <v>-451.32232704402514</v>
      </c>
    </row>
    <row r="434" spans="1:11" ht="24" x14ac:dyDescent="0.2">
      <c r="A434" s="5" t="s">
        <v>74</v>
      </c>
      <c r="B434" s="4" t="s">
        <v>84</v>
      </c>
      <c r="C434" s="4" t="s">
        <v>36</v>
      </c>
      <c r="D434" s="4" t="s">
        <v>6</v>
      </c>
      <c r="E434" s="4" t="s">
        <v>382</v>
      </c>
      <c r="F434" s="4" t="s">
        <v>84</v>
      </c>
      <c r="G434" s="90">
        <v>50</v>
      </c>
      <c r="H434" s="90">
        <v>50</v>
      </c>
      <c r="I434" s="60">
        <f t="shared" si="65"/>
        <v>100</v>
      </c>
      <c r="J434" s="33">
        <v>50</v>
      </c>
      <c r="K434" s="74">
        <f>I434-J434</f>
        <v>50</v>
      </c>
    </row>
    <row r="435" spans="1:11" x14ac:dyDescent="0.2">
      <c r="A435" s="5" t="s">
        <v>227</v>
      </c>
      <c r="B435" s="4" t="s">
        <v>84</v>
      </c>
      <c r="C435" s="4" t="s">
        <v>81</v>
      </c>
      <c r="D435" s="4"/>
      <c r="E435" s="4"/>
      <c r="F435" s="4"/>
      <c r="G435" s="60">
        <f>G441+G448+G436</f>
        <v>17752.001</v>
      </c>
      <c r="H435" s="60">
        <f>H441+H448+H436</f>
        <v>12937.521000000001</v>
      </c>
      <c r="I435" s="60">
        <f t="shared" si="65"/>
        <v>72.879226403829065</v>
      </c>
    </row>
    <row r="436" spans="1:11" x14ac:dyDescent="0.2">
      <c r="A436" s="5" t="s">
        <v>119</v>
      </c>
      <c r="B436" s="4" t="s">
        <v>84</v>
      </c>
      <c r="C436" s="4" t="s">
        <v>81</v>
      </c>
      <c r="D436" s="4" t="s">
        <v>15</v>
      </c>
      <c r="E436" s="4"/>
      <c r="F436" s="4"/>
      <c r="G436" s="60">
        <f>G437</f>
        <v>483.87799999999999</v>
      </c>
      <c r="H436" s="60">
        <f t="shared" ref="H436" si="72">H437</f>
        <v>396</v>
      </c>
      <c r="I436" s="60">
        <f t="shared" si="65"/>
        <v>81.838810609285815</v>
      </c>
    </row>
    <row r="437" spans="1:11" ht="36" x14ac:dyDescent="0.2">
      <c r="A437" s="5" t="s">
        <v>297</v>
      </c>
      <c r="B437" s="4" t="s">
        <v>84</v>
      </c>
      <c r="C437" s="4" t="s">
        <v>81</v>
      </c>
      <c r="D437" s="4" t="s">
        <v>15</v>
      </c>
      <c r="E437" s="4" t="s">
        <v>60</v>
      </c>
      <c r="F437" s="4"/>
      <c r="G437" s="90">
        <f>G438</f>
        <v>483.87799999999999</v>
      </c>
      <c r="H437" s="90">
        <f>H438</f>
        <v>396</v>
      </c>
      <c r="I437" s="60">
        <f t="shared" si="65"/>
        <v>81.838810609285815</v>
      </c>
    </row>
    <row r="438" spans="1:11" ht="24" x14ac:dyDescent="0.2">
      <c r="A438" s="5" t="s">
        <v>118</v>
      </c>
      <c r="B438" s="4" t="s">
        <v>84</v>
      </c>
      <c r="C438" s="4" t="s">
        <v>81</v>
      </c>
      <c r="D438" s="4" t="s">
        <v>15</v>
      </c>
      <c r="E438" s="4" t="s">
        <v>117</v>
      </c>
      <c r="F438" s="4"/>
      <c r="G438" s="90">
        <f>G439</f>
        <v>483.87799999999999</v>
      </c>
      <c r="H438" s="90">
        <f t="shared" ref="H438" si="73">H439</f>
        <v>396</v>
      </c>
      <c r="I438" s="60">
        <f t="shared" si="65"/>
        <v>81.838810609285815</v>
      </c>
    </row>
    <row r="439" spans="1:11" ht="60" x14ac:dyDescent="0.2">
      <c r="A439" s="8" t="s">
        <v>528</v>
      </c>
      <c r="B439" s="4" t="s">
        <v>84</v>
      </c>
      <c r="C439" s="4" t="s">
        <v>81</v>
      </c>
      <c r="D439" s="4" t="s">
        <v>15</v>
      </c>
      <c r="E439" s="4" t="s">
        <v>529</v>
      </c>
      <c r="F439" s="4"/>
      <c r="G439" s="60">
        <f>G440</f>
        <v>483.87799999999999</v>
      </c>
      <c r="H439" s="60">
        <f t="shared" ref="H439" si="74">H440</f>
        <v>396</v>
      </c>
      <c r="I439" s="60">
        <f t="shared" si="65"/>
        <v>81.838810609285815</v>
      </c>
    </row>
    <row r="440" spans="1:11" ht="24" x14ac:dyDescent="0.2">
      <c r="A440" s="8" t="s">
        <v>71</v>
      </c>
      <c r="B440" s="4" t="s">
        <v>84</v>
      </c>
      <c r="C440" s="4" t="s">
        <v>81</v>
      </c>
      <c r="D440" s="4" t="s">
        <v>15</v>
      </c>
      <c r="E440" s="4" t="s">
        <v>529</v>
      </c>
      <c r="F440" s="4" t="s">
        <v>70</v>
      </c>
      <c r="G440" s="60">
        <v>483.87799999999999</v>
      </c>
      <c r="H440" s="60">
        <v>396</v>
      </c>
      <c r="I440" s="60">
        <f t="shared" si="65"/>
        <v>81.838810609285815</v>
      </c>
    </row>
    <row r="441" spans="1:11" x14ac:dyDescent="0.2">
      <c r="A441" s="5" t="s">
        <v>112</v>
      </c>
      <c r="B441" s="4">
        <v>800</v>
      </c>
      <c r="C441" s="4" t="s">
        <v>81</v>
      </c>
      <c r="D441" s="4" t="s">
        <v>27</v>
      </c>
      <c r="E441" s="4"/>
      <c r="F441" s="4"/>
      <c r="G441" s="60">
        <f>G442</f>
        <v>17256.123</v>
      </c>
      <c r="H441" s="60">
        <f t="shared" ref="H441" si="75">H442</f>
        <v>12529.521000000001</v>
      </c>
      <c r="I441" s="60">
        <f t="shared" si="65"/>
        <v>72.609131263146438</v>
      </c>
    </row>
    <row r="442" spans="1:11" ht="36" x14ac:dyDescent="0.2">
      <c r="A442" s="5" t="s">
        <v>297</v>
      </c>
      <c r="B442" s="4" t="s">
        <v>84</v>
      </c>
      <c r="C442" s="4" t="s">
        <v>81</v>
      </c>
      <c r="D442" s="4" t="s">
        <v>27</v>
      </c>
      <c r="E442" s="4" t="s">
        <v>60</v>
      </c>
      <c r="F442" s="4"/>
      <c r="G442" s="90">
        <f>G443</f>
        <v>17256.123</v>
      </c>
      <c r="H442" s="90">
        <f>H443</f>
        <v>12529.521000000001</v>
      </c>
      <c r="I442" s="60">
        <f t="shared" si="65"/>
        <v>72.609131263146438</v>
      </c>
    </row>
    <row r="443" spans="1:11" ht="24" x14ac:dyDescent="0.2">
      <c r="A443" s="5" t="s">
        <v>110</v>
      </c>
      <c r="B443" s="4" t="s">
        <v>84</v>
      </c>
      <c r="C443" s="4" t="s">
        <v>81</v>
      </c>
      <c r="D443" s="4" t="s">
        <v>27</v>
      </c>
      <c r="E443" s="4" t="s">
        <v>109</v>
      </c>
      <c r="F443" s="4"/>
      <c r="G443" s="90">
        <f>G444+G446</f>
        <v>17256.123</v>
      </c>
      <c r="H443" s="90">
        <f>H444+H446</f>
        <v>12529.521000000001</v>
      </c>
      <c r="I443" s="60">
        <f t="shared" si="65"/>
        <v>72.609131263146438</v>
      </c>
    </row>
    <row r="444" spans="1:11" ht="36" x14ac:dyDescent="0.2">
      <c r="A444" s="5" t="s">
        <v>295</v>
      </c>
      <c r="B444" s="4" t="s">
        <v>84</v>
      </c>
      <c r="C444" s="4" t="s">
        <v>81</v>
      </c>
      <c r="D444" s="4" t="s">
        <v>27</v>
      </c>
      <c r="E444" s="4" t="s">
        <v>296</v>
      </c>
      <c r="F444" s="4"/>
      <c r="G444" s="90">
        <f>G445</f>
        <v>1950</v>
      </c>
      <c r="H444" s="90">
        <f>H445</f>
        <v>1950</v>
      </c>
      <c r="I444" s="60">
        <f t="shared" si="65"/>
        <v>100</v>
      </c>
    </row>
    <row r="445" spans="1:11" s="62" customFormat="1" ht="24" x14ac:dyDescent="0.2">
      <c r="A445" s="8" t="s">
        <v>71</v>
      </c>
      <c r="B445" s="4" t="s">
        <v>84</v>
      </c>
      <c r="C445" s="4" t="s">
        <v>81</v>
      </c>
      <c r="D445" s="4" t="s">
        <v>27</v>
      </c>
      <c r="E445" s="4" t="s">
        <v>296</v>
      </c>
      <c r="F445" s="4" t="s">
        <v>70</v>
      </c>
      <c r="G445" s="90">
        <v>1950</v>
      </c>
      <c r="H445" s="90">
        <v>1950</v>
      </c>
      <c r="I445" s="60">
        <f t="shared" si="65"/>
        <v>100</v>
      </c>
      <c r="J445" s="62">
        <v>2450.67</v>
      </c>
      <c r="K445" s="74">
        <f>I445-J445</f>
        <v>-2350.67</v>
      </c>
    </row>
    <row r="446" spans="1:11" s="62" customFormat="1" ht="48" x14ac:dyDescent="0.2">
      <c r="A446" s="77" t="s">
        <v>515</v>
      </c>
      <c r="B446" s="4" t="s">
        <v>84</v>
      </c>
      <c r="C446" s="4" t="s">
        <v>81</v>
      </c>
      <c r="D446" s="4" t="s">
        <v>27</v>
      </c>
      <c r="E446" s="4" t="s">
        <v>514</v>
      </c>
      <c r="F446" s="4"/>
      <c r="G446" s="90">
        <f>G447</f>
        <v>15306.123</v>
      </c>
      <c r="H446" s="90">
        <f>H447</f>
        <v>10579.521000000001</v>
      </c>
      <c r="I446" s="60">
        <f t="shared" si="65"/>
        <v>69.119534711696758</v>
      </c>
    </row>
    <row r="447" spans="1:11" s="62" customFormat="1" ht="24" x14ac:dyDescent="0.2">
      <c r="A447" s="8" t="s">
        <v>71</v>
      </c>
      <c r="B447" s="4" t="s">
        <v>84</v>
      </c>
      <c r="C447" s="4" t="s">
        <v>81</v>
      </c>
      <c r="D447" s="4" t="s">
        <v>27</v>
      </c>
      <c r="E447" s="4" t="s">
        <v>514</v>
      </c>
      <c r="F447" s="4" t="s">
        <v>70</v>
      </c>
      <c r="G447" s="90">
        <v>15306.123</v>
      </c>
      <c r="H447" s="90">
        <v>10579.521000000001</v>
      </c>
      <c r="I447" s="60">
        <f t="shared" si="65"/>
        <v>69.119534711696758</v>
      </c>
      <c r="J447" s="62">
        <v>15306.12</v>
      </c>
      <c r="K447" s="74">
        <f>I447-J447</f>
        <v>-15237.000465288304</v>
      </c>
    </row>
    <row r="448" spans="1:11" s="62" customFormat="1" x14ac:dyDescent="0.2">
      <c r="A448" s="80" t="s">
        <v>459</v>
      </c>
      <c r="B448" s="4" t="s">
        <v>84</v>
      </c>
      <c r="C448" s="4" t="s">
        <v>81</v>
      </c>
      <c r="D448" s="4" t="s">
        <v>36</v>
      </c>
      <c r="E448" s="4"/>
      <c r="F448" s="4"/>
      <c r="G448" s="89">
        <f t="shared" ref="G448:H450" si="76">G449</f>
        <v>12</v>
      </c>
      <c r="H448" s="89">
        <f t="shared" si="76"/>
        <v>12</v>
      </c>
      <c r="I448" s="60">
        <f t="shared" si="65"/>
        <v>100</v>
      </c>
    </row>
    <row r="449" spans="1:11" s="62" customFormat="1" ht="60" x14ac:dyDescent="0.2">
      <c r="A449" s="5" t="s">
        <v>311</v>
      </c>
      <c r="B449" s="4" t="s">
        <v>84</v>
      </c>
      <c r="C449" s="4" t="s">
        <v>81</v>
      </c>
      <c r="D449" s="4" t="s">
        <v>36</v>
      </c>
      <c r="E449" s="4" t="s">
        <v>12</v>
      </c>
      <c r="F449" s="4"/>
      <c r="G449" s="89">
        <f t="shared" si="76"/>
        <v>12</v>
      </c>
      <c r="H449" s="89">
        <f t="shared" si="76"/>
        <v>12</v>
      </c>
      <c r="I449" s="60">
        <f t="shared" si="65"/>
        <v>100</v>
      </c>
    </row>
    <row r="450" spans="1:11" s="62" customFormat="1" ht="48" x14ac:dyDescent="0.2">
      <c r="A450" s="5" t="s">
        <v>177</v>
      </c>
      <c r="B450" s="4" t="s">
        <v>84</v>
      </c>
      <c r="C450" s="4" t="s">
        <v>81</v>
      </c>
      <c r="D450" s="4" t="s">
        <v>36</v>
      </c>
      <c r="E450" s="4" t="s">
        <v>312</v>
      </c>
      <c r="F450" s="4"/>
      <c r="G450" s="89">
        <f t="shared" si="76"/>
        <v>12</v>
      </c>
      <c r="H450" s="89">
        <f t="shared" si="76"/>
        <v>12</v>
      </c>
      <c r="I450" s="60">
        <f t="shared" si="65"/>
        <v>100</v>
      </c>
    </row>
    <row r="451" spans="1:11" s="62" customFormat="1" ht="24" x14ac:dyDescent="0.2">
      <c r="A451" s="5" t="s">
        <v>313</v>
      </c>
      <c r="B451" s="4" t="s">
        <v>84</v>
      </c>
      <c r="C451" s="4" t="s">
        <v>81</v>
      </c>
      <c r="D451" s="4" t="s">
        <v>36</v>
      </c>
      <c r="E451" s="4" t="s">
        <v>266</v>
      </c>
      <c r="F451" s="4"/>
      <c r="G451" s="89">
        <f>G452+G453</f>
        <v>12</v>
      </c>
      <c r="H451" s="89">
        <f>H452+H453</f>
        <v>12</v>
      </c>
      <c r="I451" s="60">
        <f t="shared" si="65"/>
        <v>100</v>
      </c>
    </row>
    <row r="452" spans="1:11" s="62" customFormat="1" ht="24" x14ac:dyDescent="0.2">
      <c r="A452" s="5" t="s">
        <v>47</v>
      </c>
      <c r="B452" s="4" t="s">
        <v>84</v>
      </c>
      <c r="C452" s="4" t="s">
        <v>81</v>
      </c>
      <c r="D452" s="4" t="s">
        <v>36</v>
      </c>
      <c r="E452" s="4" t="s">
        <v>266</v>
      </c>
      <c r="F452" s="4" t="s">
        <v>51</v>
      </c>
      <c r="G452" s="89">
        <v>12</v>
      </c>
      <c r="H452" s="89">
        <v>12</v>
      </c>
      <c r="I452" s="60">
        <f t="shared" si="65"/>
        <v>100</v>
      </c>
      <c r="J452" s="62">
        <v>3</v>
      </c>
      <c r="K452" s="74">
        <f>I452-J452</f>
        <v>97</v>
      </c>
    </row>
    <row r="453" spans="1:11" s="62" customFormat="1" ht="38.25" x14ac:dyDescent="0.2">
      <c r="A453" s="1" t="s">
        <v>29</v>
      </c>
      <c r="B453" s="4" t="s">
        <v>84</v>
      </c>
      <c r="C453" s="4" t="s">
        <v>81</v>
      </c>
      <c r="D453" s="4" t="s">
        <v>36</v>
      </c>
      <c r="E453" s="4" t="s">
        <v>266</v>
      </c>
      <c r="F453" s="4" t="s">
        <v>26</v>
      </c>
      <c r="G453" s="89">
        <v>0</v>
      </c>
      <c r="H453" s="89"/>
      <c r="I453" s="60" t="e">
        <f t="shared" si="65"/>
        <v>#DIV/0!</v>
      </c>
      <c r="J453" s="62">
        <v>3</v>
      </c>
      <c r="K453" s="74" t="e">
        <f>I453-J453</f>
        <v>#DIV/0!</v>
      </c>
    </row>
    <row r="454" spans="1:11" x14ac:dyDescent="0.2">
      <c r="A454" s="5" t="s">
        <v>78</v>
      </c>
      <c r="B454" s="4" t="s">
        <v>84</v>
      </c>
      <c r="C454" s="4" t="s">
        <v>73</v>
      </c>
      <c r="D454" s="4"/>
      <c r="E454" s="4"/>
      <c r="F454" s="4"/>
      <c r="G454" s="60">
        <f t="shared" ref="G454:H456" si="77">G455</f>
        <v>2900.5373199999999</v>
      </c>
      <c r="H454" s="60">
        <f t="shared" si="77"/>
        <v>2900.5373199999999</v>
      </c>
      <c r="I454" s="60">
        <f t="shared" si="65"/>
        <v>100</v>
      </c>
    </row>
    <row r="455" spans="1:11" x14ac:dyDescent="0.2">
      <c r="A455" s="5" t="s">
        <v>78</v>
      </c>
      <c r="B455" s="4" t="s">
        <v>84</v>
      </c>
      <c r="C455" s="4" t="s">
        <v>73</v>
      </c>
      <c r="D455" s="4" t="s">
        <v>15</v>
      </c>
      <c r="E455" s="4"/>
      <c r="F455" s="4"/>
      <c r="G455" s="60">
        <f t="shared" si="77"/>
        <v>2900.5373199999999</v>
      </c>
      <c r="H455" s="60">
        <f t="shared" si="77"/>
        <v>2900.5373199999999</v>
      </c>
      <c r="I455" s="60">
        <f t="shared" si="65"/>
        <v>100</v>
      </c>
    </row>
    <row r="456" spans="1:11" ht="48" x14ac:dyDescent="0.2">
      <c r="A456" s="8" t="s">
        <v>332</v>
      </c>
      <c r="B456" s="4" t="s">
        <v>84</v>
      </c>
      <c r="C456" s="4" t="s">
        <v>73</v>
      </c>
      <c r="D456" s="4" t="s">
        <v>15</v>
      </c>
      <c r="E456" s="4" t="s">
        <v>41</v>
      </c>
      <c r="F456" s="4"/>
      <c r="G456" s="60">
        <f t="shared" si="77"/>
        <v>2900.5373199999999</v>
      </c>
      <c r="H456" s="60">
        <f t="shared" si="77"/>
        <v>2900.5373199999999</v>
      </c>
      <c r="I456" s="60">
        <f t="shared" si="65"/>
        <v>100</v>
      </c>
    </row>
    <row r="457" spans="1:11" ht="24" x14ac:dyDescent="0.2">
      <c r="A457" s="8" t="s">
        <v>40</v>
      </c>
      <c r="B457" s="4" t="s">
        <v>84</v>
      </c>
      <c r="C457" s="4" t="s">
        <v>73</v>
      </c>
      <c r="D457" s="4" t="s">
        <v>15</v>
      </c>
      <c r="E457" s="4" t="s">
        <v>389</v>
      </c>
      <c r="F457" s="4"/>
      <c r="G457" s="60">
        <f>G460+G458</f>
        <v>2900.5373199999999</v>
      </c>
      <c r="H457" s="60">
        <f>H460+H458</f>
        <v>2900.5373199999999</v>
      </c>
      <c r="I457" s="60">
        <f t="shared" si="65"/>
        <v>100</v>
      </c>
    </row>
    <row r="458" spans="1:11" ht="27" customHeight="1" x14ac:dyDescent="0.2">
      <c r="A458" s="8" t="s">
        <v>533</v>
      </c>
      <c r="B458" s="4" t="s">
        <v>84</v>
      </c>
      <c r="C458" s="4" t="s">
        <v>73</v>
      </c>
      <c r="D458" s="4" t="s">
        <v>15</v>
      </c>
      <c r="E458" s="4" t="s">
        <v>516</v>
      </c>
      <c r="F458" s="4"/>
      <c r="G458" s="60">
        <f>G459</f>
        <v>2.5999999999999998E-4</v>
      </c>
      <c r="H458" s="60">
        <f>H459</f>
        <v>2.5999999999999998E-4</v>
      </c>
      <c r="I458" s="60">
        <f t="shared" ref="I458:I521" si="78">H458/G458*100</f>
        <v>100</v>
      </c>
    </row>
    <row r="459" spans="1:11" ht="24" x14ac:dyDescent="0.2">
      <c r="A459" s="5" t="s">
        <v>47</v>
      </c>
      <c r="B459" s="4" t="s">
        <v>84</v>
      </c>
      <c r="C459" s="4" t="s">
        <v>73</v>
      </c>
      <c r="D459" s="4" t="s">
        <v>15</v>
      </c>
      <c r="E459" s="4" t="s">
        <v>516</v>
      </c>
      <c r="F459" s="4" t="s">
        <v>51</v>
      </c>
      <c r="G459" s="60">
        <v>2.5999999999999998E-4</v>
      </c>
      <c r="H459" s="60">
        <v>2.5999999999999998E-4</v>
      </c>
      <c r="I459" s="60">
        <f t="shared" si="78"/>
        <v>100</v>
      </c>
      <c r="J459" s="33">
        <v>2.5999999999999998E-4</v>
      </c>
      <c r="K459" s="74">
        <f>I459-J459</f>
        <v>99.999740000000003</v>
      </c>
    </row>
    <row r="460" spans="1:11" x14ac:dyDescent="0.2">
      <c r="A460" s="5" t="s">
        <v>464</v>
      </c>
      <c r="B460" s="4" t="s">
        <v>84</v>
      </c>
      <c r="C460" s="4" t="s">
        <v>73</v>
      </c>
      <c r="D460" s="4" t="s">
        <v>15</v>
      </c>
      <c r="E460" s="4" t="s">
        <v>463</v>
      </c>
      <c r="F460" s="4"/>
      <c r="G460" s="60">
        <f>G461</f>
        <v>2900.5370600000001</v>
      </c>
      <c r="H460" s="60">
        <f t="shared" ref="H460" si="79">H461</f>
        <v>2900.5370600000001</v>
      </c>
      <c r="I460" s="60">
        <f t="shared" si="78"/>
        <v>100</v>
      </c>
    </row>
    <row r="461" spans="1:11" ht="24" x14ac:dyDescent="0.2">
      <c r="A461" s="5" t="s">
        <v>47</v>
      </c>
      <c r="B461" s="4" t="s">
        <v>84</v>
      </c>
      <c r="C461" s="4" t="s">
        <v>73</v>
      </c>
      <c r="D461" s="4" t="s">
        <v>15</v>
      </c>
      <c r="E461" s="4" t="s">
        <v>463</v>
      </c>
      <c r="F461" s="4" t="s">
        <v>51</v>
      </c>
      <c r="G461" s="60">
        <v>2900.5370600000001</v>
      </c>
      <c r="H461" s="60">
        <v>2900.5370600000001</v>
      </c>
      <c r="I461" s="60">
        <f t="shared" si="78"/>
        <v>100</v>
      </c>
      <c r="J461" s="33">
        <v>2900.5370600000001</v>
      </c>
      <c r="K461" s="74">
        <f>I461-J461</f>
        <v>-2800.5370600000001</v>
      </c>
    </row>
    <row r="462" spans="1:11" x14ac:dyDescent="0.2">
      <c r="A462" s="5" t="s">
        <v>67</v>
      </c>
      <c r="B462" s="4" t="s">
        <v>84</v>
      </c>
      <c r="C462" s="4" t="s">
        <v>54</v>
      </c>
      <c r="D462" s="4" t="s">
        <v>19</v>
      </c>
      <c r="E462" s="4"/>
      <c r="F462" s="4"/>
      <c r="G462" s="60">
        <f>G468+G463</f>
        <v>5677.9864900000002</v>
      </c>
      <c r="H462" s="60">
        <f>H468+H463</f>
        <v>5677.9864900000002</v>
      </c>
      <c r="I462" s="60">
        <f t="shared" si="78"/>
        <v>100</v>
      </c>
    </row>
    <row r="463" spans="1:11" x14ac:dyDescent="0.2">
      <c r="A463" s="5" t="s">
        <v>66</v>
      </c>
      <c r="B463" s="4" t="s">
        <v>84</v>
      </c>
      <c r="C463" s="4" t="s">
        <v>54</v>
      </c>
      <c r="D463" s="4" t="s">
        <v>15</v>
      </c>
      <c r="E463" s="4"/>
      <c r="F463" s="4"/>
      <c r="G463" s="60">
        <f>G464</f>
        <v>675.72936000000004</v>
      </c>
      <c r="H463" s="60">
        <f t="shared" ref="H463" si="80">H464</f>
        <v>675.72936000000004</v>
      </c>
      <c r="I463" s="60">
        <f t="shared" si="78"/>
        <v>100</v>
      </c>
    </row>
    <row r="464" spans="1:11" ht="48" x14ac:dyDescent="0.2">
      <c r="A464" s="5" t="s">
        <v>384</v>
      </c>
      <c r="B464" s="4" t="s">
        <v>84</v>
      </c>
      <c r="C464" s="4" t="s">
        <v>54</v>
      </c>
      <c r="D464" s="4" t="s">
        <v>15</v>
      </c>
      <c r="E464" s="4" t="s">
        <v>57</v>
      </c>
      <c r="F464" s="4"/>
      <c r="G464" s="60">
        <f t="shared" ref="G464:H466" si="81">G465</f>
        <v>675.72936000000004</v>
      </c>
      <c r="H464" s="60">
        <f t="shared" si="81"/>
        <v>675.72936000000004</v>
      </c>
      <c r="I464" s="60">
        <f t="shared" si="78"/>
        <v>100</v>
      </c>
    </row>
    <row r="465" spans="1:11" ht="32.25" customHeight="1" x14ac:dyDescent="0.2">
      <c r="A465" s="5" t="s">
        <v>292</v>
      </c>
      <c r="B465" s="4" t="s">
        <v>84</v>
      </c>
      <c r="C465" s="4" t="s">
        <v>54</v>
      </c>
      <c r="D465" s="4" t="s">
        <v>15</v>
      </c>
      <c r="E465" s="4" t="s">
        <v>385</v>
      </c>
      <c r="F465" s="4"/>
      <c r="G465" s="60">
        <f t="shared" si="81"/>
        <v>675.72936000000004</v>
      </c>
      <c r="H465" s="60">
        <f t="shared" si="81"/>
        <v>675.72936000000004</v>
      </c>
      <c r="I465" s="60">
        <f t="shared" si="78"/>
        <v>100</v>
      </c>
    </row>
    <row r="466" spans="1:11" ht="24" x14ac:dyDescent="0.2">
      <c r="A466" s="5" t="s">
        <v>386</v>
      </c>
      <c r="B466" s="4" t="s">
        <v>84</v>
      </c>
      <c r="C466" s="4" t="s">
        <v>54</v>
      </c>
      <c r="D466" s="4" t="s">
        <v>15</v>
      </c>
      <c r="E466" s="4" t="s">
        <v>387</v>
      </c>
      <c r="F466" s="4"/>
      <c r="G466" s="60">
        <f t="shared" si="81"/>
        <v>675.72936000000004</v>
      </c>
      <c r="H466" s="60">
        <f t="shared" si="81"/>
        <v>675.72936000000004</v>
      </c>
      <c r="I466" s="60">
        <f t="shared" si="78"/>
        <v>100</v>
      </c>
    </row>
    <row r="467" spans="1:11" x14ac:dyDescent="0.2">
      <c r="A467" s="5" t="s">
        <v>45</v>
      </c>
      <c r="B467" s="4" t="s">
        <v>84</v>
      </c>
      <c r="C467" s="4" t="s">
        <v>54</v>
      </c>
      <c r="D467" s="4" t="s">
        <v>15</v>
      </c>
      <c r="E467" s="4" t="s">
        <v>387</v>
      </c>
      <c r="F467" s="4" t="s">
        <v>43</v>
      </c>
      <c r="G467" s="90">
        <v>675.72936000000004</v>
      </c>
      <c r="H467" s="90">
        <v>675.72936000000004</v>
      </c>
      <c r="I467" s="60">
        <f t="shared" si="78"/>
        <v>100</v>
      </c>
      <c r="J467" s="33">
        <v>500</v>
      </c>
      <c r="K467" s="74">
        <f>I467-J467</f>
        <v>-400</v>
      </c>
    </row>
    <row r="468" spans="1:11" s="36" customFormat="1" x14ac:dyDescent="0.2">
      <c r="A468" s="5" t="s">
        <v>65</v>
      </c>
      <c r="B468" s="4" t="s">
        <v>84</v>
      </c>
      <c r="C468" s="4" t="s">
        <v>54</v>
      </c>
      <c r="D468" s="4" t="s">
        <v>6</v>
      </c>
      <c r="E468" s="4"/>
      <c r="F468" s="4"/>
      <c r="G468" s="60">
        <f>G469+G473+G479+G488</f>
        <v>5002.25713</v>
      </c>
      <c r="H468" s="60">
        <f>H469+H473+H479+H488</f>
        <v>5002.25713</v>
      </c>
      <c r="I468" s="60">
        <f t="shared" si="78"/>
        <v>100</v>
      </c>
    </row>
    <row r="469" spans="1:11" s="36" customFormat="1" ht="60" x14ac:dyDescent="0.2">
      <c r="A469" s="5" t="s">
        <v>328</v>
      </c>
      <c r="B469" s="4" t="s">
        <v>84</v>
      </c>
      <c r="C469" s="4" t="s">
        <v>54</v>
      </c>
      <c r="D469" s="4" t="s">
        <v>6</v>
      </c>
      <c r="E469" s="4" t="s">
        <v>64</v>
      </c>
      <c r="F469" s="4"/>
      <c r="G469" s="92">
        <f t="shared" ref="G469:H471" si="82">G470</f>
        <v>3136.8371299999999</v>
      </c>
      <c r="H469" s="92">
        <f t="shared" si="82"/>
        <v>3136.8371299999999</v>
      </c>
      <c r="I469" s="60">
        <f t="shared" si="78"/>
        <v>100</v>
      </c>
    </row>
    <row r="470" spans="1:11" s="36" customFormat="1" ht="24" x14ac:dyDescent="0.2">
      <c r="A470" s="5" t="s">
        <v>388</v>
      </c>
      <c r="B470" s="4" t="s">
        <v>84</v>
      </c>
      <c r="C470" s="4" t="s">
        <v>54</v>
      </c>
      <c r="D470" s="4" t="s">
        <v>6</v>
      </c>
      <c r="E470" s="4" t="s">
        <v>370</v>
      </c>
      <c r="F470" s="4"/>
      <c r="G470" s="92">
        <f t="shared" si="82"/>
        <v>3136.8371299999999</v>
      </c>
      <c r="H470" s="92">
        <f t="shared" si="82"/>
        <v>3136.8371299999999</v>
      </c>
      <c r="I470" s="60">
        <f t="shared" si="78"/>
        <v>100</v>
      </c>
    </row>
    <row r="471" spans="1:11" s="36" customFormat="1" ht="84" x14ac:dyDescent="0.2">
      <c r="A471" s="5" t="s">
        <v>277</v>
      </c>
      <c r="B471" s="4" t="s">
        <v>84</v>
      </c>
      <c r="C471" s="4" t="s">
        <v>54</v>
      </c>
      <c r="D471" s="4" t="s">
        <v>6</v>
      </c>
      <c r="E471" s="4" t="s">
        <v>496</v>
      </c>
      <c r="F471" s="4"/>
      <c r="G471" s="92">
        <f t="shared" si="82"/>
        <v>3136.8371299999999</v>
      </c>
      <c r="H471" s="92">
        <f t="shared" si="82"/>
        <v>3136.8371299999999</v>
      </c>
      <c r="I471" s="60">
        <f t="shared" si="78"/>
        <v>100</v>
      </c>
    </row>
    <row r="472" spans="1:11" s="36" customFormat="1" x14ac:dyDescent="0.2">
      <c r="A472" s="5" t="s">
        <v>45</v>
      </c>
      <c r="B472" s="4" t="s">
        <v>84</v>
      </c>
      <c r="C472" s="4" t="s">
        <v>54</v>
      </c>
      <c r="D472" s="4" t="s">
        <v>6</v>
      </c>
      <c r="E472" s="4" t="s">
        <v>496</v>
      </c>
      <c r="F472" s="4" t="s">
        <v>43</v>
      </c>
      <c r="G472" s="92">
        <v>3136.8371299999999</v>
      </c>
      <c r="H472" s="92">
        <f>3136.83713</f>
        <v>3136.8371299999999</v>
      </c>
      <c r="I472" s="60">
        <f t="shared" si="78"/>
        <v>100</v>
      </c>
      <c r="J472" s="36">
        <v>3136.8371299999999</v>
      </c>
      <c r="K472" s="74">
        <f>I472-J472</f>
        <v>-3036.8371299999999</v>
      </c>
    </row>
    <row r="473" spans="1:11" s="36" customFormat="1" ht="48" x14ac:dyDescent="0.2">
      <c r="A473" s="5" t="s">
        <v>332</v>
      </c>
      <c r="B473" s="4" t="s">
        <v>84</v>
      </c>
      <c r="C473" s="4" t="s">
        <v>54</v>
      </c>
      <c r="D473" s="4" t="s">
        <v>6</v>
      </c>
      <c r="E473" s="4" t="s">
        <v>41</v>
      </c>
      <c r="F473" s="4"/>
      <c r="G473" s="92">
        <f>G474</f>
        <v>0</v>
      </c>
      <c r="H473" s="92">
        <f>H474</f>
        <v>0</v>
      </c>
      <c r="I473" s="60" t="e">
        <f t="shared" si="78"/>
        <v>#DIV/0!</v>
      </c>
    </row>
    <row r="474" spans="1:11" s="36" customFormat="1" ht="36" x14ac:dyDescent="0.2">
      <c r="A474" s="5" t="s">
        <v>252</v>
      </c>
      <c r="B474" s="4" t="s">
        <v>84</v>
      </c>
      <c r="C474" s="4" t="s">
        <v>54</v>
      </c>
      <c r="D474" s="4" t="s">
        <v>6</v>
      </c>
      <c r="E474" s="4" t="s">
        <v>398</v>
      </c>
      <c r="F474" s="4"/>
      <c r="G474" s="92">
        <f>G475+G477</f>
        <v>0</v>
      </c>
      <c r="H474" s="92">
        <f>H475+H477</f>
        <v>0</v>
      </c>
      <c r="I474" s="60" t="e">
        <f t="shared" si="78"/>
        <v>#DIV/0!</v>
      </c>
    </row>
    <row r="475" spans="1:11" s="36" customFormat="1" ht="36" x14ac:dyDescent="0.2">
      <c r="A475" s="5" t="s">
        <v>390</v>
      </c>
      <c r="B475" s="4" t="s">
        <v>84</v>
      </c>
      <c r="C475" s="4" t="s">
        <v>54</v>
      </c>
      <c r="D475" s="4" t="s">
        <v>6</v>
      </c>
      <c r="E475" s="4" t="s">
        <v>447</v>
      </c>
      <c r="F475" s="4"/>
      <c r="G475" s="92">
        <f>G476</f>
        <v>0</v>
      </c>
      <c r="H475" s="92">
        <f>H476</f>
        <v>0</v>
      </c>
      <c r="I475" s="60" t="e">
        <f t="shared" si="78"/>
        <v>#DIV/0!</v>
      </c>
    </row>
    <row r="476" spans="1:11" s="36" customFormat="1" x14ac:dyDescent="0.2">
      <c r="A476" s="5" t="s">
        <v>45</v>
      </c>
      <c r="B476" s="4" t="s">
        <v>84</v>
      </c>
      <c r="C476" s="4" t="s">
        <v>54</v>
      </c>
      <c r="D476" s="4" t="s">
        <v>6</v>
      </c>
      <c r="E476" s="4" t="s">
        <v>447</v>
      </c>
      <c r="F476" s="4" t="s">
        <v>43</v>
      </c>
      <c r="G476" s="92">
        <v>0</v>
      </c>
      <c r="H476" s="92"/>
      <c r="I476" s="60" t="e">
        <f t="shared" si="78"/>
        <v>#DIV/0!</v>
      </c>
      <c r="K476" s="74" t="e">
        <f>I476-J476</f>
        <v>#DIV/0!</v>
      </c>
    </row>
    <row r="477" spans="1:11" s="36" customFormat="1" ht="36" x14ac:dyDescent="0.2">
      <c r="A477" s="5" t="s">
        <v>63</v>
      </c>
      <c r="B477" s="4" t="s">
        <v>84</v>
      </c>
      <c r="C477" s="4" t="s">
        <v>54</v>
      </c>
      <c r="D477" s="4" t="s">
        <v>6</v>
      </c>
      <c r="E477" s="4" t="s">
        <v>448</v>
      </c>
      <c r="F477" s="4"/>
      <c r="G477" s="92">
        <f>G478</f>
        <v>0</v>
      </c>
      <c r="H477" s="92">
        <f>H478</f>
        <v>0</v>
      </c>
      <c r="I477" s="60" t="e">
        <f t="shared" si="78"/>
        <v>#DIV/0!</v>
      </c>
    </row>
    <row r="478" spans="1:11" s="36" customFormat="1" x14ac:dyDescent="0.2">
      <c r="A478" s="5" t="s">
        <v>45</v>
      </c>
      <c r="B478" s="4" t="s">
        <v>84</v>
      </c>
      <c r="C478" s="4" t="s">
        <v>54</v>
      </c>
      <c r="D478" s="4" t="s">
        <v>6</v>
      </c>
      <c r="E478" s="4" t="s">
        <v>448</v>
      </c>
      <c r="F478" s="4" t="s">
        <v>43</v>
      </c>
      <c r="G478" s="92"/>
      <c r="H478" s="92"/>
      <c r="I478" s="60" t="e">
        <f t="shared" si="78"/>
        <v>#DIV/0!</v>
      </c>
      <c r="K478" s="74" t="e">
        <f>I478-J478</f>
        <v>#DIV/0!</v>
      </c>
    </row>
    <row r="479" spans="1:11" s="36" customFormat="1" ht="48" x14ac:dyDescent="0.2">
      <c r="A479" s="5" t="s">
        <v>384</v>
      </c>
      <c r="B479" s="4" t="s">
        <v>84</v>
      </c>
      <c r="C479" s="4" t="s">
        <v>54</v>
      </c>
      <c r="D479" s="4" t="s">
        <v>6</v>
      </c>
      <c r="E479" s="4" t="s">
        <v>57</v>
      </c>
      <c r="F479" s="4"/>
      <c r="G479" s="92">
        <f>G480+G485</f>
        <v>1417.92</v>
      </c>
      <c r="H479" s="92">
        <f>H480+H485</f>
        <v>1417.92</v>
      </c>
      <c r="I479" s="60">
        <f t="shared" si="78"/>
        <v>100</v>
      </c>
    </row>
    <row r="480" spans="1:11" s="36" customFormat="1" ht="24" x14ac:dyDescent="0.2">
      <c r="A480" s="5" t="s">
        <v>55</v>
      </c>
      <c r="B480" s="4" t="s">
        <v>84</v>
      </c>
      <c r="C480" s="4" t="s">
        <v>54</v>
      </c>
      <c r="D480" s="4" t="s">
        <v>6</v>
      </c>
      <c r="E480" s="4" t="s">
        <v>320</v>
      </c>
      <c r="F480" s="4"/>
      <c r="G480" s="92">
        <f>G481+G483</f>
        <v>1218.42</v>
      </c>
      <c r="H480" s="92">
        <f>H481+H483</f>
        <v>1218.42</v>
      </c>
      <c r="I480" s="60">
        <f t="shared" si="78"/>
        <v>100</v>
      </c>
    </row>
    <row r="481" spans="1:11" s="36" customFormat="1" ht="46.5" customHeight="1" x14ac:dyDescent="0.2">
      <c r="A481" s="5" t="s">
        <v>438</v>
      </c>
      <c r="B481" s="4" t="s">
        <v>84</v>
      </c>
      <c r="C481" s="4" t="s">
        <v>54</v>
      </c>
      <c r="D481" s="4" t="s">
        <v>6</v>
      </c>
      <c r="E481" s="4" t="s">
        <v>62</v>
      </c>
      <c r="F481" s="4"/>
      <c r="G481" s="92">
        <f>G482</f>
        <v>609.21</v>
      </c>
      <c r="H481" s="92">
        <f>H482</f>
        <v>609.21</v>
      </c>
      <c r="I481" s="60">
        <f t="shared" si="78"/>
        <v>100</v>
      </c>
    </row>
    <row r="482" spans="1:11" s="36" customFormat="1" x14ac:dyDescent="0.2">
      <c r="A482" s="5" t="s">
        <v>45</v>
      </c>
      <c r="B482" s="4" t="s">
        <v>84</v>
      </c>
      <c r="C482" s="4" t="s">
        <v>54</v>
      </c>
      <c r="D482" s="4" t="s">
        <v>6</v>
      </c>
      <c r="E482" s="4" t="s">
        <v>62</v>
      </c>
      <c r="F482" s="4" t="s">
        <v>43</v>
      </c>
      <c r="G482" s="92">
        <v>609.21</v>
      </c>
      <c r="H482" s="92">
        <v>609.21</v>
      </c>
      <c r="I482" s="60">
        <f t="shared" si="78"/>
        <v>100</v>
      </c>
      <c r="J482" s="36">
        <v>609.21</v>
      </c>
      <c r="K482" s="74">
        <f>I482-J482</f>
        <v>-509.21000000000004</v>
      </c>
    </row>
    <row r="483" spans="1:11" s="36" customFormat="1" ht="34.5" customHeight="1" x14ac:dyDescent="0.2">
      <c r="A483" s="5" t="s">
        <v>518</v>
      </c>
      <c r="B483" s="4" t="s">
        <v>84</v>
      </c>
      <c r="C483" s="4" t="s">
        <v>54</v>
      </c>
      <c r="D483" s="4" t="s">
        <v>6</v>
      </c>
      <c r="E483" s="4" t="s">
        <v>517</v>
      </c>
      <c r="F483" s="4"/>
      <c r="G483" s="92">
        <f>G484</f>
        <v>609.21</v>
      </c>
      <c r="H483" s="92">
        <f>H484</f>
        <v>609.21</v>
      </c>
      <c r="I483" s="60">
        <f t="shared" si="78"/>
        <v>100</v>
      </c>
    </row>
    <row r="484" spans="1:11" s="36" customFormat="1" x14ac:dyDescent="0.2">
      <c r="A484" s="5" t="s">
        <v>45</v>
      </c>
      <c r="B484" s="4" t="s">
        <v>84</v>
      </c>
      <c r="C484" s="4" t="s">
        <v>54</v>
      </c>
      <c r="D484" s="4" t="s">
        <v>6</v>
      </c>
      <c r="E484" s="4" t="s">
        <v>517</v>
      </c>
      <c r="F484" s="4" t="s">
        <v>43</v>
      </c>
      <c r="G484" s="92">
        <v>609.21</v>
      </c>
      <c r="H484" s="92">
        <v>609.21</v>
      </c>
      <c r="I484" s="60">
        <f t="shared" si="78"/>
        <v>100</v>
      </c>
      <c r="J484" s="36">
        <v>609.21</v>
      </c>
      <c r="K484" s="74">
        <f>I484-J484</f>
        <v>-509.21000000000004</v>
      </c>
    </row>
    <row r="485" spans="1:11" s="36" customFormat="1" ht="30.75" customHeight="1" x14ac:dyDescent="0.2">
      <c r="A485" s="8" t="s">
        <v>292</v>
      </c>
      <c r="B485" s="4" t="s">
        <v>84</v>
      </c>
      <c r="C485" s="4" t="s">
        <v>54</v>
      </c>
      <c r="D485" s="4" t="s">
        <v>6</v>
      </c>
      <c r="E485" s="4" t="s">
        <v>385</v>
      </c>
      <c r="F485" s="4"/>
      <c r="G485" s="60">
        <f t="shared" ref="G485:H486" si="83">G486</f>
        <v>199.5</v>
      </c>
      <c r="H485" s="60">
        <f t="shared" si="83"/>
        <v>199.5</v>
      </c>
      <c r="I485" s="60">
        <f t="shared" si="78"/>
        <v>100</v>
      </c>
    </row>
    <row r="486" spans="1:11" s="36" customFormat="1" ht="48" x14ac:dyDescent="0.2">
      <c r="A486" s="5" t="s">
        <v>392</v>
      </c>
      <c r="B486" s="4" t="s">
        <v>84</v>
      </c>
      <c r="C486" s="4" t="s">
        <v>54</v>
      </c>
      <c r="D486" s="4" t="s">
        <v>6</v>
      </c>
      <c r="E486" s="4" t="s">
        <v>391</v>
      </c>
      <c r="F486" s="4"/>
      <c r="G486" s="60">
        <f t="shared" si="83"/>
        <v>199.5</v>
      </c>
      <c r="H486" s="60">
        <f t="shared" si="83"/>
        <v>199.5</v>
      </c>
      <c r="I486" s="60">
        <f t="shared" si="78"/>
        <v>100</v>
      </c>
    </row>
    <row r="487" spans="1:11" s="36" customFormat="1" x14ac:dyDescent="0.2">
      <c r="A487" s="5" t="s">
        <v>45</v>
      </c>
      <c r="B487" s="4" t="s">
        <v>84</v>
      </c>
      <c r="C487" s="4" t="s">
        <v>54</v>
      </c>
      <c r="D487" s="4" t="s">
        <v>6</v>
      </c>
      <c r="E487" s="4" t="s">
        <v>391</v>
      </c>
      <c r="F487" s="4" t="s">
        <v>43</v>
      </c>
      <c r="G487" s="90">
        <v>199.5</v>
      </c>
      <c r="H487" s="90">
        <v>199.5</v>
      </c>
      <c r="I487" s="60">
        <f t="shared" si="78"/>
        <v>100</v>
      </c>
      <c r="J487" s="36">
        <v>80</v>
      </c>
      <c r="K487" s="74">
        <f>I487-J487</f>
        <v>20</v>
      </c>
    </row>
    <row r="488" spans="1:11" x14ac:dyDescent="0.2">
      <c r="A488" s="5" t="s">
        <v>46</v>
      </c>
      <c r="B488" s="4" t="s">
        <v>84</v>
      </c>
      <c r="C488" s="4" t="s">
        <v>54</v>
      </c>
      <c r="D488" s="4" t="s">
        <v>6</v>
      </c>
      <c r="E488" s="4" t="s">
        <v>44</v>
      </c>
      <c r="F488" s="4"/>
      <c r="G488" s="91">
        <f>G489</f>
        <v>447.5</v>
      </c>
      <c r="H488" s="91">
        <f>H489</f>
        <v>447.5</v>
      </c>
      <c r="I488" s="60">
        <f t="shared" si="78"/>
        <v>100</v>
      </c>
    </row>
    <row r="489" spans="1:11" x14ac:dyDescent="0.2">
      <c r="A489" s="5" t="s">
        <v>45</v>
      </c>
      <c r="B489" s="4" t="s">
        <v>84</v>
      </c>
      <c r="C489" s="4" t="s">
        <v>54</v>
      </c>
      <c r="D489" s="4" t="s">
        <v>6</v>
      </c>
      <c r="E489" s="4" t="s">
        <v>44</v>
      </c>
      <c r="F489" s="4" t="s">
        <v>43</v>
      </c>
      <c r="G489" s="91">
        <v>447.5</v>
      </c>
      <c r="H489" s="91">
        <v>447.5</v>
      </c>
      <c r="I489" s="60">
        <f t="shared" si="78"/>
        <v>100</v>
      </c>
      <c r="J489" s="33">
        <v>447.5</v>
      </c>
      <c r="K489" s="74">
        <f>I489-J489</f>
        <v>-347.5</v>
      </c>
    </row>
    <row r="490" spans="1:11" s="36" customFormat="1" x14ac:dyDescent="0.2">
      <c r="A490" s="5" t="s">
        <v>33</v>
      </c>
      <c r="B490" s="4" t="s">
        <v>84</v>
      </c>
      <c r="C490" s="4" t="s">
        <v>28</v>
      </c>
      <c r="D490" s="4"/>
      <c r="E490" s="4"/>
      <c r="F490" s="4"/>
      <c r="G490" s="88">
        <f t="shared" ref="G490:H492" si="84">G491</f>
        <v>1729.92</v>
      </c>
      <c r="H490" s="88">
        <f t="shared" si="84"/>
        <v>1729.92</v>
      </c>
      <c r="I490" s="60">
        <f t="shared" si="78"/>
        <v>100</v>
      </c>
    </row>
    <row r="491" spans="1:11" s="36" customFormat="1" x14ac:dyDescent="0.2">
      <c r="A491" s="5" t="s">
        <v>32</v>
      </c>
      <c r="B491" s="4" t="s">
        <v>84</v>
      </c>
      <c r="C491" s="4" t="s">
        <v>28</v>
      </c>
      <c r="D491" s="4" t="s">
        <v>27</v>
      </c>
      <c r="E491" s="4"/>
      <c r="F491" s="4"/>
      <c r="G491" s="88">
        <f t="shared" si="84"/>
        <v>1729.92</v>
      </c>
      <c r="H491" s="88">
        <f t="shared" si="84"/>
        <v>1729.92</v>
      </c>
      <c r="I491" s="60">
        <f t="shared" si="78"/>
        <v>100</v>
      </c>
    </row>
    <row r="492" spans="1:11" s="36" customFormat="1" ht="60" x14ac:dyDescent="0.2">
      <c r="A492" s="5" t="s">
        <v>393</v>
      </c>
      <c r="B492" s="4" t="s">
        <v>84</v>
      </c>
      <c r="C492" s="4" t="s">
        <v>28</v>
      </c>
      <c r="D492" s="4" t="s">
        <v>27</v>
      </c>
      <c r="E492" s="4" t="s">
        <v>31</v>
      </c>
      <c r="F492" s="4"/>
      <c r="G492" s="92">
        <f t="shared" si="84"/>
        <v>1729.92</v>
      </c>
      <c r="H492" s="92">
        <f t="shared" si="84"/>
        <v>1729.92</v>
      </c>
      <c r="I492" s="60">
        <f t="shared" si="78"/>
        <v>100</v>
      </c>
    </row>
    <row r="493" spans="1:11" s="36" customFormat="1" ht="36" x14ac:dyDescent="0.2">
      <c r="A493" s="5" t="s">
        <v>30</v>
      </c>
      <c r="B493" s="4" t="s">
        <v>84</v>
      </c>
      <c r="C493" s="4" t="s">
        <v>28</v>
      </c>
      <c r="D493" s="4" t="s">
        <v>27</v>
      </c>
      <c r="E493" s="4" t="s">
        <v>394</v>
      </c>
      <c r="F493" s="4"/>
      <c r="G493" s="92">
        <f>G494+G496</f>
        <v>1729.92</v>
      </c>
      <c r="H493" s="92">
        <f>H494+H496</f>
        <v>1729.92</v>
      </c>
      <c r="I493" s="60">
        <f t="shared" si="78"/>
        <v>100</v>
      </c>
    </row>
    <row r="494" spans="1:11" s="36" customFormat="1" ht="24" x14ac:dyDescent="0.2">
      <c r="A494" s="5" t="s">
        <v>395</v>
      </c>
      <c r="B494" s="4" t="s">
        <v>84</v>
      </c>
      <c r="C494" s="4" t="s">
        <v>28</v>
      </c>
      <c r="D494" s="4" t="s">
        <v>27</v>
      </c>
      <c r="E494" s="4" t="s">
        <v>396</v>
      </c>
      <c r="F494" s="4"/>
      <c r="G494" s="92">
        <f>G495</f>
        <v>1671.03</v>
      </c>
      <c r="H494" s="92">
        <f>H495</f>
        <v>1671.03</v>
      </c>
      <c r="I494" s="60">
        <f t="shared" si="78"/>
        <v>100</v>
      </c>
    </row>
    <row r="495" spans="1:11" s="36" customFormat="1" ht="38.25" x14ac:dyDescent="0.2">
      <c r="A495" s="1" t="s">
        <v>29</v>
      </c>
      <c r="B495" s="4" t="s">
        <v>84</v>
      </c>
      <c r="C495" s="4" t="s">
        <v>28</v>
      </c>
      <c r="D495" s="4" t="s">
        <v>27</v>
      </c>
      <c r="E495" s="4" t="s">
        <v>396</v>
      </c>
      <c r="F495" s="4" t="s">
        <v>26</v>
      </c>
      <c r="G495" s="92">
        <v>1671.03</v>
      </c>
      <c r="H495" s="92">
        <v>1671.03</v>
      </c>
      <c r="I495" s="60">
        <f t="shared" si="78"/>
        <v>100</v>
      </c>
      <c r="J495" s="36">
        <v>1541.03</v>
      </c>
      <c r="K495" s="74">
        <f>I495-J495</f>
        <v>-1441.03</v>
      </c>
    </row>
    <row r="496" spans="1:11" ht="24" x14ac:dyDescent="0.2">
      <c r="A496" s="5" t="s">
        <v>450</v>
      </c>
      <c r="B496" s="4" t="s">
        <v>84</v>
      </c>
      <c r="C496" s="4" t="s">
        <v>28</v>
      </c>
      <c r="D496" s="4" t="s">
        <v>27</v>
      </c>
      <c r="E496" s="4" t="s">
        <v>475</v>
      </c>
      <c r="F496" s="4"/>
      <c r="G496" s="60">
        <f>G497</f>
        <v>58.89</v>
      </c>
      <c r="H496" s="60">
        <f>H497</f>
        <v>58.89</v>
      </c>
      <c r="I496" s="60">
        <f t="shared" si="78"/>
        <v>100</v>
      </c>
    </row>
    <row r="497" spans="1:11" ht="38.25" x14ac:dyDescent="0.2">
      <c r="A497" s="1" t="s">
        <v>29</v>
      </c>
      <c r="B497" s="4" t="s">
        <v>84</v>
      </c>
      <c r="C497" s="4" t="s">
        <v>28</v>
      </c>
      <c r="D497" s="4" t="s">
        <v>27</v>
      </c>
      <c r="E497" s="4" t="s">
        <v>475</v>
      </c>
      <c r="F497" s="4" t="s">
        <v>26</v>
      </c>
      <c r="G497" s="60">
        <v>58.89</v>
      </c>
      <c r="H497" s="60">
        <v>58.89</v>
      </c>
      <c r="I497" s="60">
        <f t="shared" si="78"/>
        <v>100</v>
      </c>
      <c r="J497" s="33">
        <v>58.89</v>
      </c>
      <c r="K497" s="74">
        <f>I497-J497</f>
        <v>41.11</v>
      </c>
    </row>
    <row r="498" spans="1:11" s="36" customFormat="1" ht="24" x14ac:dyDescent="0.2">
      <c r="A498" s="5" t="s">
        <v>210</v>
      </c>
      <c r="B498" s="4" t="s">
        <v>84</v>
      </c>
      <c r="C498" s="4" t="s">
        <v>24</v>
      </c>
      <c r="D498" s="4"/>
      <c r="E498" s="4"/>
      <c r="F498" s="4"/>
      <c r="G498" s="60">
        <f t="shared" ref="G498:H502" si="85">G499</f>
        <v>0.72328999999999999</v>
      </c>
      <c r="H498" s="60">
        <f t="shared" si="85"/>
        <v>0.72328999999999999</v>
      </c>
      <c r="I498" s="60">
        <f t="shared" si="78"/>
        <v>100</v>
      </c>
    </row>
    <row r="499" spans="1:11" s="36" customFormat="1" ht="24" x14ac:dyDescent="0.2">
      <c r="A499" s="5" t="s">
        <v>25</v>
      </c>
      <c r="B499" s="4" t="s">
        <v>84</v>
      </c>
      <c r="C499" s="4" t="s">
        <v>24</v>
      </c>
      <c r="D499" s="4" t="s">
        <v>15</v>
      </c>
      <c r="E499" s="4"/>
      <c r="F499" s="4"/>
      <c r="G499" s="60">
        <f t="shared" si="85"/>
        <v>0.72328999999999999</v>
      </c>
      <c r="H499" s="60">
        <f t="shared" si="85"/>
        <v>0.72328999999999999</v>
      </c>
      <c r="I499" s="60">
        <f t="shared" si="78"/>
        <v>100</v>
      </c>
    </row>
    <row r="500" spans="1:11" s="36" customFormat="1" ht="60" x14ac:dyDescent="0.2">
      <c r="A500" s="5" t="s">
        <v>311</v>
      </c>
      <c r="B500" s="4" t="s">
        <v>84</v>
      </c>
      <c r="C500" s="4">
        <v>13</v>
      </c>
      <c r="D500" s="4" t="s">
        <v>15</v>
      </c>
      <c r="E500" s="4" t="s">
        <v>12</v>
      </c>
      <c r="F500" s="4"/>
      <c r="G500" s="90">
        <f t="shared" si="85"/>
        <v>0.72328999999999999</v>
      </c>
      <c r="H500" s="90">
        <f t="shared" si="85"/>
        <v>0.72328999999999999</v>
      </c>
      <c r="I500" s="60">
        <f t="shared" si="78"/>
        <v>100</v>
      </c>
    </row>
    <row r="501" spans="1:11" s="36" customFormat="1" ht="36" x14ac:dyDescent="0.2">
      <c r="A501" s="5" t="s">
        <v>11</v>
      </c>
      <c r="B501" s="4" t="s">
        <v>84</v>
      </c>
      <c r="C501" s="4">
        <v>13</v>
      </c>
      <c r="D501" s="4" t="s">
        <v>15</v>
      </c>
      <c r="E501" s="4" t="s">
        <v>10</v>
      </c>
      <c r="F501" s="4"/>
      <c r="G501" s="90">
        <f t="shared" si="85"/>
        <v>0.72328999999999999</v>
      </c>
      <c r="H501" s="90">
        <f t="shared" si="85"/>
        <v>0.72328999999999999</v>
      </c>
      <c r="I501" s="60">
        <f t="shared" si="78"/>
        <v>100</v>
      </c>
    </row>
    <row r="502" spans="1:11" s="36" customFormat="1" ht="48" x14ac:dyDescent="0.2">
      <c r="A502" s="5" t="s">
        <v>397</v>
      </c>
      <c r="B502" s="4" t="s">
        <v>84</v>
      </c>
      <c r="C502" s="4">
        <v>13</v>
      </c>
      <c r="D502" s="4" t="s">
        <v>15</v>
      </c>
      <c r="E502" s="4" t="s">
        <v>23</v>
      </c>
      <c r="F502" s="4"/>
      <c r="G502" s="90">
        <f t="shared" si="85"/>
        <v>0.72328999999999999</v>
      </c>
      <c r="H502" s="90">
        <f t="shared" si="85"/>
        <v>0.72328999999999999</v>
      </c>
      <c r="I502" s="60">
        <f t="shared" si="78"/>
        <v>100</v>
      </c>
    </row>
    <row r="503" spans="1:11" s="36" customFormat="1" ht="24" x14ac:dyDescent="0.2">
      <c r="A503" s="5" t="s">
        <v>22</v>
      </c>
      <c r="B503" s="4" t="s">
        <v>84</v>
      </c>
      <c r="C503" s="4">
        <v>13</v>
      </c>
      <c r="D503" s="4" t="s">
        <v>15</v>
      </c>
      <c r="E503" s="4" t="s">
        <v>23</v>
      </c>
      <c r="F503" s="4" t="s">
        <v>21</v>
      </c>
      <c r="G503" s="90">
        <v>0.72328999999999999</v>
      </c>
      <c r="H503" s="90">
        <v>0.72328999999999999</v>
      </c>
      <c r="I503" s="60">
        <f t="shared" si="78"/>
        <v>100</v>
      </c>
      <c r="J503" s="36">
        <v>1</v>
      </c>
      <c r="K503" s="74">
        <f>I503-J503</f>
        <v>99</v>
      </c>
    </row>
    <row r="504" spans="1:11" s="36" customFormat="1" ht="36" x14ac:dyDescent="0.2">
      <c r="A504" s="57" t="s">
        <v>288</v>
      </c>
      <c r="B504" s="6" t="s">
        <v>251</v>
      </c>
      <c r="C504" s="6"/>
      <c r="D504" s="6"/>
      <c r="E504" s="6"/>
      <c r="F504" s="4"/>
      <c r="G504" s="59">
        <f>G505+G530+G577+G568</f>
        <v>54906.376639999995</v>
      </c>
      <c r="H504" s="59">
        <f>H505+H530+H577+H568</f>
        <v>54906.376639999995</v>
      </c>
      <c r="I504" s="59">
        <f t="shared" si="78"/>
        <v>100</v>
      </c>
      <c r="J504" s="84">
        <v>54655.230790000001</v>
      </c>
    </row>
    <row r="505" spans="1:11" s="36" customFormat="1" x14ac:dyDescent="0.2">
      <c r="A505" s="5" t="s">
        <v>227</v>
      </c>
      <c r="B505" s="4" t="s">
        <v>251</v>
      </c>
      <c r="C505" s="4" t="s">
        <v>81</v>
      </c>
      <c r="D505" s="4"/>
      <c r="E505" s="4"/>
      <c r="F505" s="4"/>
      <c r="G505" s="60">
        <f>G525+G506+G519</f>
        <v>7059.4647300000006</v>
      </c>
      <c r="H505" s="60">
        <f>H525+H506+H519</f>
        <v>7059.4647300000006</v>
      </c>
      <c r="I505" s="60">
        <f t="shared" si="78"/>
        <v>100</v>
      </c>
      <c r="J505" s="84">
        <f>J504-I504</f>
        <v>54555.230790000001</v>
      </c>
    </row>
    <row r="506" spans="1:11" s="36" customFormat="1" x14ac:dyDescent="0.2">
      <c r="A506" s="5" t="s">
        <v>284</v>
      </c>
      <c r="B506" s="4" t="s">
        <v>251</v>
      </c>
      <c r="C506" s="4" t="s">
        <v>81</v>
      </c>
      <c r="D506" s="4" t="s">
        <v>6</v>
      </c>
      <c r="E506" s="4"/>
      <c r="F506" s="4"/>
      <c r="G506" s="60">
        <f>G513+G507</f>
        <v>6928.4647300000006</v>
      </c>
      <c r="H506" s="60">
        <f>H513+H507</f>
        <v>6928.4647300000006</v>
      </c>
      <c r="I506" s="60">
        <f t="shared" si="78"/>
        <v>100</v>
      </c>
    </row>
    <row r="507" spans="1:11" s="36" customFormat="1" ht="48" x14ac:dyDescent="0.2">
      <c r="A507" s="8" t="s">
        <v>332</v>
      </c>
      <c r="B507" s="4" t="s">
        <v>251</v>
      </c>
      <c r="C507" s="4" t="s">
        <v>81</v>
      </c>
      <c r="D507" s="4" t="s">
        <v>6</v>
      </c>
      <c r="E507" s="4" t="s">
        <v>41</v>
      </c>
      <c r="F507" s="4"/>
      <c r="G507" s="60">
        <f>G508</f>
        <v>209.1832</v>
      </c>
      <c r="H507" s="60">
        <f>H508</f>
        <v>209.1832</v>
      </c>
      <c r="I507" s="60">
        <f t="shared" si="78"/>
        <v>100</v>
      </c>
    </row>
    <row r="508" spans="1:11" s="36" customFormat="1" ht="24" x14ac:dyDescent="0.2">
      <c r="A508" s="8" t="s">
        <v>40</v>
      </c>
      <c r="B508" s="4" t="s">
        <v>251</v>
      </c>
      <c r="C508" s="4" t="s">
        <v>81</v>
      </c>
      <c r="D508" s="4" t="s">
        <v>6</v>
      </c>
      <c r="E508" s="4" t="s">
        <v>389</v>
      </c>
      <c r="F508" s="4"/>
      <c r="G508" s="60">
        <f>G509+G511</f>
        <v>209.1832</v>
      </c>
      <c r="H508" s="60">
        <f>H509+H511</f>
        <v>209.1832</v>
      </c>
      <c r="I508" s="60">
        <f t="shared" si="78"/>
        <v>100</v>
      </c>
    </row>
    <row r="509" spans="1:11" s="36" customFormat="1" ht="24" x14ac:dyDescent="0.2">
      <c r="A509" s="8" t="s">
        <v>465</v>
      </c>
      <c r="B509" s="4" t="s">
        <v>251</v>
      </c>
      <c r="C509" s="4" t="s">
        <v>81</v>
      </c>
      <c r="D509" s="4" t="s">
        <v>6</v>
      </c>
      <c r="E509" s="4" t="s">
        <v>463</v>
      </c>
      <c r="F509" s="4"/>
      <c r="G509" s="60">
        <f>G510</f>
        <v>25.510200000000001</v>
      </c>
      <c r="H509" s="60">
        <f>H510</f>
        <v>25.510200000000001</v>
      </c>
      <c r="I509" s="60">
        <f t="shared" si="78"/>
        <v>100</v>
      </c>
    </row>
    <row r="510" spans="1:11" s="36" customFormat="1" ht="24" x14ac:dyDescent="0.2">
      <c r="A510" s="8" t="s">
        <v>29</v>
      </c>
      <c r="B510" s="4" t="s">
        <v>251</v>
      </c>
      <c r="C510" s="4" t="s">
        <v>81</v>
      </c>
      <c r="D510" s="4" t="s">
        <v>6</v>
      </c>
      <c r="E510" s="4" t="s">
        <v>463</v>
      </c>
      <c r="F510" s="4" t="s">
        <v>26</v>
      </c>
      <c r="G510" s="60">
        <v>25.510200000000001</v>
      </c>
      <c r="H510" s="60">
        <v>25.510200000000001</v>
      </c>
      <c r="I510" s="60">
        <f t="shared" si="78"/>
        <v>100</v>
      </c>
      <c r="J510" s="36">
        <v>25.510200000000001</v>
      </c>
      <c r="K510" s="74">
        <f>I510-J510</f>
        <v>74.489800000000002</v>
      </c>
    </row>
    <row r="511" spans="1:11" s="36" customFormat="1" x14ac:dyDescent="0.2">
      <c r="A511" s="5" t="s">
        <v>524</v>
      </c>
      <c r="B511" s="4" t="s">
        <v>251</v>
      </c>
      <c r="C511" s="4" t="s">
        <v>81</v>
      </c>
      <c r="D511" s="4" t="s">
        <v>6</v>
      </c>
      <c r="E511" s="4" t="s">
        <v>523</v>
      </c>
      <c r="F511" s="4"/>
      <c r="G511" s="60">
        <f>G512</f>
        <v>183.673</v>
      </c>
      <c r="H511" s="60">
        <f t="shared" ref="H511" si="86">H512</f>
        <v>183.673</v>
      </c>
      <c r="I511" s="60">
        <f t="shared" si="78"/>
        <v>100</v>
      </c>
    </row>
    <row r="512" spans="1:11" s="36" customFormat="1" ht="24" x14ac:dyDescent="0.2">
      <c r="A512" s="8" t="s">
        <v>29</v>
      </c>
      <c r="B512" s="4" t="s">
        <v>251</v>
      </c>
      <c r="C512" s="4" t="s">
        <v>81</v>
      </c>
      <c r="D512" s="4" t="s">
        <v>6</v>
      </c>
      <c r="E512" s="4" t="s">
        <v>523</v>
      </c>
      <c r="F512" s="4" t="s">
        <v>26</v>
      </c>
      <c r="G512" s="60">
        <v>183.673</v>
      </c>
      <c r="H512" s="60">
        <v>183.673</v>
      </c>
      <c r="I512" s="60">
        <f t="shared" si="78"/>
        <v>100</v>
      </c>
      <c r="K512" s="74">
        <f t="shared" ref="K512" si="87">I512-J512</f>
        <v>100</v>
      </c>
    </row>
    <row r="513" spans="1:11" s="36" customFormat="1" ht="36" x14ac:dyDescent="0.2">
      <c r="A513" s="5" t="s">
        <v>297</v>
      </c>
      <c r="B513" s="4" t="s">
        <v>251</v>
      </c>
      <c r="C513" s="4" t="s">
        <v>81</v>
      </c>
      <c r="D513" s="4" t="s">
        <v>6</v>
      </c>
      <c r="E513" s="4" t="s">
        <v>60</v>
      </c>
      <c r="F513" s="4"/>
      <c r="G513" s="90">
        <f>G514</f>
        <v>6719.2815300000002</v>
      </c>
      <c r="H513" s="90">
        <f t="shared" ref="G513:H515" si="88">H514</f>
        <v>6719.2815300000002</v>
      </c>
      <c r="I513" s="60">
        <f t="shared" si="78"/>
        <v>100</v>
      </c>
    </row>
    <row r="514" spans="1:11" s="36" customFormat="1" ht="24" customHeight="1" x14ac:dyDescent="0.2">
      <c r="A514" s="5" t="s">
        <v>101</v>
      </c>
      <c r="B514" s="4" t="s">
        <v>251</v>
      </c>
      <c r="C514" s="4" t="s">
        <v>81</v>
      </c>
      <c r="D514" s="4" t="s">
        <v>6</v>
      </c>
      <c r="E514" s="4" t="s">
        <v>100</v>
      </c>
      <c r="F514" s="4"/>
      <c r="G514" s="90">
        <f>G515+G517</f>
        <v>6719.2815300000002</v>
      </c>
      <c r="H514" s="90">
        <f t="shared" ref="H514" si="89">H515+H517</f>
        <v>6719.2815300000002</v>
      </c>
      <c r="I514" s="60">
        <f t="shared" si="78"/>
        <v>100</v>
      </c>
    </row>
    <row r="515" spans="1:11" s="36" customFormat="1" ht="38.25" customHeight="1" x14ac:dyDescent="0.2">
      <c r="A515" s="8" t="s">
        <v>95</v>
      </c>
      <c r="B515" s="4" t="s">
        <v>251</v>
      </c>
      <c r="C515" s="4" t="s">
        <v>81</v>
      </c>
      <c r="D515" s="4" t="s">
        <v>6</v>
      </c>
      <c r="E515" s="4" t="s">
        <v>293</v>
      </c>
      <c r="F515" s="4"/>
      <c r="G515" s="90">
        <f t="shared" si="88"/>
        <v>4904.27729</v>
      </c>
      <c r="H515" s="90">
        <f t="shared" si="88"/>
        <v>4904.27729</v>
      </c>
      <c r="I515" s="60">
        <f t="shared" si="78"/>
        <v>100</v>
      </c>
    </row>
    <row r="516" spans="1:11" s="36" customFormat="1" ht="24" customHeight="1" x14ac:dyDescent="0.2">
      <c r="A516" s="5" t="s">
        <v>29</v>
      </c>
      <c r="B516" s="4">
        <v>810</v>
      </c>
      <c r="C516" s="4" t="s">
        <v>81</v>
      </c>
      <c r="D516" s="4" t="s">
        <v>6</v>
      </c>
      <c r="E516" s="4" t="s">
        <v>293</v>
      </c>
      <c r="F516" s="4">
        <v>600</v>
      </c>
      <c r="G516" s="90">
        <v>4904.27729</v>
      </c>
      <c r="H516" s="90">
        <f>4686.61144+217.66585</f>
        <v>4904.27729</v>
      </c>
      <c r="I516" s="60">
        <f t="shared" si="78"/>
        <v>100</v>
      </c>
      <c r="J516" s="84">
        <f>4686.61144+16.52</f>
        <v>4703.1314400000001</v>
      </c>
      <c r="K516" s="74">
        <f t="shared" ref="K516" si="90">I516-J516</f>
        <v>-4603.1314400000001</v>
      </c>
    </row>
    <row r="517" spans="1:11" ht="24" customHeight="1" x14ac:dyDescent="0.2">
      <c r="A517" s="5" t="s">
        <v>450</v>
      </c>
      <c r="B517" s="4" t="s">
        <v>251</v>
      </c>
      <c r="C517" s="4" t="s">
        <v>81</v>
      </c>
      <c r="D517" s="4" t="s">
        <v>6</v>
      </c>
      <c r="E517" s="4" t="s">
        <v>476</v>
      </c>
      <c r="F517" s="4"/>
      <c r="G517" s="60">
        <f>G518</f>
        <v>1815.00424</v>
      </c>
      <c r="H517" s="60">
        <f t="shared" ref="H517" si="91">H518</f>
        <v>1815.00424</v>
      </c>
      <c r="I517" s="60">
        <f t="shared" si="78"/>
        <v>100</v>
      </c>
    </row>
    <row r="518" spans="1:11" ht="24" customHeight="1" x14ac:dyDescent="0.2">
      <c r="A518" s="1" t="s">
        <v>29</v>
      </c>
      <c r="B518" s="4" t="s">
        <v>251</v>
      </c>
      <c r="C518" s="4" t="s">
        <v>81</v>
      </c>
      <c r="D518" s="4" t="s">
        <v>6</v>
      </c>
      <c r="E518" s="4" t="s">
        <v>476</v>
      </c>
      <c r="F518" s="4" t="s">
        <v>26</v>
      </c>
      <c r="G518" s="60">
        <v>1815.00424</v>
      </c>
      <c r="H518" s="60">
        <v>1815.00424</v>
      </c>
      <c r="I518" s="60">
        <f t="shared" si="78"/>
        <v>100</v>
      </c>
      <c r="J518" s="33">
        <v>499.75099999999998</v>
      </c>
      <c r="K518" s="74">
        <f t="shared" ref="K518" si="92">I518-J518</f>
        <v>-399.75099999999998</v>
      </c>
    </row>
    <row r="519" spans="1:11" s="62" customFormat="1" x14ac:dyDescent="0.2">
      <c r="A519" s="80" t="s">
        <v>459</v>
      </c>
      <c r="B519" s="4" t="s">
        <v>251</v>
      </c>
      <c r="C519" s="4" t="s">
        <v>81</v>
      </c>
      <c r="D519" s="4" t="s">
        <v>36</v>
      </c>
      <c r="E519" s="4"/>
      <c r="F519" s="4"/>
      <c r="G519" s="89">
        <f>G520</f>
        <v>21</v>
      </c>
      <c r="H519" s="89">
        <f t="shared" ref="H519:H521" si="93">H520</f>
        <v>21</v>
      </c>
      <c r="I519" s="60">
        <f t="shared" si="78"/>
        <v>100</v>
      </c>
    </row>
    <row r="520" spans="1:11" s="62" customFormat="1" ht="60" x14ac:dyDescent="0.2">
      <c r="A520" s="5" t="s">
        <v>311</v>
      </c>
      <c r="B520" s="4" t="s">
        <v>251</v>
      </c>
      <c r="C520" s="4" t="s">
        <v>81</v>
      </c>
      <c r="D520" s="4" t="s">
        <v>36</v>
      </c>
      <c r="E520" s="4" t="s">
        <v>12</v>
      </c>
      <c r="F520" s="4"/>
      <c r="G520" s="89">
        <f>G521</f>
        <v>21</v>
      </c>
      <c r="H520" s="89">
        <f t="shared" si="93"/>
        <v>21</v>
      </c>
      <c r="I520" s="60">
        <f t="shared" si="78"/>
        <v>100</v>
      </c>
    </row>
    <row r="521" spans="1:11" s="62" customFormat="1" ht="48" x14ac:dyDescent="0.2">
      <c r="A521" s="5" t="s">
        <v>177</v>
      </c>
      <c r="B521" s="4" t="s">
        <v>251</v>
      </c>
      <c r="C521" s="4" t="s">
        <v>81</v>
      </c>
      <c r="D521" s="4" t="s">
        <v>36</v>
      </c>
      <c r="E521" s="4" t="s">
        <v>312</v>
      </c>
      <c r="F521" s="4"/>
      <c r="G521" s="89">
        <f>G522</f>
        <v>21</v>
      </c>
      <c r="H521" s="89">
        <f t="shared" si="93"/>
        <v>21</v>
      </c>
      <c r="I521" s="60">
        <f t="shared" si="78"/>
        <v>100</v>
      </c>
    </row>
    <row r="522" spans="1:11" s="62" customFormat="1" ht="24" x14ac:dyDescent="0.2">
      <c r="A522" s="5" t="s">
        <v>313</v>
      </c>
      <c r="B522" s="4" t="s">
        <v>251</v>
      </c>
      <c r="C522" s="4" t="s">
        <v>81</v>
      </c>
      <c r="D522" s="4" t="s">
        <v>36</v>
      </c>
      <c r="E522" s="4" t="s">
        <v>266</v>
      </c>
      <c r="F522" s="4"/>
      <c r="G522" s="89">
        <f>G523+G524</f>
        <v>21</v>
      </c>
      <c r="H522" s="89">
        <f t="shared" ref="H522" si="94">H523+H524</f>
        <v>21</v>
      </c>
      <c r="I522" s="60">
        <f t="shared" ref="I522:I585" si="95">H522/G522*100</f>
        <v>100</v>
      </c>
    </row>
    <row r="523" spans="1:11" s="62" customFormat="1" ht="24" x14ac:dyDescent="0.2">
      <c r="A523" s="5" t="s">
        <v>47</v>
      </c>
      <c r="B523" s="4" t="s">
        <v>251</v>
      </c>
      <c r="C523" s="4" t="s">
        <v>81</v>
      </c>
      <c r="D523" s="4" t="s">
        <v>36</v>
      </c>
      <c r="E523" s="4" t="s">
        <v>266</v>
      </c>
      <c r="F523" s="4" t="s">
        <v>454</v>
      </c>
      <c r="G523" s="89">
        <v>12</v>
      </c>
      <c r="H523" s="89">
        <v>12</v>
      </c>
      <c r="I523" s="60">
        <f t="shared" si="95"/>
        <v>100</v>
      </c>
      <c r="J523" s="62">
        <v>3</v>
      </c>
      <c r="K523" s="74">
        <f t="shared" ref="K523:K524" si="96">I523-J523</f>
        <v>97</v>
      </c>
    </row>
    <row r="524" spans="1:11" s="62" customFormat="1" ht="38.25" x14ac:dyDescent="0.2">
      <c r="A524" s="1" t="s">
        <v>29</v>
      </c>
      <c r="B524" s="4" t="s">
        <v>251</v>
      </c>
      <c r="C524" s="4" t="s">
        <v>81</v>
      </c>
      <c r="D524" s="4" t="s">
        <v>36</v>
      </c>
      <c r="E524" s="4" t="s">
        <v>266</v>
      </c>
      <c r="F524" s="4" t="s">
        <v>26</v>
      </c>
      <c r="G524" s="89">
        <v>9</v>
      </c>
      <c r="H524" s="89">
        <v>9</v>
      </c>
      <c r="I524" s="60">
        <f t="shared" si="95"/>
        <v>100</v>
      </c>
      <c r="J524" s="62">
        <f>6+3</f>
        <v>9</v>
      </c>
      <c r="K524" s="74">
        <f t="shared" si="96"/>
        <v>91</v>
      </c>
    </row>
    <row r="525" spans="1:11" s="36" customFormat="1" ht="12.75" customHeight="1" x14ac:dyDescent="0.2">
      <c r="A525" s="5" t="s">
        <v>93</v>
      </c>
      <c r="B525" s="4" t="s">
        <v>251</v>
      </c>
      <c r="C525" s="4" t="s">
        <v>81</v>
      </c>
      <c r="D525" s="4" t="s">
        <v>81</v>
      </c>
      <c r="E525" s="4"/>
      <c r="F525" s="4"/>
      <c r="G525" s="60">
        <f>G526</f>
        <v>110</v>
      </c>
      <c r="H525" s="60">
        <f t="shared" ref="H525:H528" si="97">H526</f>
        <v>110</v>
      </c>
      <c r="I525" s="60">
        <f t="shared" si="95"/>
        <v>100</v>
      </c>
    </row>
    <row r="526" spans="1:11" s="36" customFormat="1" ht="53.25" customHeight="1" x14ac:dyDescent="0.2">
      <c r="A526" s="5" t="s">
        <v>332</v>
      </c>
      <c r="B526" s="4" t="s">
        <v>251</v>
      </c>
      <c r="C526" s="4" t="s">
        <v>81</v>
      </c>
      <c r="D526" s="4" t="s">
        <v>81</v>
      </c>
      <c r="E526" s="4" t="s">
        <v>41</v>
      </c>
      <c r="F526" s="4"/>
      <c r="G526" s="90">
        <f>G527</f>
        <v>110</v>
      </c>
      <c r="H526" s="90">
        <f t="shared" si="97"/>
        <v>110</v>
      </c>
      <c r="I526" s="60">
        <f t="shared" si="95"/>
        <v>100</v>
      </c>
    </row>
    <row r="527" spans="1:11" s="36" customFormat="1" ht="36" customHeight="1" x14ac:dyDescent="0.2">
      <c r="A527" s="5" t="s">
        <v>252</v>
      </c>
      <c r="B527" s="4" t="s">
        <v>251</v>
      </c>
      <c r="C527" s="4" t="s">
        <v>81</v>
      </c>
      <c r="D527" s="4" t="s">
        <v>81</v>
      </c>
      <c r="E527" s="4" t="s">
        <v>398</v>
      </c>
      <c r="F527" s="4"/>
      <c r="G527" s="90">
        <f>G528</f>
        <v>110</v>
      </c>
      <c r="H527" s="90">
        <f t="shared" si="97"/>
        <v>110</v>
      </c>
      <c r="I527" s="60">
        <f t="shared" si="95"/>
        <v>100</v>
      </c>
    </row>
    <row r="528" spans="1:11" s="36" customFormat="1" ht="27" customHeight="1" x14ac:dyDescent="0.2">
      <c r="A528" s="5" t="s">
        <v>400</v>
      </c>
      <c r="B528" s="4" t="s">
        <v>251</v>
      </c>
      <c r="C528" s="4" t="s">
        <v>81</v>
      </c>
      <c r="D528" s="4" t="s">
        <v>81</v>
      </c>
      <c r="E528" s="4" t="s">
        <v>399</v>
      </c>
      <c r="F528" s="4"/>
      <c r="G528" s="90">
        <f>G529</f>
        <v>110</v>
      </c>
      <c r="H528" s="90">
        <f t="shared" si="97"/>
        <v>110</v>
      </c>
      <c r="I528" s="60">
        <f t="shared" si="95"/>
        <v>100</v>
      </c>
    </row>
    <row r="529" spans="1:11" s="36" customFormat="1" ht="24" customHeight="1" x14ac:dyDescent="0.2">
      <c r="A529" s="5" t="s">
        <v>47</v>
      </c>
      <c r="B529" s="4" t="s">
        <v>251</v>
      </c>
      <c r="C529" s="4" t="s">
        <v>81</v>
      </c>
      <c r="D529" s="4" t="s">
        <v>81</v>
      </c>
      <c r="E529" s="4" t="s">
        <v>399</v>
      </c>
      <c r="F529" s="4" t="s">
        <v>51</v>
      </c>
      <c r="G529" s="90">
        <v>110</v>
      </c>
      <c r="H529" s="90">
        <v>110</v>
      </c>
      <c r="I529" s="60">
        <f t="shared" si="95"/>
        <v>100</v>
      </c>
      <c r="J529" s="36">
        <v>50</v>
      </c>
      <c r="K529" s="74">
        <f t="shared" ref="K529" si="98">I529-J529</f>
        <v>50</v>
      </c>
    </row>
    <row r="530" spans="1:11" s="36" customFormat="1" ht="12.75" customHeight="1" x14ac:dyDescent="0.2">
      <c r="A530" s="5" t="s">
        <v>79</v>
      </c>
      <c r="B530" s="4" t="s">
        <v>251</v>
      </c>
      <c r="C530" s="4" t="s">
        <v>73</v>
      </c>
      <c r="D530" s="4"/>
      <c r="E530" s="4"/>
      <c r="F530" s="4"/>
      <c r="G530" s="60">
        <f>G531+G551</f>
        <v>46305.048649999997</v>
      </c>
      <c r="H530" s="60">
        <f t="shared" ref="H530" si="99">H531+H551</f>
        <v>46305.048649999997</v>
      </c>
      <c r="I530" s="60">
        <f t="shared" si="95"/>
        <v>100</v>
      </c>
    </row>
    <row r="531" spans="1:11" s="36" customFormat="1" ht="12.75" customHeight="1" x14ac:dyDescent="0.2">
      <c r="A531" s="5" t="s">
        <v>78</v>
      </c>
      <c r="B531" s="4" t="s">
        <v>251</v>
      </c>
      <c r="C531" s="4" t="s">
        <v>73</v>
      </c>
      <c r="D531" s="4" t="s">
        <v>15</v>
      </c>
      <c r="E531" s="4"/>
      <c r="F531" s="4"/>
      <c r="G531" s="60">
        <f>G532+G550</f>
        <v>42961.31151</v>
      </c>
      <c r="H531" s="60">
        <f t="shared" ref="H531" si="100">H532+H550</f>
        <v>42961.31151</v>
      </c>
      <c r="I531" s="60">
        <f t="shared" si="95"/>
        <v>100</v>
      </c>
    </row>
    <row r="532" spans="1:11" s="36" customFormat="1" ht="24" customHeight="1" x14ac:dyDescent="0.2">
      <c r="A532" s="5" t="s">
        <v>332</v>
      </c>
      <c r="B532" s="4" t="s">
        <v>251</v>
      </c>
      <c r="C532" s="4" t="s">
        <v>73</v>
      </c>
      <c r="D532" s="4" t="s">
        <v>15</v>
      </c>
      <c r="E532" s="4" t="s">
        <v>41</v>
      </c>
      <c r="F532" s="4"/>
      <c r="G532" s="90">
        <f>G533+G546</f>
        <v>42894.31151</v>
      </c>
      <c r="H532" s="90">
        <f t="shared" ref="H532" si="101">H533+H546</f>
        <v>42894.31151</v>
      </c>
      <c r="I532" s="60">
        <f t="shared" si="95"/>
        <v>100</v>
      </c>
    </row>
    <row r="533" spans="1:11" s="36" customFormat="1" ht="24" customHeight="1" x14ac:dyDescent="0.2">
      <c r="A533" s="5" t="s">
        <v>40</v>
      </c>
      <c r="B533" s="4" t="s">
        <v>251</v>
      </c>
      <c r="C533" s="4" t="s">
        <v>73</v>
      </c>
      <c r="D533" s="4" t="s">
        <v>15</v>
      </c>
      <c r="E533" s="4" t="s">
        <v>389</v>
      </c>
      <c r="F533" s="4"/>
      <c r="G533" s="90">
        <f>G534+G536+G542+G544+G540+G538</f>
        <v>33417.250180000003</v>
      </c>
      <c r="H533" s="90">
        <f t="shared" ref="H533" si="102">H534+H536+H542+H544+H540+H538</f>
        <v>33417.250180000003</v>
      </c>
      <c r="I533" s="60">
        <f t="shared" si="95"/>
        <v>100</v>
      </c>
    </row>
    <row r="534" spans="1:11" s="36" customFormat="1" ht="24" customHeight="1" x14ac:dyDescent="0.2">
      <c r="A534" s="5" t="s">
        <v>401</v>
      </c>
      <c r="B534" s="4" t="s">
        <v>251</v>
      </c>
      <c r="C534" s="4" t="s">
        <v>73</v>
      </c>
      <c r="D534" s="4" t="s">
        <v>15</v>
      </c>
      <c r="E534" s="4" t="s">
        <v>39</v>
      </c>
      <c r="F534" s="4"/>
      <c r="G534" s="90">
        <f>G535</f>
        <v>12115.498</v>
      </c>
      <c r="H534" s="90">
        <f t="shared" ref="H534" si="103">H535</f>
        <v>12115.498000000001</v>
      </c>
      <c r="I534" s="60">
        <f t="shared" si="95"/>
        <v>100.00000000000003</v>
      </c>
    </row>
    <row r="535" spans="1:11" s="36" customFormat="1" ht="24" customHeight="1" x14ac:dyDescent="0.2">
      <c r="A535" s="5" t="s">
        <v>29</v>
      </c>
      <c r="B535" s="4" t="s">
        <v>251</v>
      </c>
      <c r="C535" s="4" t="s">
        <v>73</v>
      </c>
      <c r="D535" s="4" t="s">
        <v>15</v>
      </c>
      <c r="E535" s="4" t="s">
        <v>39</v>
      </c>
      <c r="F535" s="4" t="s">
        <v>26</v>
      </c>
      <c r="G535" s="90">
        <v>12115.498</v>
      </c>
      <c r="H535" s="90">
        <f>12069.17963+46.31837</f>
        <v>12115.498000000001</v>
      </c>
      <c r="I535" s="60">
        <f t="shared" si="95"/>
        <v>100.00000000000003</v>
      </c>
      <c r="J535" s="84">
        <f>12069.17963+46.31837</f>
        <v>12115.498000000001</v>
      </c>
      <c r="K535" s="74">
        <f t="shared" ref="K535" si="104">I535-J535</f>
        <v>-12015.498000000001</v>
      </c>
    </row>
    <row r="536" spans="1:11" s="36" customFormat="1" ht="24" customHeight="1" x14ac:dyDescent="0.2">
      <c r="A536" s="5" t="s">
        <v>478</v>
      </c>
      <c r="B536" s="4" t="s">
        <v>251</v>
      </c>
      <c r="C536" s="4" t="s">
        <v>73</v>
      </c>
      <c r="D536" s="4" t="s">
        <v>15</v>
      </c>
      <c r="E536" s="4" t="s">
        <v>477</v>
      </c>
      <c r="F536" s="4"/>
      <c r="G536" s="90">
        <f>G537</f>
        <v>1741.3440900000001</v>
      </c>
      <c r="H536" s="90">
        <f t="shared" ref="H536" si="105">H537</f>
        <v>1741.3440900000001</v>
      </c>
      <c r="I536" s="60">
        <f t="shared" si="95"/>
        <v>100</v>
      </c>
    </row>
    <row r="537" spans="1:11" s="78" customFormat="1" ht="24" customHeight="1" x14ac:dyDescent="0.2">
      <c r="A537" s="5" t="s">
        <v>29</v>
      </c>
      <c r="B537" s="4" t="s">
        <v>251</v>
      </c>
      <c r="C537" s="4" t="s">
        <v>73</v>
      </c>
      <c r="D537" s="4" t="s">
        <v>15</v>
      </c>
      <c r="E537" s="4" t="s">
        <v>477</v>
      </c>
      <c r="F537" s="4" t="s">
        <v>26</v>
      </c>
      <c r="G537" s="90">
        <v>1741.3440900000001</v>
      </c>
      <c r="H537" s="90">
        <v>1741.3440900000001</v>
      </c>
      <c r="I537" s="60">
        <f t="shared" si="95"/>
        <v>100</v>
      </c>
      <c r="J537" s="85">
        <v>1741.3440900000001</v>
      </c>
      <c r="K537" s="79">
        <f t="shared" ref="K537" si="106">I537-J537</f>
        <v>-1641.3440900000001</v>
      </c>
    </row>
    <row r="538" spans="1:11" s="36" customFormat="1" ht="24" customHeight="1" x14ac:dyDescent="0.2">
      <c r="A538" s="5" t="s">
        <v>479</v>
      </c>
      <c r="B538" s="4" t="s">
        <v>251</v>
      </c>
      <c r="C538" s="4" t="s">
        <v>73</v>
      </c>
      <c r="D538" s="4" t="s">
        <v>15</v>
      </c>
      <c r="E538" s="4" t="s">
        <v>463</v>
      </c>
      <c r="F538" s="4"/>
      <c r="G538" s="90">
        <f>G539</f>
        <v>104.87745</v>
      </c>
      <c r="H538" s="90">
        <f t="shared" ref="H538" si="107">H539</f>
        <v>104.87745</v>
      </c>
      <c r="I538" s="60">
        <f t="shared" si="95"/>
        <v>100</v>
      </c>
    </row>
    <row r="539" spans="1:11" s="36" customFormat="1" ht="24" customHeight="1" x14ac:dyDescent="0.2">
      <c r="A539" s="5" t="s">
        <v>29</v>
      </c>
      <c r="B539" s="4" t="s">
        <v>251</v>
      </c>
      <c r="C539" s="4" t="s">
        <v>73</v>
      </c>
      <c r="D539" s="4" t="s">
        <v>15</v>
      </c>
      <c r="E539" s="4" t="s">
        <v>463</v>
      </c>
      <c r="F539" s="4" t="s">
        <v>26</v>
      </c>
      <c r="G539" s="90">
        <v>104.87745</v>
      </c>
      <c r="H539" s="90">
        <v>104.87745</v>
      </c>
      <c r="I539" s="60">
        <f t="shared" si="95"/>
        <v>100</v>
      </c>
      <c r="J539" s="78">
        <v>104.87745</v>
      </c>
      <c r="K539" s="79">
        <f t="shared" ref="K539" si="108">I539-J539</f>
        <v>-4.8774499999999961</v>
      </c>
    </row>
    <row r="540" spans="1:11" ht="24" customHeight="1" x14ac:dyDescent="0.2">
      <c r="A540" s="5" t="s">
        <v>487</v>
      </c>
      <c r="B540" s="4" t="s">
        <v>251</v>
      </c>
      <c r="C540" s="4" t="s">
        <v>73</v>
      </c>
      <c r="D540" s="4" t="s">
        <v>15</v>
      </c>
      <c r="E540" s="4" t="s">
        <v>486</v>
      </c>
      <c r="F540" s="4"/>
      <c r="G540" s="60">
        <f>G541</f>
        <v>11281.38564</v>
      </c>
      <c r="H540" s="60">
        <f t="shared" ref="H540:H542" si="109">H541</f>
        <v>11281.38564</v>
      </c>
      <c r="I540" s="60">
        <f t="shared" si="95"/>
        <v>100</v>
      </c>
    </row>
    <row r="541" spans="1:11" ht="24" customHeight="1" x14ac:dyDescent="0.2">
      <c r="A541" s="1" t="s">
        <v>29</v>
      </c>
      <c r="B541" s="4" t="s">
        <v>251</v>
      </c>
      <c r="C541" s="4" t="s">
        <v>73</v>
      </c>
      <c r="D541" s="4" t="s">
        <v>15</v>
      </c>
      <c r="E541" s="4" t="s">
        <v>486</v>
      </c>
      <c r="F541" s="4" t="s">
        <v>26</v>
      </c>
      <c r="G541" s="60">
        <v>11281.38564</v>
      </c>
      <c r="H541" s="60">
        <v>11281.38564</v>
      </c>
      <c r="I541" s="60">
        <f t="shared" si="95"/>
        <v>100</v>
      </c>
      <c r="J541" s="33">
        <v>11281.38564</v>
      </c>
      <c r="K541" s="74">
        <f t="shared" ref="K541" si="110">I541-J541</f>
        <v>-11181.38564</v>
      </c>
    </row>
    <row r="542" spans="1:11" ht="24" customHeight="1" x14ac:dyDescent="0.2">
      <c r="A542" s="5" t="s">
        <v>450</v>
      </c>
      <c r="B542" s="4" t="s">
        <v>251</v>
      </c>
      <c r="C542" s="4" t="s">
        <v>73</v>
      </c>
      <c r="D542" s="4" t="s">
        <v>15</v>
      </c>
      <c r="E542" s="4" t="s">
        <v>480</v>
      </c>
      <c r="F542" s="4"/>
      <c r="G542" s="60">
        <f>G543</f>
        <v>5904.5450000000001</v>
      </c>
      <c r="H542" s="60">
        <f t="shared" si="109"/>
        <v>5904.5450000000001</v>
      </c>
      <c r="I542" s="60">
        <f t="shared" si="95"/>
        <v>100</v>
      </c>
    </row>
    <row r="543" spans="1:11" ht="24" customHeight="1" x14ac:dyDescent="0.2">
      <c r="A543" s="1" t="s">
        <v>29</v>
      </c>
      <c r="B543" s="4" t="s">
        <v>251</v>
      </c>
      <c r="C543" s="4" t="s">
        <v>73</v>
      </c>
      <c r="D543" s="4" t="s">
        <v>15</v>
      </c>
      <c r="E543" s="4" t="s">
        <v>480</v>
      </c>
      <c r="F543" s="4" t="s">
        <v>26</v>
      </c>
      <c r="G543" s="60">
        <v>5904.5450000000001</v>
      </c>
      <c r="H543" s="60">
        <v>5904.5450000000001</v>
      </c>
      <c r="I543" s="60">
        <f t="shared" si="95"/>
        <v>100</v>
      </c>
      <c r="J543" s="33">
        <v>5904.5450000000001</v>
      </c>
      <c r="K543" s="74">
        <f t="shared" ref="K543" si="111">I543-J543</f>
        <v>-5804.5450000000001</v>
      </c>
    </row>
    <row r="544" spans="1:11" ht="24" customHeight="1" x14ac:dyDescent="0.2">
      <c r="A544" s="1" t="s">
        <v>493</v>
      </c>
      <c r="B544" s="4" t="s">
        <v>251</v>
      </c>
      <c r="C544" s="4" t="s">
        <v>73</v>
      </c>
      <c r="D544" s="4" t="s">
        <v>15</v>
      </c>
      <c r="E544" s="4" t="s">
        <v>519</v>
      </c>
      <c r="F544" s="4"/>
      <c r="G544" s="60">
        <f>G545</f>
        <v>2269.6</v>
      </c>
      <c r="H544" s="60">
        <f t="shared" ref="H544" si="112">H545</f>
        <v>2269.6</v>
      </c>
      <c r="I544" s="60">
        <f t="shared" si="95"/>
        <v>100</v>
      </c>
    </row>
    <row r="545" spans="1:11" ht="24" customHeight="1" x14ac:dyDescent="0.2">
      <c r="A545" s="1" t="s">
        <v>29</v>
      </c>
      <c r="B545" s="4" t="s">
        <v>251</v>
      </c>
      <c r="C545" s="4" t="s">
        <v>73</v>
      </c>
      <c r="D545" s="4" t="s">
        <v>15</v>
      </c>
      <c r="E545" s="4" t="s">
        <v>519</v>
      </c>
      <c r="F545" s="4" t="s">
        <v>26</v>
      </c>
      <c r="G545" s="60">
        <v>2269.6</v>
      </c>
      <c r="H545" s="60">
        <v>2269.6</v>
      </c>
      <c r="I545" s="60">
        <f t="shared" si="95"/>
        <v>100</v>
      </c>
      <c r="J545" s="33">
        <v>2269.6</v>
      </c>
      <c r="K545" s="74">
        <f t="shared" ref="K545" si="113">I545-J545</f>
        <v>-2169.6</v>
      </c>
    </row>
    <row r="546" spans="1:11" s="36" customFormat="1" ht="36" customHeight="1" x14ac:dyDescent="0.2">
      <c r="A546" s="5" t="s">
        <v>276</v>
      </c>
      <c r="B546" s="4" t="s">
        <v>251</v>
      </c>
      <c r="C546" s="4" t="s">
        <v>73</v>
      </c>
      <c r="D546" s="4" t="s">
        <v>15</v>
      </c>
      <c r="E546" s="4" t="s">
        <v>402</v>
      </c>
      <c r="F546" s="4"/>
      <c r="G546" s="90">
        <f>G547</f>
        <v>9477.0613300000005</v>
      </c>
      <c r="H546" s="90">
        <f t="shared" ref="H546:H547" si="114">H547</f>
        <v>9477.0613300000005</v>
      </c>
      <c r="I546" s="60">
        <f t="shared" si="95"/>
        <v>100</v>
      </c>
    </row>
    <row r="547" spans="1:11" s="36" customFormat="1" ht="28.5" customHeight="1" x14ac:dyDescent="0.2">
      <c r="A547" s="5" t="s">
        <v>404</v>
      </c>
      <c r="B547" s="4" t="s">
        <v>251</v>
      </c>
      <c r="C547" s="4" t="s">
        <v>73</v>
      </c>
      <c r="D547" s="4" t="s">
        <v>15</v>
      </c>
      <c r="E547" s="4" t="s">
        <v>403</v>
      </c>
      <c r="F547" s="4"/>
      <c r="G547" s="90">
        <f>G548</f>
        <v>9477.0613300000005</v>
      </c>
      <c r="H547" s="90">
        <f t="shared" si="114"/>
        <v>9477.0613300000005</v>
      </c>
      <c r="I547" s="60">
        <f t="shared" si="95"/>
        <v>100</v>
      </c>
    </row>
    <row r="548" spans="1:11" s="36" customFormat="1" ht="24" customHeight="1" x14ac:dyDescent="0.2">
      <c r="A548" s="5" t="s">
        <v>29</v>
      </c>
      <c r="B548" s="4" t="s">
        <v>251</v>
      </c>
      <c r="C548" s="4" t="s">
        <v>73</v>
      </c>
      <c r="D548" s="4" t="s">
        <v>15</v>
      </c>
      <c r="E548" s="4" t="s">
        <v>403</v>
      </c>
      <c r="F548" s="4" t="s">
        <v>26</v>
      </c>
      <c r="G548" s="90">
        <v>9477.0613300000005</v>
      </c>
      <c r="H548" s="90">
        <f>9427.06133+50</f>
        <v>9477.0613300000005</v>
      </c>
      <c r="I548" s="60">
        <f t="shared" si="95"/>
        <v>100</v>
      </c>
      <c r="J548" s="36">
        <f>9427.06133+50</f>
        <v>9477.0613300000005</v>
      </c>
      <c r="K548" s="74">
        <f t="shared" ref="K548" si="115">I548-J548</f>
        <v>-9377.0613300000005</v>
      </c>
    </row>
    <row r="549" spans="1:11" ht="24" customHeight="1" x14ac:dyDescent="0.2">
      <c r="A549" s="5" t="s">
        <v>46</v>
      </c>
      <c r="B549" s="4" t="s">
        <v>251</v>
      </c>
      <c r="C549" s="4" t="s">
        <v>73</v>
      </c>
      <c r="D549" s="4" t="s">
        <v>15</v>
      </c>
      <c r="E549" s="4" t="s">
        <v>44</v>
      </c>
      <c r="F549" s="4"/>
      <c r="G549" s="91">
        <f>G550</f>
        <v>67</v>
      </c>
      <c r="H549" s="91">
        <f t="shared" ref="H549" si="116">H550</f>
        <v>67</v>
      </c>
      <c r="I549" s="60">
        <f t="shared" si="95"/>
        <v>100</v>
      </c>
    </row>
    <row r="550" spans="1:11" ht="24" customHeight="1" x14ac:dyDescent="0.2">
      <c r="A550" s="5" t="s">
        <v>29</v>
      </c>
      <c r="B550" s="4" t="s">
        <v>251</v>
      </c>
      <c r="C550" s="4" t="s">
        <v>73</v>
      </c>
      <c r="D550" s="4" t="s">
        <v>15</v>
      </c>
      <c r="E550" s="4" t="s">
        <v>44</v>
      </c>
      <c r="F550" s="4" t="s">
        <v>26</v>
      </c>
      <c r="G550" s="91">
        <v>67</v>
      </c>
      <c r="H550" s="91">
        <v>67</v>
      </c>
      <c r="I550" s="60">
        <f t="shared" si="95"/>
        <v>100</v>
      </c>
      <c r="J550" s="33">
        <v>67</v>
      </c>
      <c r="K550" s="74">
        <f t="shared" ref="K550" si="117">I550-J550</f>
        <v>33</v>
      </c>
    </row>
    <row r="551" spans="1:11" s="36" customFormat="1" ht="18" customHeight="1" x14ac:dyDescent="0.2">
      <c r="A551" s="5" t="s">
        <v>77</v>
      </c>
      <c r="B551" s="4" t="s">
        <v>251</v>
      </c>
      <c r="C551" s="4" t="s">
        <v>73</v>
      </c>
      <c r="D551" s="4" t="s">
        <v>59</v>
      </c>
      <c r="E551" s="4"/>
      <c r="F551" s="4"/>
      <c r="G551" s="60">
        <f>G552+G558+G566</f>
        <v>3343.7371399999997</v>
      </c>
      <c r="H551" s="60">
        <f t="shared" ref="H551" si="118">H552+H558+H566</f>
        <v>3343.7371399999997</v>
      </c>
      <c r="I551" s="60">
        <f t="shared" si="95"/>
        <v>100</v>
      </c>
    </row>
    <row r="552" spans="1:11" s="36" customFormat="1" ht="78.75" customHeight="1" x14ac:dyDescent="0.2">
      <c r="A552" s="8" t="s">
        <v>405</v>
      </c>
      <c r="B552" s="4" t="s">
        <v>251</v>
      </c>
      <c r="C552" s="4" t="s">
        <v>73</v>
      </c>
      <c r="D552" s="4" t="s">
        <v>59</v>
      </c>
      <c r="E552" s="4" t="s">
        <v>502</v>
      </c>
      <c r="F552" s="4"/>
      <c r="G552" s="60">
        <f>G553+G556</f>
        <v>1126.25432</v>
      </c>
      <c r="H552" s="60">
        <f t="shared" ref="H552" si="119">H553+H556</f>
        <v>1126.25432</v>
      </c>
      <c r="I552" s="60">
        <f t="shared" si="95"/>
        <v>100</v>
      </c>
    </row>
    <row r="553" spans="1:11" s="36" customFormat="1" ht="38.25" customHeight="1" x14ac:dyDescent="0.2">
      <c r="A553" s="8" t="s">
        <v>406</v>
      </c>
      <c r="B553" s="4" t="s">
        <v>251</v>
      </c>
      <c r="C553" s="4" t="s">
        <v>73</v>
      </c>
      <c r="D553" s="4" t="s">
        <v>59</v>
      </c>
      <c r="E553" s="4" t="s">
        <v>503</v>
      </c>
      <c r="F553" s="4"/>
      <c r="G553" s="60">
        <f>G554</f>
        <v>1045.8543199999999</v>
      </c>
      <c r="H553" s="60">
        <f t="shared" ref="H553" si="120">H554</f>
        <v>1045.8543199999999</v>
      </c>
      <c r="I553" s="60">
        <f t="shared" si="95"/>
        <v>100</v>
      </c>
    </row>
    <row r="554" spans="1:11" s="36" customFormat="1" ht="24" customHeight="1" x14ac:dyDescent="0.2">
      <c r="A554" s="5" t="s">
        <v>75</v>
      </c>
      <c r="B554" s="4" t="s">
        <v>251</v>
      </c>
      <c r="C554" s="4" t="s">
        <v>73</v>
      </c>
      <c r="D554" s="4" t="s">
        <v>59</v>
      </c>
      <c r="E554" s="4" t="s">
        <v>504</v>
      </c>
      <c r="F554" s="4"/>
      <c r="G554" s="90">
        <f t="shared" ref="G554:H554" si="121">G555</f>
        <v>1045.8543199999999</v>
      </c>
      <c r="H554" s="90">
        <f t="shared" si="121"/>
        <v>1045.8543199999999</v>
      </c>
      <c r="I554" s="60">
        <f t="shared" si="95"/>
        <v>100</v>
      </c>
    </row>
    <row r="555" spans="1:11" s="36" customFormat="1" ht="60" customHeight="1" x14ac:dyDescent="0.2">
      <c r="A555" s="5" t="s">
        <v>38</v>
      </c>
      <c r="B555" s="4" t="s">
        <v>251</v>
      </c>
      <c r="C555" s="4" t="s">
        <v>73</v>
      </c>
      <c r="D555" s="4" t="s">
        <v>59</v>
      </c>
      <c r="E555" s="4" t="s">
        <v>504</v>
      </c>
      <c r="F555" s="4" t="s">
        <v>34</v>
      </c>
      <c r="G555" s="90">
        <v>1045.8543199999999</v>
      </c>
      <c r="H555" s="90">
        <f>806.02819+239.82613</f>
        <v>1045.8543199999999</v>
      </c>
      <c r="I555" s="60">
        <f t="shared" si="95"/>
        <v>100</v>
      </c>
      <c r="J555" s="36">
        <f>825.98+249.45</f>
        <v>1075.43</v>
      </c>
      <c r="K555" s="74">
        <f t="shared" ref="K555" si="122">I555-J555</f>
        <v>-975.43000000000006</v>
      </c>
    </row>
    <row r="556" spans="1:11" ht="24" customHeight="1" x14ac:dyDescent="0.2">
      <c r="A556" s="5" t="s">
        <v>450</v>
      </c>
      <c r="B556" s="4" t="s">
        <v>251</v>
      </c>
      <c r="C556" s="4" t="s">
        <v>73</v>
      </c>
      <c r="D556" s="4" t="s">
        <v>59</v>
      </c>
      <c r="E556" s="4" t="s">
        <v>505</v>
      </c>
      <c r="F556" s="4"/>
      <c r="G556" s="60">
        <f>G557</f>
        <v>80.400000000000006</v>
      </c>
      <c r="H556" s="60">
        <f t="shared" ref="H556" si="123">H557</f>
        <v>80.400000000000006</v>
      </c>
      <c r="I556" s="60">
        <f t="shared" si="95"/>
        <v>100</v>
      </c>
    </row>
    <row r="557" spans="1:11" ht="24" customHeight="1" x14ac:dyDescent="0.2">
      <c r="A557" s="5" t="s">
        <v>38</v>
      </c>
      <c r="B557" s="4" t="s">
        <v>251</v>
      </c>
      <c r="C557" s="4" t="s">
        <v>73</v>
      </c>
      <c r="D557" s="4" t="s">
        <v>59</v>
      </c>
      <c r="E557" s="4" t="s">
        <v>505</v>
      </c>
      <c r="F557" s="4" t="s">
        <v>34</v>
      </c>
      <c r="G557" s="60">
        <v>80.400000000000006</v>
      </c>
      <c r="H557" s="60">
        <f>61.751+18.649</f>
        <v>80.400000000000006</v>
      </c>
      <c r="I557" s="60">
        <f t="shared" si="95"/>
        <v>100</v>
      </c>
      <c r="J557" s="33">
        <f>61.751+18.649</f>
        <v>80.400000000000006</v>
      </c>
      <c r="K557" s="74">
        <f t="shared" ref="K557" si="124">I557-J557</f>
        <v>19.599999999999994</v>
      </c>
    </row>
    <row r="558" spans="1:11" s="36" customFormat="1" ht="24" customHeight="1" x14ac:dyDescent="0.2">
      <c r="A558" s="5" t="s">
        <v>332</v>
      </c>
      <c r="B558" s="4" t="s">
        <v>251</v>
      </c>
      <c r="C558" s="4" t="s">
        <v>73</v>
      </c>
      <c r="D558" s="4" t="s">
        <v>59</v>
      </c>
      <c r="E558" s="4" t="s">
        <v>41</v>
      </c>
      <c r="F558" s="4"/>
      <c r="G558" s="60">
        <f>G559</f>
        <v>2130.4828199999997</v>
      </c>
      <c r="H558" s="60">
        <f t="shared" ref="H558:H559" si="125">H559</f>
        <v>2130.4828199999997</v>
      </c>
      <c r="I558" s="60">
        <f t="shared" si="95"/>
        <v>100</v>
      </c>
    </row>
    <row r="559" spans="1:11" s="36" customFormat="1" ht="24" customHeight="1" x14ac:dyDescent="0.2">
      <c r="A559" s="5" t="s">
        <v>40</v>
      </c>
      <c r="B559" s="4" t="s">
        <v>251</v>
      </c>
      <c r="C559" s="4" t="s">
        <v>73</v>
      </c>
      <c r="D559" s="4" t="s">
        <v>59</v>
      </c>
      <c r="E559" s="4" t="s">
        <v>389</v>
      </c>
      <c r="F559" s="4"/>
      <c r="G559" s="93">
        <f>G560</f>
        <v>2130.4828199999997</v>
      </c>
      <c r="H559" s="93">
        <f t="shared" si="125"/>
        <v>2130.4828199999997</v>
      </c>
      <c r="I559" s="60">
        <f t="shared" si="95"/>
        <v>100</v>
      </c>
    </row>
    <row r="560" spans="1:11" s="36" customFormat="1" ht="51" customHeight="1" x14ac:dyDescent="0.2">
      <c r="A560" s="5" t="s">
        <v>407</v>
      </c>
      <c r="B560" s="4" t="s">
        <v>251</v>
      </c>
      <c r="C560" s="4" t="s">
        <v>73</v>
      </c>
      <c r="D560" s="4" t="s">
        <v>59</v>
      </c>
      <c r="E560" s="4" t="s">
        <v>35</v>
      </c>
      <c r="F560" s="4"/>
      <c r="G560" s="100">
        <f>G561+G562+G563+G564</f>
        <v>2130.4828199999997</v>
      </c>
      <c r="H560" s="100">
        <f t="shared" ref="H560" si="126">H561+H562+H563+H564</f>
        <v>2130.4828199999997</v>
      </c>
      <c r="I560" s="60">
        <f t="shared" si="95"/>
        <v>100</v>
      </c>
    </row>
    <row r="561" spans="1:11" s="36" customFormat="1" ht="60" customHeight="1" x14ac:dyDescent="0.2">
      <c r="A561" s="5" t="s">
        <v>38</v>
      </c>
      <c r="B561" s="4" t="s">
        <v>251</v>
      </c>
      <c r="C561" s="4" t="s">
        <v>73</v>
      </c>
      <c r="D561" s="4" t="s">
        <v>59</v>
      </c>
      <c r="E561" s="4" t="s">
        <v>35</v>
      </c>
      <c r="F561" s="4" t="s">
        <v>34</v>
      </c>
      <c r="G561" s="100">
        <v>734.99757999999997</v>
      </c>
      <c r="H561" s="100">
        <f>565.70695+169.29063</f>
        <v>734.99757999999997</v>
      </c>
      <c r="I561" s="60">
        <f t="shared" si="95"/>
        <v>100</v>
      </c>
      <c r="J561" s="36">
        <f>525+158.55</f>
        <v>683.55</v>
      </c>
      <c r="K561" s="74">
        <f t="shared" ref="K561:K563" si="127">I561-J561</f>
        <v>-583.54999999999995</v>
      </c>
    </row>
    <row r="562" spans="1:11" s="36" customFormat="1" ht="24" customHeight="1" x14ac:dyDescent="0.2">
      <c r="A562" s="5" t="s">
        <v>47</v>
      </c>
      <c r="B562" s="4" t="s">
        <v>251</v>
      </c>
      <c r="C562" s="4" t="s">
        <v>73</v>
      </c>
      <c r="D562" s="4" t="s">
        <v>59</v>
      </c>
      <c r="E562" s="4" t="s">
        <v>35</v>
      </c>
      <c r="F562" s="4" t="s">
        <v>51</v>
      </c>
      <c r="G562" s="100">
        <v>1212.45155</v>
      </c>
      <c r="H562" s="100">
        <v>1212.45155</v>
      </c>
      <c r="I562" s="60">
        <f t="shared" si="95"/>
        <v>100</v>
      </c>
      <c r="J562" s="36">
        <f>1070.939</f>
        <v>1070.9390000000001</v>
      </c>
      <c r="K562" s="74">
        <f t="shared" si="127"/>
        <v>-970.93900000000008</v>
      </c>
    </row>
    <row r="563" spans="1:11" s="36" customFormat="1" ht="24" customHeight="1" x14ac:dyDescent="0.2">
      <c r="A563" s="8" t="s">
        <v>74</v>
      </c>
      <c r="B563" s="4" t="s">
        <v>251</v>
      </c>
      <c r="C563" s="4" t="s">
        <v>73</v>
      </c>
      <c r="D563" s="4" t="s">
        <v>59</v>
      </c>
      <c r="E563" s="4" t="s">
        <v>35</v>
      </c>
      <c r="F563" s="4">
        <v>800</v>
      </c>
      <c r="G563" s="100">
        <v>26.78444</v>
      </c>
      <c r="H563" s="100">
        <f>7.439+8.391+10.95444</f>
        <v>26.78444</v>
      </c>
      <c r="I563" s="60">
        <f t="shared" si="95"/>
        <v>100</v>
      </c>
      <c r="J563" s="36">
        <f>10.3+10.2+11</f>
        <v>31.5</v>
      </c>
      <c r="K563" s="74">
        <f t="shared" si="127"/>
        <v>68.5</v>
      </c>
    </row>
    <row r="564" spans="1:11" ht="24" customHeight="1" x14ac:dyDescent="0.2">
      <c r="A564" s="5" t="s">
        <v>450</v>
      </c>
      <c r="B564" s="4" t="s">
        <v>251</v>
      </c>
      <c r="C564" s="4" t="s">
        <v>73</v>
      </c>
      <c r="D564" s="4" t="s">
        <v>59</v>
      </c>
      <c r="E564" s="4" t="s">
        <v>480</v>
      </c>
      <c r="F564" s="4"/>
      <c r="G564" s="60">
        <f>G565</f>
        <v>156.24924999999999</v>
      </c>
      <c r="H564" s="60">
        <f t="shared" ref="H564" si="128">H565</f>
        <v>156.24925000000002</v>
      </c>
      <c r="I564" s="60">
        <f t="shared" si="95"/>
        <v>100.00000000000003</v>
      </c>
    </row>
    <row r="565" spans="1:11" ht="24" customHeight="1" x14ac:dyDescent="0.2">
      <c r="A565" s="5" t="s">
        <v>38</v>
      </c>
      <c r="B565" s="4" t="s">
        <v>251</v>
      </c>
      <c r="C565" s="4" t="s">
        <v>73</v>
      </c>
      <c r="D565" s="4" t="s">
        <v>59</v>
      </c>
      <c r="E565" s="4" t="s">
        <v>480</v>
      </c>
      <c r="F565" s="4" t="s">
        <v>34</v>
      </c>
      <c r="G565" s="60">
        <v>156.24924999999999</v>
      </c>
      <c r="H565" s="60">
        <f>120.402+35.84725</f>
        <v>156.24925000000002</v>
      </c>
      <c r="I565" s="60">
        <f t="shared" si="95"/>
        <v>100.00000000000003</v>
      </c>
      <c r="J565" s="33">
        <f>216.282+65.318</f>
        <v>281.60000000000002</v>
      </c>
      <c r="K565" s="74">
        <f t="shared" ref="K565" si="129">I565-J565</f>
        <v>-181.6</v>
      </c>
    </row>
    <row r="566" spans="1:11" ht="24" customHeight="1" x14ac:dyDescent="0.2">
      <c r="A566" s="5" t="s">
        <v>46</v>
      </c>
      <c r="B566" s="4" t="s">
        <v>251</v>
      </c>
      <c r="C566" s="4" t="s">
        <v>73</v>
      </c>
      <c r="D566" s="4" t="s">
        <v>59</v>
      </c>
      <c r="E566" s="4" t="s">
        <v>44</v>
      </c>
      <c r="F566" s="4"/>
      <c r="G566" s="91">
        <f>G567</f>
        <v>87</v>
      </c>
      <c r="H566" s="91">
        <f t="shared" ref="H566" si="130">H567</f>
        <v>87</v>
      </c>
      <c r="I566" s="60">
        <f t="shared" si="95"/>
        <v>100</v>
      </c>
    </row>
    <row r="567" spans="1:11" ht="24" customHeight="1" x14ac:dyDescent="0.2">
      <c r="A567" s="5" t="s">
        <v>47</v>
      </c>
      <c r="B567" s="4" t="s">
        <v>251</v>
      </c>
      <c r="C567" s="4" t="s">
        <v>73</v>
      </c>
      <c r="D567" s="4" t="s">
        <v>59</v>
      </c>
      <c r="E567" s="4" t="s">
        <v>44</v>
      </c>
      <c r="F567" s="4" t="s">
        <v>51</v>
      </c>
      <c r="G567" s="91">
        <v>87</v>
      </c>
      <c r="H567" s="91">
        <v>87</v>
      </c>
      <c r="I567" s="60">
        <f t="shared" si="95"/>
        <v>100</v>
      </c>
      <c r="J567" s="33">
        <v>87</v>
      </c>
      <c r="K567" s="74">
        <f t="shared" ref="K567" si="131">I567-J567</f>
        <v>13</v>
      </c>
    </row>
    <row r="568" spans="1:11" s="36" customFormat="1" ht="12.75" customHeight="1" x14ac:dyDescent="0.2">
      <c r="A568" s="5" t="s">
        <v>67</v>
      </c>
      <c r="B568" s="4" t="s">
        <v>251</v>
      </c>
      <c r="C568" s="4" t="s">
        <v>54</v>
      </c>
      <c r="D568" s="4" t="s">
        <v>19</v>
      </c>
      <c r="E568" s="4"/>
      <c r="F568" s="4"/>
      <c r="G568" s="60">
        <f t="shared" ref="G568:H572" si="132">G569</f>
        <v>181.26326</v>
      </c>
      <c r="H568" s="60">
        <f t="shared" si="132"/>
        <v>181.26326</v>
      </c>
      <c r="I568" s="60">
        <f t="shared" si="95"/>
        <v>100</v>
      </c>
    </row>
    <row r="569" spans="1:11" s="36" customFormat="1" ht="12.75" customHeight="1" x14ac:dyDescent="0.2">
      <c r="A569" s="5" t="s">
        <v>58</v>
      </c>
      <c r="B569" s="4" t="s">
        <v>251</v>
      </c>
      <c r="C569" s="4" t="s">
        <v>54</v>
      </c>
      <c r="D569" s="4" t="s">
        <v>53</v>
      </c>
      <c r="E569" s="4"/>
      <c r="F569" s="4"/>
      <c r="G569" s="60">
        <f>G570+G574</f>
        <v>181.26326</v>
      </c>
      <c r="H569" s="60">
        <f t="shared" ref="H569" si="133">H570+H574</f>
        <v>181.26326</v>
      </c>
      <c r="I569" s="60">
        <f t="shared" si="95"/>
        <v>100</v>
      </c>
    </row>
    <row r="570" spans="1:11" s="36" customFormat="1" ht="24" customHeight="1" x14ac:dyDescent="0.2">
      <c r="A570" s="5" t="s">
        <v>384</v>
      </c>
      <c r="B570" s="4" t="s">
        <v>251</v>
      </c>
      <c r="C570" s="4" t="s">
        <v>54</v>
      </c>
      <c r="D570" s="4" t="s">
        <v>53</v>
      </c>
      <c r="E570" s="4" t="s">
        <v>57</v>
      </c>
      <c r="F570" s="4"/>
      <c r="G570" s="60">
        <f>G571</f>
        <v>167.26326</v>
      </c>
      <c r="H570" s="60">
        <f t="shared" si="132"/>
        <v>167.26326</v>
      </c>
      <c r="I570" s="60">
        <f t="shared" si="95"/>
        <v>100</v>
      </c>
    </row>
    <row r="571" spans="1:11" s="36" customFormat="1" ht="24" customHeight="1" x14ac:dyDescent="0.2">
      <c r="A571" s="5" t="s">
        <v>55</v>
      </c>
      <c r="B571" s="4" t="s">
        <v>251</v>
      </c>
      <c r="C571" s="4" t="s">
        <v>54</v>
      </c>
      <c r="D571" s="4" t="s">
        <v>53</v>
      </c>
      <c r="E571" s="4" t="s">
        <v>320</v>
      </c>
      <c r="F571" s="4"/>
      <c r="G571" s="60">
        <f>G572</f>
        <v>167.26326</v>
      </c>
      <c r="H571" s="60">
        <f t="shared" si="132"/>
        <v>167.26326</v>
      </c>
      <c r="I571" s="60">
        <f t="shared" si="95"/>
        <v>100</v>
      </c>
    </row>
    <row r="572" spans="1:11" s="36" customFormat="1" ht="36" customHeight="1" x14ac:dyDescent="0.2">
      <c r="A572" s="5" t="s">
        <v>408</v>
      </c>
      <c r="B572" s="4" t="s">
        <v>251</v>
      </c>
      <c r="C572" s="4" t="s">
        <v>54</v>
      </c>
      <c r="D572" s="4" t="s">
        <v>53</v>
      </c>
      <c r="E572" s="4" t="s">
        <v>52</v>
      </c>
      <c r="F572" s="4"/>
      <c r="G572" s="60">
        <f>G573</f>
        <v>167.26326</v>
      </c>
      <c r="H572" s="60">
        <f t="shared" si="132"/>
        <v>167.26326</v>
      </c>
      <c r="I572" s="60">
        <f t="shared" si="95"/>
        <v>100</v>
      </c>
    </row>
    <row r="573" spans="1:11" s="36" customFormat="1" ht="24" customHeight="1" x14ac:dyDescent="0.2">
      <c r="A573" s="5" t="s">
        <v>47</v>
      </c>
      <c r="B573" s="4" t="s">
        <v>251</v>
      </c>
      <c r="C573" s="4" t="s">
        <v>54</v>
      </c>
      <c r="D573" s="4" t="s">
        <v>53</v>
      </c>
      <c r="E573" s="4" t="s">
        <v>52</v>
      </c>
      <c r="F573" s="4" t="s">
        <v>51</v>
      </c>
      <c r="G573" s="60">
        <v>167.26326</v>
      </c>
      <c r="H573" s="60">
        <v>167.26326</v>
      </c>
      <c r="I573" s="60">
        <f t="shared" si="95"/>
        <v>100</v>
      </c>
      <c r="J573" s="36">
        <v>137.26326</v>
      </c>
      <c r="K573" s="74">
        <f t="shared" ref="K573" si="134">I573-J573</f>
        <v>-37.263260000000002</v>
      </c>
    </row>
    <row r="574" spans="1:11" s="36" customFormat="1" ht="24" customHeight="1" x14ac:dyDescent="0.2">
      <c r="A574" s="5" t="s">
        <v>46</v>
      </c>
      <c r="B574" s="4" t="s">
        <v>251</v>
      </c>
      <c r="C574" s="4" t="s">
        <v>54</v>
      </c>
      <c r="D574" s="4" t="s">
        <v>53</v>
      </c>
      <c r="E574" s="4" t="s">
        <v>44</v>
      </c>
      <c r="F574" s="4"/>
      <c r="G574" s="60">
        <f>G575+G576</f>
        <v>14</v>
      </c>
      <c r="H574" s="60">
        <f t="shared" ref="H574" si="135">H575+H576</f>
        <v>14</v>
      </c>
      <c r="I574" s="60">
        <f t="shared" si="95"/>
        <v>100</v>
      </c>
    </row>
    <row r="575" spans="1:11" s="36" customFormat="1" ht="24" customHeight="1" x14ac:dyDescent="0.2">
      <c r="A575" s="5" t="s">
        <v>38</v>
      </c>
      <c r="B575" s="4" t="s">
        <v>251</v>
      </c>
      <c r="C575" s="4" t="s">
        <v>54</v>
      </c>
      <c r="D575" s="4" t="s">
        <v>53</v>
      </c>
      <c r="E575" s="4" t="s">
        <v>44</v>
      </c>
      <c r="F575" s="4" t="s">
        <v>34</v>
      </c>
      <c r="G575" s="60">
        <v>12.6</v>
      </c>
      <c r="H575" s="60">
        <v>12.6</v>
      </c>
      <c r="I575" s="60">
        <f t="shared" si="95"/>
        <v>100</v>
      </c>
      <c r="J575" s="36">
        <v>12.6</v>
      </c>
      <c r="K575" s="74">
        <f t="shared" ref="K575:K576" si="136">I575-J575</f>
        <v>87.4</v>
      </c>
    </row>
    <row r="576" spans="1:11" s="36" customFormat="1" ht="24" customHeight="1" x14ac:dyDescent="0.2">
      <c r="A576" s="5" t="s">
        <v>47</v>
      </c>
      <c r="B576" s="4" t="s">
        <v>251</v>
      </c>
      <c r="C576" s="4" t="s">
        <v>54</v>
      </c>
      <c r="D576" s="4" t="s">
        <v>53</v>
      </c>
      <c r="E576" s="4" t="s">
        <v>44</v>
      </c>
      <c r="F576" s="4" t="s">
        <v>51</v>
      </c>
      <c r="G576" s="60">
        <v>1.4</v>
      </c>
      <c r="H576" s="60">
        <v>1.4</v>
      </c>
      <c r="I576" s="60">
        <f t="shared" si="95"/>
        <v>100</v>
      </c>
      <c r="J576" s="36">
        <v>1.4</v>
      </c>
      <c r="K576" s="74">
        <f t="shared" si="136"/>
        <v>98.6</v>
      </c>
    </row>
    <row r="577" spans="1:11" s="36" customFormat="1" ht="12.75" customHeight="1" x14ac:dyDescent="0.2">
      <c r="A577" s="5" t="s">
        <v>50</v>
      </c>
      <c r="B577" s="4" t="s">
        <v>251</v>
      </c>
      <c r="C577" s="4" t="s">
        <v>37</v>
      </c>
      <c r="D577" s="4"/>
      <c r="E577" s="4"/>
      <c r="F577" s="4"/>
      <c r="G577" s="60">
        <f>G578</f>
        <v>1360.6</v>
      </c>
      <c r="H577" s="60">
        <f t="shared" ref="H577" si="137">H578</f>
        <v>1360.6</v>
      </c>
      <c r="I577" s="60">
        <f t="shared" si="95"/>
        <v>100</v>
      </c>
    </row>
    <row r="578" spans="1:11" s="36" customFormat="1" ht="12.75" customHeight="1" x14ac:dyDescent="0.2">
      <c r="A578" s="5" t="s">
        <v>49</v>
      </c>
      <c r="B578" s="4" t="s">
        <v>251</v>
      </c>
      <c r="C578" s="4" t="s">
        <v>37</v>
      </c>
      <c r="D578" s="4" t="s">
        <v>15</v>
      </c>
      <c r="E578" s="4"/>
      <c r="F578" s="4"/>
      <c r="G578" s="60">
        <f>G579+G584</f>
        <v>1360.6</v>
      </c>
      <c r="H578" s="60">
        <f t="shared" ref="H578" si="138">H579+H584</f>
        <v>1360.6</v>
      </c>
      <c r="I578" s="60">
        <f t="shared" si="95"/>
        <v>100</v>
      </c>
    </row>
    <row r="579" spans="1:11" s="36" customFormat="1" ht="48.75" customHeight="1" x14ac:dyDescent="0.2">
      <c r="A579" s="5" t="s">
        <v>332</v>
      </c>
      <c r="B579" s="4" t="s">
        <v>251</v>
      </c>
      <c r="C579" s="4" t="s">
        <v>37</v>
      </c>
      <c r="D579" s="4" t="s">
        <v>15</v>
      </c>
      <c r="E579" s="4" t="s">
        <v>41</v>
      </c>
      <c r="F579" s="4"/>
      <c r="G579" s="92">
        <f>G580</f>
        <v>1225.5999999999999</v>
      </c>
      <c r="H579" s="92">
        <f t="shared" ref="H579:H580" si="139">H580</f>
        <v>1225.5999999999999</v>
      </c>
      <c r="I579" s="60">
        <f t="shared" si="95"/>
        <v>100</v>
      </c>
    </row>
    <row r="580" spans="1:11" s="36" customFormat="1" ht="39.75" customHeight="1" x14ac:dyDescent="0.2">
      <c r="A580" s="5" t="s">
        <v>48</v>
      </c>
      <c r="B580" s="4" t="s">
        <v>251</v>
      </c>
      <c r="C580" s="4" t="s">
        <v>37</v>
      </c>
      <c r="D580" s="4" t="s">
        <v>15</v>
      </c>
      <c r="E580" s="4" t="s">
        <v>409</v>
      </c>
      <c r="F580" s="4"/>
      <c r="G580" s="92">
        <f>G581</f>
        <v>1225.5999999999999</v>
      </c>
      <c r="H580" s="92">
        <f t="shared" si="139"/>
        <v>1225.5999999999999</v>
      </c>
      <c r="I580" s="60">
        <f t="shared" si="95"/>
        <v>100</v>
      </c>
    </row>
    <row r="581" spans="1:11" s="36" customFormat="1" ht="16.5" customHeight="1" x14ac:dyDescent="0.2">
      <c r="A581" s="5" t="s">
        <v>411</v>
      </c>
      <c r="B581" s="4" t="s">
        <v>251</v>
      </c>
      <c r="C581" s="4" t="s">
        <v>37</v>
      </c>
      <c r="D581" s="4" t="s">
        <v>15</v>
      </c>
      <c r="E581" s="4" t="s">
        <v>410</v>
      </c>
      <c r="F581" s="4"/>
      <c r="G581" s="92">
        <f>G582+G583</f>
        <v>1225.5999999999999</v>
      </c>
      <c r="H581" s="92">
        <f t="shared" ref="H581" si="140">H582+H583</f>
        <v>1225.5999999999999</v>
      </c>
      <c r="I581" s="60">
        <f t="shared" si="95"/>
        <v>100</v>
      </c>
    </row>
    <row r="582" spans="1:11" s="36" customFormat="1" ht="60" customHeight="1" x14ac:dyDescent="0.2">
      <c r="A582" s="5" t="s">
        <v>38</v>
      </c>
      <c r="B582" s="4" t="s">
        <v>251</v>
      </c>
      <c r="C582" s="4" t="s">
        <v>37</v>
      </c>
      <c r="D582" s="4" t="s">
        <v>15</v>
      </c>
      <c r="E582" s="4" t="s">
        <v>410</v>
      </c>
      <c r="F582" s="4">
        <v>100</v>
      </c>
      <c r="G582" s="92">
        <v>99.51</v>
      </c>
      <c r="H582" s="92">
        <v>99.510999999999996</v>
      </c>
      <c r="I582" s="60">
        <f t="shared" si="95"/>
        <v>100.00100492412822</v>
      </c>
      <c r="J582" s="36">
        <v>99.510999999999996</v>
      </c>
      <c r="K582" s="74">
        <f t="shared" ref="K582:K583" si="141">I582-J582</f>
        <v>0.49000492412822894</v>
      </c>
    </row>
    <row r="583" spans="1:11" s="36" customFormat="1" ht="24" customHeight="1" x14ac:dyDescent="0.2">
      <c r="A583" s="5" t="s">
        <v>47</v>
      </c>
      <c r="B583" s="4" t="s">
        <v>251</v>
      </c>
      <c r="C583" s="4" t="s">
        <v>37</v>
      </c>
      <c r="D583" s="4" t="s">
        <v>15</v>
      </c>
      <c r="E583" s="4" t="s">
        <v>410</v>
      </c>
      <c r="F583" s="4">
        <v>200</v>
      </c>
      <c r="G583" s="92">
        <v>1126.0899999999999</v>
      </c>
      <c r="H583" s="92">
        <v>1126.0889999999999</v>
      </c>
      <c r="I583" s="60">
        <f t="shared" si="95"/>
        <v>99.999911197151206</v>
      </c>
      <c r="J583" s="36">
        <v>1120.489</v>
      </c>
      <c r="K583" s="74">
        <f t="shared" si="141"/>
        <v>-1020.4890888028489</v>
      </c>
    </row>
    <row r="584" spans="1:11" ht="17.25" customHeight="1" x14ac:dyDescent="0.2">
      <c r="A584" s="5" t="s">
        <v>46</v>
      </c>
      <c r="B584" s="4" t="s">
        <v>251</v>
      </c>
      <c r="C584" s="4" t="s">
        <v>37</v>
      </c>
      <c r="D584" s="4" t="s">
        <v>15</v>
      </c>
      <c r="E584" s="4" t="s">
        <v>44</v>
      </c>
      <c r="F584" s="4"/>
      <c r="G584" s="91">
        <f>G586+G585</f>
        <v>135</v>
      </c>
      <c r="H584" s="91">
        <f t="shared" ref="H584" si="142">H586+H585</f>
        <v>135</v>
      </c>
      <c r="I584" s="60">
        <f t="shared" si="95"/>
        <v>100</v>
      </c>
    </row>
    <row r="585" spans="1:11" ht="24" customHeight="1" x14ac:dyDescent="0.2">
      <c r="A585" s="5" t="s">
        <v>38</v>
      </c>
      <c r="B585" s="4" t="s">
        <v>251</v>
      </c>
      <c r="C585" s="4" t="s">
        <v>37</v>
      </c>
      <c r="D585" s="4" t="s">
        <v>15</v>
      </c>
      <c r="E585" s="4" t="s">
        <v>44</v>
      </c>
      <c r="F585" s="4" t="s">
        <v>34</v>
      </c>
      <c r="G585" s="91">
        <v>135</v>
      </c>
      <c r="H585" s="91">
        <v>135</v>
      </c>
      <c r="I585" s="60">
        <f t="shared" si="95"/>
        <v>100</v>
      </c>
      <c r="J585" s="33">
        <v>135</v>
      </c>
      <c r="K585" s="74">
        <f t="shared" ref="K585:K586" si="143">I585-J585</f>
        <v>-35</v>
      </c>
    </row>
    <row r="586" spans="1:11" ht="24" hidden="1" customHeight="1" x14ac:dyDescent="0.2">
      <c r="A586" s="5" t="s">
        <v>47</v>
      </c>
      <c r="B586" s="4" t="s">
        <v>251</v>
      </c>
      <c r="C586" s="4" t="s">
        <v>37</v>
      </c>
      <c r="D586" s="4" t="s">
        <v>15</v>
      </c>
      <c r="E586" s="4" t="s">
        <v>44</v>
      </c>
      <c r="F586" s="4" t="s">
        <v>51</v>
      </c>
      <c r="G586" s="91"/>
      <c r="H586" s="91"/>
      <c r="I586" s="60" t="e">
        <f t="shared" ref="I586:I587" si="144">H586/G586*100</f>
        <v>#DIV/0!</v>
      </c>
      <c r="J586" s="33">
        <v>0</v>
      </c>
      <c r="K586" s="74" t="e">
        <f t="shared" si="143"/>
        <v>#DIV/0!</v>
      </c>
    </row>
    <row r="587" spans="1:11" s="36" customFormat="1" ht="12.75" customHeight="1" x14ac:dyDescent="0.2">
      <c r="A587" s="40" t="s">
        <v>250</v>
      </c>
      <c r="B587" s="6"/>
      <c r="C587" s="6"/>
      <c r="D587" s="6"/>
      <c r="E587" s="6"/>
      <c r="F587" s="6"/>
      <c r="G587" s="59">
        <f>G9+G110+G235+G504</f>
        <v>612235.64567999996</v>
      </c>
      <c r="H587" s="59">
        <f t="shared" ref="H587" si="145">H9+H110+H235+H504</f>
        <v>600302.3194700001</v>
      </c>
      <c r="I587" s="59">
        <f t="shared" si="144"/>
        <v>98.050860596862876</v>
      </c>
      <c r="J587" s="36">
        <f>534588.82641-I587</f>
        <v>534490.77554940316</v>
      </c>
    </row>
    <row r="588" spans="1:11" s="36" customFormat="1" ht="12.75" customHeight="1" x14ac:dyDescent="0.2">
      <c r="A588" s="34"/>
      <c r="B588" s="33"/>
      <c r="C588" s="33"/>
      <c r="D588" s="33"/>
      <c r="E588" s="33"/>
      <c r="F588" s="33"/>
      <c r="G588" s="101">
        <v>612235.64567999996</v>
      </c>
      <c r="H588" s="102">
        <v>600302.31946999999</v>
      </c>
      <c r="I588" s="76"/>
    </row>
    <row r="589" spans="1:11" s="36" customFormat="1" ht="12.75" customHeight="1" x14ac:dyDescent="0.2">
      <c r="A589" s="34"/>
      <c r="B589" s="39"/>
      <c r="C589" s="39"/>
      <c r="D589" s="39"/>
      <c r="E589" s="39"/>
      <c r="F589" s="39"/>
      <c r="G589" s="61">
        <f t="shared" ref="G589" si="146">G587-G588</f>
        <v>0</v>
      </c>
      <c r="H589" s="61">
        <f t="shared" ref="H589" si="147">H587-H588</f>
        <v>0</v>
      </c>
      <c r="I589" s="2">
        <f>I587-I588</f>
        <v>98.050860596862876</v>
      </c>
    </row>
    <row r="590" spans="1:11" s="36" customFormat="1" x14ac:dyDescent="0.2">
      <c r="A590" s="34"/>
      <c r="B590" s="35"/>
      <c r="C590" s="23"/>
      <c r="D590" s="22"/>
      <c r="E590" s="209" t="s">
        <v>246</v>
      </c>
      <c r="F590" s="226"/>
      <c r="G590" s="60">
        <f>SUM(G591:G598)</f>
        <v>29378.13132</v>
      </c>
      <c r="H590" s="60">
        <f t="shared" ref="H590:I590" si="148">SUM(H591:H598)</f>
        <v>29187.695309999999</v>
      </c>
      <c r="I590" s="3" t="e">
        <f t="shared" si="148"/>
        <v>#DIV/0!</v>
      </c>
    </row>
    <row r="591" spans="1:11" s="36" customFormat="1" x14ac:dyDescent="0.2">
      <c r="A591" s="34"/>
      <c r="B591" s="35"/>
      <c r="C591" s="23" t="s">
        <v>15</v>
      </c>
      <c r="D591" s="22" t="s">
        <v>27</v>
      </c>
      <c r="E591" s="23" t="s">
        <v>15</v>
      </c>
      <c r="F591" s="22" t="s">
        <v>27</v>
      </c>
      <c r="G591" s="60">
        <f>G237</f>
        <v>1612.0890899999999</v>
      </c>
      <c r="H591" s="60">
        <f>H237</f>
        <v>1612.0684099999999</v>
      </c>
      <c r="I591" s="3">
        <f>I237</f>
        <v>99.99871719248469</v>
      </c>
    </row>
    <row r="592" spans="1:11" s="36" customFormat="1" x14ac:dyDescent="0.2">
      <c r="A592" s="34"/>
      <c r="B592" s="38"/>
      <c r="C592" s="23" t="s">
        <v>15</v>
      </c>
      <c r="D592" s="22" t="s">
        <v>6</v>
      </c>
      <c r="E592" s="23" t="s">
        <v>15</v>
      </c>
      <c r="F592" s="22" t="s">
        <v>6</v>
      </c>
      <c r="G592" s="60">
        <f>G240</f>
        <v>2139.45586</v>
      </c>
      <c r="H592" s="60">
        <f>H240</f>
        <v>2138.4780700000001</v>
      </c>
      <c r="I592" s="3">
        <f>I240</f>
        <v>99.954297257621377</v>
      </c>
    </row>
    <row r="593" spans="1:9" s="36" customFormat="1" x14ac:dyDescent="0.2">
      <c r="A593" s="34"/>
      <c r="B593" s="37"/>
      <c r="C593" s="23" t="s">
        <v>15</v>
      </c>
      <c r="D593" s="22" t="s">
        <v>59</v>
      </c>
      <c r="E593" s="23" t="s">
        <v>15</v>
      </c>
      <c r="F593" s="22" t="s">
        <v>59</v>
      </c>
      <c r="G593" s="60">
        <f>G112+G246</f>
        <v>17278.955099999999</v>
      </c>
      <c r="H593" s="60">
        <f>H112+H246</f>
        <v>17229.63407</v>
      </c>
      <c r="I593" s="3">
        <f>I112+I246</f>
        <v>199.68892644715947</v>
      </c>
    </row>
    <row r="594" spans="1:9" s="36" customFormat="1" x14ac:dyDescent="0.2">
      <c r="A594" s="34"/>
      <c r="B594" s="37"/>
      <c r="C594" s="23" t="s">
        <v>15</v>
      </c>
      <c r="D594" s="22" t="s">
        <v>36</v>
      </c>
      <c r="E594" s="23" t="s">
        <v>15</v>
      </c>
      <c r="F594" s="22" t="s">
        <v>36</v>
      </c>
      <c r="G594" s="60">
        <f>G269</f>
        <v>113.2</v>
      </c>
      <c r="H594" s="60">
        <f>H269</f>
        <v>13.4</v>
      </c>
      <c r="I594" s="3">
        <f>I269</f>
        <v>11.837455830388691</v>
      </c>
    </row>
    <row r="595" spans="1:9" s="36" customFormat="1" x14ac:dyDescent="0.2">
      <c r="A595" s="34"/>
      <c r="B595" s="37"/>
      <c r="C595" s="23" t="s">
        <v>15</v>
      </c>
      <c r="D595" s="22" t="s">
        <v>53</v>
      </c>
      <c r="E595" s="23" t="s">
        <v>15</v>
      </c>
      <c r="F595" s="22" t="s">
        <v>53</v>
      </c>
      <c r="G595" s="60">
        <f>G117+G274</f>
        <v>6357.4821000000002</v>
      </c>
      <c r="H595" s="60">
        <f>H117+H274</f>
        <v>6334.7167499999996</v>
      </c>
      <c r="I595" s="3">
        <f>I117+I274</f>
        <v>199.55423714546919</v>
      </c>
    </row>
    <row r="596" spans="1:9" s="36" customFormat="1" x14ac:dyDescent="0.2">
      <c r="A596" s="34"/>
      <c r="B596" s="37"/>
      <c r="C596" s="23" t="s">
        <v>15</v>
      </c>
      <c r="D596" s="22" t="s">
        <v>81</v>
      </c>
      <c r="E596" s="23" t="s">
        <v>15</v>
      </c>
      <c r="F596" s="22" t="s">
        <v>81</v>
      </c>
      <c r="G596" s="60">
        <f>G280</f>
        <v>878.54917</v>
      </c>
      <c r="H596" s="60">
        <f>H280</f>
        <v>878.28216999999995</v>
      </c>
      <c r="I596" s="3">
        <f>I280</f>
        <v>99.969608986142461</v>
      </c>
    </row>
    <row r="597" spans="1:9" s="36" customFormat="1" x14ac:dyDescent="0.2">
      <c r="A597" s="34"/>
      <c r="B597" s="37"/>
      <c r="C597" s="23" t="s">
        <v>15</v>
      </c>
      <c r="D597" s="22" t="s">
        <v>37</v>
      </c>
      <c r="E597" s="23" t="s">
        <v>15</v>
      </c>
      <c r="F597" s="22" t="s">
        <v>37</v>
      </c>
      <c r="G597" s="60">
        <f>G131</f>
        <v>0</v>
      </c>
      <c r="H597" s="60">
        <f>H131</f>
        <v>0</v>
      </c>
      <c r="I597" s="3" t="e">
        <f>I131</f>
        <v>#DIV/0!</v>
      </c>
    </row>
    <row r="598" spans="1:9" s="36" customFormat="1" x14ac:dyDescent="0.2">
      <c r="A598" s="34"/>
      <c r="B598" s="35"/>
      <c r="C598" s="23" t="s">
        <v>15</v>
      </c>
      <c r="D598" s="22" t="s">
        <v>24</v>
      </c>
      <c r="E598" s="23" t="s">
        <v>15</v>
      </c>
      <c r="F598" s="22" t="s">
        <v>24</v>
      </c>
      <c r="G598" s="60">
        <f>G283</f>
        <v>998.40000000000009</v>
      </c>
      <c r="H598" s="60">
        <f>H283</f>
        <v>981.11583999999993</v>
      </c>
      <c r="I598" s="3">
        <f>I283</f>
        <v>98.268814102564079</v>
      </c>
    </row>
    <row r="599" spans="1:9" s="36" customFormat="1" ht="12.75" customHeight="1" x14ac:dyDescent="0.2">
      <c r="A599" s="34"/>
      <c r="B599" s="35"/>
      <c r="C599" s="207" t="s">
        <v>240</v>
      </c>
      <c r="D599" s="225"/>
      <c r="E599" s="207" t="s">
        <v>240</v>
      </c>
      <c r="F599" s="225"/>
      <c r="G599" s="60">
        <f t="shared" ref="G599:I600" si="149">G150</f>
        <v>888.8</v>
      </c>
      <c r="H599" s="60">
        <f t="shared" si="149"/>
        <v>888.8</v>
      </c>
      <c r="I599" s="3">
        <f t="shared" si="149"/>
        <v>100</v>
      </c>
    </row>
    <row r="600" spans="1:9" s="36" customFormat="1" ht="12.75" customHeight="1" x14ac:dyDescent="0.2">
      <c r="A600" s="34"/>
      <c r="B600" s="35"/>
      <c r="C600" s="23" t="s">
        <v>27</v>
      </c>
      <c r="D600" s="22" t="s">
        <v>6</v>
      </c>
      <c r="E600" s="23" t="s">
        <v>27</v>
      </c>
      <c r="F600" s="22" t="s">
        <v>6</v>
      </c>
      <c r="G600" s="60">
        <f t="shared" si="149"/>
        <v>888.8</v>
      </c>
      <c r="H600" s="60">
        <f t="shared" si="149"/>
        <v>888.8</v>
      </c>
      <c r="I600" s="3">
        <f t="shared" si="149"/>
        <v>100</v>
      </c>
    </row>
    <row r="601" spans="1:9" s="36" customFormat="1" ht="12.75" customHeight="1" x14ac:dyDescent="0.2">
      <c r="A601" s="34"/>
      <c r="B601" s="35"/>
      <c r="C601" s="207" t="s">
        <v>238</v>
      </c>
      <c r="D601" s="225"/>
      <c r="E601" s="207" t="s">
        <v>238</v>
      </c>
      <c r="F601" s="225"/>
      <c r="G601" s="60">
        <f>SUM(G602:G605)</f>
        <v>5896.4094699999996</v>
      </c>
      <c r="H601" s="60">
        <f t="shared" ref="H601:I601" si="150">SUM(H602:H605)</f>
        <v>4971.4908699999996</v>
      </c>
      <c r="I601" s="3">
        <f t="shared" si="150"/>
        <v>257.38794870871652</v>
      </c>
    </row>
    <row r="602" spans="1:9" s="36" customFormat="1" ht="12.75" customHeight="1" x14ac:dyDescent="0.2">
      <c r="A602" s="34"/>
      <c r="B602" s="35"/>
      <c r="C602" s="23" t="s">
        <v>6</v>
      </c>
      <c r="D602" s="22" t="s">
        <v>27</v>
      </c>
      <c r="E602" s="23" t="s">
        <v>6</v>
      </c>
      <c r="F602" s="22" t="s">
        <v>27</v>
      </c>
      <c r="G602" s="60"/>
      <c r="H602" s="60"/>
      <c r="I602" s="3"/>
    </row>
    <row r="603" spans="1:9" s="36" customFormat="1" ht="12.75" customHeight="1" x14ac:dyDescent="0.2">
      <c r="A603" s="34"/>
      <c r="B603" s="35"/>
      <c r="C603" s="23"/>
      <c r="D603" s="22"/>
      <c r="E603" s="23" t="s">
        <v>6</v>
      </c>
      <c r="F603" s="22" t="s">
        <v>54</v>
      </c>
      <c r="G603" s="60">
        <f>G157</f>
        <v>667</v>
      </c>
      <c r="H603" s="60">
        <f>H157</f>
        <v>667</v>
      </c>
      <c r="I603" s="3">
        <f>I157</f>
        <v>100</v>
      </c>
    </row>
    <row r="604" spans="1:9" s="36" customFormat="1" ht="12.75" customHeight="1" x14ac:dyDescent="0.2">
      <c r="A604" s="34"/>
      <c r="B604" s="35"/>
      <c r="C604" s="23" t="s">
        <v>6</v>
      </c>
      <c r="D604" s="22" t="s">
        <v>68</v>
      </c>
      <c r="E604" s="23" t="s">
        <v>6</v>
      </c>
      <c r="F604" s="22" t="s">
        <v>68</v>
      </c>
      <c r="G604" s="60">
        <f>G309</f>
        <v>5203.4494699999996</v>
      </c>
      <c r="H604" s="60">
        <f>H309</f>
        <v>4285.0108700000001</v>
      </c>
      <c r="I604" s="3">
        <f>I309</f>
        <v>82.349427907483857</v>
      </c>
    </row>
    <row r="605" spans="1:9" ht="12.75" customHeight="1" x14ac:dyDescent="0.2">
      <c r="A605" s="33"/>
      <c r="B605" s="35"/>
      <c r="C605" s="23" t="s">
        <v>6</v>
      </c>
      <c r="D605" s="22" t="s">
        <v>7</v>
      </c>
      <c r="E605" s="23" t="s">
        <v>6</v>
      </c>
      <c r="F605" s="22" t="s">
        <v>7</v>
      </c>
      <c r="G605" s="60">
        <f>G325</f>
        <v>25.96</v>
      </c>
      <c r="H605" s="60">
        <f>H325</f>
        <v>19.48</v>
      </c>
      <c r="I605" s="3">
        <f>I325</f>
        <v>75.038520801232664</v>
      </c>
    </row>
    <row r="606" spans="1:9" ht="12.75" customHeight="1" x14ac:dyDescent="0.2">
      <c r="A606" s="33"/>
      <c r="B606" s="35"/>
      <c r="C606" s="207" t="s">
        <v>236</v>
      </c>
      <c r="D606" s="225"/>
      <c r="E606" s="207" t="s">
        <v>236</v>
      </c>
      <c r="F606" s="225"/>
      <c r="G606" s="60">
        <f>SUM(G607:G611)</f>
        <v>32244.935799999999</v>
      </c>
      <c r="H606" s="60">
        <f t="shared" ref="H606:I606" si="151">SUM(H607:H611)</f>
        <v>26823.710310000002</v>
      </c>
      <c r="I606" s="3">
        <f t="shared" si="151"/>
        <v>552.72723553762535</v>
      </c>
    </row>
    <row r="607" spans="1:9" ht="12.75" customHeight="1" x14ac:dyDescent="0.2">
      <c r="A607" s="33"/>
      <c r="B607" s="35"/>
      <c r="C607" s="23" t="s">
        <v>59</v>
      </c>
      <c r="D607" s="22" t="s">
        <v>15</v>
      </c>
      <c r="E607" s="23" t="s">
        <v>59</v>
      </c>
      <c r="F607" s="22" t="s">
        <v>15</v>
      </c>
      <c r="G607" s="60"/>
      <c r="H607" s="60"/>
      <c r="I607" s="3"/>
    </row>
    <row r="608" spans="1:9" ht="12.75" customHeight="1" x14ac:dyDescent="0.2">
      <c r="A608" s="33"/>
      <c r="B608" s="35"/>
      <c r="C608" s="23" t="s">
        <v>59</v>
      </c>
      <c r="D608" s="22" t="s">
        <v>36</v>
      </c>
      <c r="E608" s="23" t="s">
        <v>59</v>
      </c>
      <c r="F608" s="22" t="s">
        <v>36</v>
      </c>
      <c r="G608" s="60">
        <f>G334</f>
        <v>767</v>
      </c>
      <c r="H608" s="60">
        <f>H334</f>
        <v>767</v>
      </c>
      <c r="I608" s="3">
        <f>I334</f>
        <v>100</v>
      </c>
    </row>
    <row r="609" spans="1:9" ht="12.75" customHeight="1" x14ac:dyDescent="0.2">
      <c r="A609" s="33"/>
      <c r="B609" s="35"/>
      <c r="C609" s="23"/>
      <c r="D609" s="22"/>
      <c r="E609" s="23" t="s">
        <v>59</v>
      </c>
      <c r="F609" s="22" t="s">
        <v>54</v>
      </c>
      <c r="G609" s="60">
        <f>G354</f>
        <v>380</v>
      </c>
      <c r="H609" s="60">
        <f>H354</f>
        <v>380</v>
      </c>
      <c r="I609" s="3">
        <f>I354</f>
        <v>100</v>
      </c>
    </row>
    <row r="610" spans="1:9" ht="12.75" customHeight="1" x14ac:dyDescent="0.2">
      <c r="A610" s="33"/>
      <c r="B610" s="35"/>
      <c r="C610" s="23" t="s">
        <v>59</v>
      </c>
      <c r="D610" s="22" t="s">
        <v>68</v>
      </c>
      <c r="E610" s="23" t="s">
        <v>59</v>
      </c>
      <c r="F610" s="22" t="s">
        <v>68</v>
      </c>
      <c r="G610" s="60">
        <f>G343+G163</f>
        <v>15289.57402</v>
      </c>
      <c r="H610" s="60">
        <f>H343+H163</f>
        <v>9927.0997499999994</v>
      </c>
      <c r="I610" s="3">
        <f>I343+I163</f>
        <v>153.18505727394199</v>
      </c>
    </row>
    <row r="611" spans="1:9" ht="12.75" customHeight="1" x14ac:dyDescent="0.2">
      <c r="A611" s="33"/>
      <c r="B611" s="35"/>
      <c r="C611" s="23" t="s">
        <v>59</v>
      </c>
      <c r="D611" s="22" t="s">
        <v>28</v>
      </c>
      <c r="E611" s="23" t="s">
        <v>59</v>
      </c>
      <c r="F611" s="22" t="s">
        <v>28</v>
      </c>
      <c r="G611" s="60">
        <f>G359+G173</f>
        <v>15808.361779999999</v>
      </c>
      <c r="H611" s="60">
        <f t="shared" ref="H611:I611" si="152">H359+H173</f>
        <v>15749.610560000001</v>
      </c>
      <c r="I611" s="3">
        <f t="shared" si="152"/>
        <v>199.54217826368335</v>
      </c>
    </row>
    <row r="612" spans="1:9" ht="12.75" customHeight="1" x14ac:dyDescent="0.2">
      <c r="A612" s="33"/>
      <c r="B612" s="35"/>
      <c r="C612" s="207" t="s">
        <v>232</v>
      </c>
      <c r="D612" s="225"/>
      <c r="E612" s="207" t="s">
        <v>232</v>
      </c>
      <c r="F612" s="225"/>
      <c r="G612" s="60">
        <f>SUM(G613:G615)</f>
        <v>29287.436070000003</v>
      </c>
      <c r="H612" s="60">
        <f t="shared" ref="H612:I612" si="153">SUM(H613:H615)</f>
        <v>28967.594830000002</v>
      </c>
      <c r="I612" s="3">
        <f t="shared" si="153"/>
        <v>497.67537617935233</v>
      </c>
    </row>
    <row r="613" spans="1:9" ht="12.75" customHeight="1" x14ac:dyDescent="0.2">
      <c r="A613" s="33"/>
      <c r="B613" s="35"/>
      <c r="C613" s="23" t="s">
        <v>36</v>
      </c>
      <c r="D613" s="22" t="s">
        <v>15</v>
      </c>
      <c r="E613" s="23" t="s">
        <v>36</v>
      </c>
      <c r="F613" s="22" t="s">
        <v>15</v>
      </c>
      <c r="G613" s="60">
        <f>G394</f>
        <v>10.79532</v>
      </c>
      <c r="H613" s="60">
        <f>H394</f>
        <v>10.79532</v>
      </c>
      <c r="I613" s="3">
        <f>I394</f>
        <v>100</v>
      </c>
    </row>
    <row r="614" spans="1:9" ht="12.75" customHeight="1" x14ac:dyDescent="0.2">
      <c r="A614" s="33"/>
      <c r="B614" s="35"/>
      <c r="C614" s="23" t="s">
        <v>36</v>
      </c>
      <c r="D614" s="22" t="s">
        <v>27</v>
      </c>
      <c r="E614" s="23" t="s">
        <v>36</v>
      </c>
      <c r="F614" s="22" t="s">
        <v>27</v>
      </c>
      <c r="G614" s="60">
        <f>G399+G181</f>
        <v>27831.406750000002</v>
      </c>
      <c r="H614" s="60">
        <f>H399+H181</f>
        <v>27515.770510000002</v>
      </c>
      <c r="I614" s="3">
        <f>I399+I181</f>
        <v>198.81803922283058</v>
      </c>
    </row>
    <row r="615" spans="1:9" ht="12.75" customHeight="1" x14ac:dyDescent="0.2">
      <c r="A615" s="33"/>
      <c r="B615" s="35"/>
      <c r="C615" s="23" t="s">
        <v>36</v>
      </c>
      <c r="D615" s="22" t="s">
        <v>6</v>
      </c>
      <c r="E615" s="23" t="s">
        <v>36</v>
      </c>
      <c r="F615" s="22" t="s">
        <v>6</v>
      </c>
      <c r="G615" s="60">
        <f>G429+G189</f>
        <v>1445.2339999999999</v>
      </c>
      <c r="H615" s="60">
        <f>H429+H189</f>
        <v>1441.029</v>
      </c>
      <c r="I615" s="3">
        <f>I429+I189</f>
        <v>198.85733695652175</v>
      </c>
    </row>
    <row r="616" spans="1:9" ht="12.75" customHeight="1" x14ac:dyDescent="0.2">
      <c r="A616" s="33"/>
      <c r="B616" s="35"/>
      <c r="C616" s="209" t="s">
        <v>229</v>
      </c>
      <c r="D616" s="226"/>
      <c r="E616" s="209" t="s">
        <v>229</v>
      </c>
      <c r="F616" s="226"/>
      <c r="G616" s="60"/>
      <c r="H616" s="60"/>
      <c r="I616" s="3"/>
    </row>
    <row r="617" spans="1:9" ht="12.75" customHeight="1" x14ac:dyDescent="0.2">
      <c r="A617" s="33"/>
      <c r="B617" s="35"/>
      <c r="C617" s="23" t="s">
        <v>53</v>
      </c>
      <c r="D617" s="22" t="s">
        <v>36</v>
      </c>
      <c r="E617" s="23" t="s">
        <v>53</v>
      </c>
      <c r="F617" s="22" t="s">
        <v>36</v>
      </c>
      <c r="G617" s="60"/>
      <c r="H617" s="60"/>
      <c r="I617" s="3"/>
    </row>
    <row r="618" spans="1:9" ht="12.75" customHeight="1" x14ac:dyDescent="0.2">
      <c r="A618" s="33"/>
      <c r="B618" s="35"/>
      <c r="C618" s="207" t="s">
        <v>226</v>
      </c>
      <c r="D618" s="225"/>
      <c r="E618" s="207" t="s">
        <v>226</v>
      </c>
      <c r="F618" s="225"/>
      <c r="G618" s="60">
        <f>SUM(G619:G624)</f>
        <v>410890.69331</v>
      </c>
      <c r="H618" s="60">
        <f>SUM(H619:H624)</f>
        <v>405813.78843999997</v>
      </c>
      <c r="I618" s="3">
        <f>SUM(I619:I624)</f>
        <v>1254.3312868006833</v>
      </c>
    </row>
    <row r="619" spans="1:9" ht="12.75" customHeight="1" x14ac:dyDescent="0.2">
      <c r="A619" s="33"/>
      <c r="B619" s="35"/>
      <c r="C619" s="23" t="s">
        <v>81</v>
      </c>
      <c r="D619" s="22" t="s">
        <v>15</v>
      </c>
      <c r="E619" s="23" t="s">
        <v>81</v>
      </c>
      <c r="F619" s="22" t="s">
        <v>15</v>
      </c>
      <c r="G619" s="60">
        <f>G11+G436</f>
        <v>79352.206770000004</v>
      </c>
      <c r="H619" s="60">
        <f>H11+H436</f>
        <v>79264.328770000007</v>
      </c>
      <c r="I619" s="3">
        <f>I11+I436</f>
        <v>181.83881060928582</v>
      </c>
    </row>
    <row r="620" spans="1:9" ht="12.75" customHeight="1" x14ac:dyDescent="0.2">
      <c r="A620" s="33"/>
      <c r="B620" s="35"/>
      <c r="C620" s="23" t="s">
        <v>81</v>
      </c>
      <c r="D620" s="22" t="s">
        <v>27</v>
      </c>
      <c r="E620" s="23" t="s">
        <v>81</v>
      </c>
      <c r="F620" s="22" t="s">
        <v>27</v>
      </c>
      <c r="G620" s="60">
        <f>G26+G441</f>
        <v>283219.85339</v>
      </c>
      <c r="H620" s="60">
        <f>H26+H441</f>
        <v>278233.83867999999</v>
      </c>
      <c r="I620" s="3">
        <f>I26+I441</f>
        <v>172.51159438861862</v>
      </c>
    </row>
    <row r="621" spans="1:9" ht="12.75" customHeight="1" x14ac:dyDescent="0.2">
      <c r="A621" s="33"/>
      <c r="B621" s="35"/>
      <c r="C621" s="23" t="s">
        <v>81</v>
      </c>
      <c r="D621" s="22" t="s">
        <v>6</v>
      </c>
      <c r="E621" s="23" t="s">
        <v>81</v>
      </c>
      <c r="F621" s="22" t="s">
        <v>6</v>
      </c>
      <c r="G621" s="60">
        <f>G51+G506</f>
        <v>30730.651010000001</v>
      </c>
      <c r="H621" s="60">
        <f>H51+H506</f>
        <v>30730.651010000001</v>
      </c>
      <c r="I621" s="3">
        <f>I51+I506</f>
        <v>200</v>
      </c>
    </row>
    <row r="622" spans="1:9" ht="12.75" customHeight="1" x14ac:dyDescent="0.2">
      <c r="A622" s="33"/>
      <c r="B622" s="35"/>
      <c r="C622" s="23" t="s">
        <v>81</v>
      </c>
      <c r="D622" s="22" t="s">
        <v>36</v>
      </c>
      <c r="E622" s="23" t="s">
        <v>81</v>
      </c>
      <c r="F622" s="22" t="s">
        <v>36</v>
      </c>
      <c r="G622" s="60">
        <f>G62+G138+G448+G519</f>
        <v>75</v>
      </c>
      <c r="H622" s="60">
        <f>H62+H138+H448+H519</f>
        <v>75</v>
      </c>
      <c r="I622" s="3">
        <f>I62+I138+I448+I519</f>
        <v>400</v>
      </c>
    </row>
    <row r="623" spans="1:9" ht="12.75" customHeight="1" x14ac:dyDescent="0.2">
      <c r="A623" s="33"/>
      <c r="B623" s="35"/>
      <c r="C623" s="23" t="s">
        <v>81</v>
      </c>
      <c r="D623" s="22" t="s">
        <v>81</v>
      </c>
      <c r="E623" s="23" t="s">
        <v>81</v>
      </c>
      <c r="F623" s="22" t="s">
        <v>81</v>
      </c>
      <c r="G623" s="60">
        <f>G67+G525</f>
        <v>1757.5216999999998</v>
      </c>
      <c r="H623" s="60">
        <f>H67+H525</f>
        <v>1757.5216999999998</v>
      </c>
      <c r="I623" s="3">
        <f>I67+I525</f>
        <v>200</v>
      </c>
    </row>
    <row r="624" spans="1:9" ht="12.75" customHeight="1" x14ac:dyDescent="0.2">
      <c r="A624" s="33"/>
      <c r="B624" s="35"/>
      <c r="C624" s="23" t="s">
        <v>81</v>
      </c>
      <c r="D624" s="22" t="s">
        <v>68</v>
      </c>
      <c r="E624" s="23" t="s">
        <v>81</v>
      </c>
      <c r="F624" s="22" t="s">
        <v>68</v>
      </c>
      <c r="G624" s="60">
        <f>G75</f>
        <v>15755.460439999999</v>
      </c>
      <c r="H624" s="60">
        <f>H75</f>
        <v>15752.448280000001</v>
      </c>
      <c r="I624" s="3">
        <f>I75</f>
        <v>99.980881802778981</v>
      </c>
    </row>
    <row r="625" spans="1:9" ht="12.75" customHeight="1" x14ac:dyDescent="0.2">
      <c r="A625" s="33"/>
      <c r="B625" s="35"/>
      <c r="C625" s="207" t="s">
        <v>223</v>
      </c>
      <c r="D625" s="225"/>
      <c r="E625" s="207" t="s">
        <v>223</v>
      </c>
      <c r="F625" s="225"/>
      <c r="G625" s="60">
        <f>SUM(G626:G627)</f>
        <v>50835.301370000001</v>
      </c>
      <c r="H625" s="60">
        <f t="shared" ref="H625:I625" si="154">SUM(H626:H627)</f>
        <v>50835.301370000001</v>
      </c>
      <c r="I625" s="3">
        <f t="shared" si="154"/>
        <v>400</v>
      </c>
    </row>
    <row r="626" spans="1:9" ht="12.75" customHeight="1" x14ac:dyDescent="0.2">
      <c r="A626" s="33"/>
      <c r="B626" s="35"/>
      <c r="C626" s="23" t="s">
        <v>73</v>
      </c>
      <c r="D626" s="22" t="s">
        <v>15</v>
      </c>
      <c r="E626" s="23" t="s">
        <v>73</v>
      </c>
      <c r="F626" s="22" t="s">
        <v>15</v>
      </c>
      <c r="G626" s="60">
        <f>G531+G202+G455</f>
        <v>47491.564230000004</v>
      </c>
      <c r="H626" s="60">
        <f>H531+H202+H455</f>
        <v>47491.564230000004</v>
      </c>
      <c r="I626" s="3">
        <f>I531+I202+I455</f>
        <v>300</v>
      </c>
    </row>
    <row r="627" spans="1:9" ht="12.75" customHeight="1" x14ac:dyDescent="0.2">
      <c r="A627" s="33"/>
      <c r="B627" s="35"/>
      <c r="C627" s="23" t="s">
        <v>73</v>
      </c>
      <c r="D627" s="22" t="s">
        <v>59</v>
      </c>
      <c r="E627" s="23" t="s">
        <v>73</v>
      </c>
      <c r="F627" s="22" t="s">
        <v>59</v>
      </c>
      <c r="G627" s="60">
        <f>G551</f>
        <v>3343.7371399999997</v>
      </c>
      <c r="H627" s="60">
        <f>H551</f>
        <v>3343.7371399999997</v>
      </c>
      <c r="I627" s="3">
        <f>I551</f>
        <v>100</v>
      </c>
    </row>
    <row r="628" spans="1:9" ht="12.75" customHeight="1" x14ac:dyDescent="0.2">
      <c r="A628" s="33"/>
      <c r="B628" s="35"/>
      <c r="C628" s="207" t="s">
        <v>220</v>
      </c>
      <c r="D628" s="225"/>
      <c r="E628" s="207" t="s">
        <v>220</v>
      </c>
      <c r="F628" s="225"/>
      <c r="G628" s="60"/>
      <c r="H628" s="60"/>
      <c r="I628" s="3"/>
    </row>
    <row r="629" spans="1:9" ht="12.75" customHeight="1" x14ac:dyDescent="0.2">
      <c r="A629" s="33"/>
      <c r="B629" s="35"/>
      <c r="C629" s="23" t="s">
        <v>68</v>
      </c>
      <c r="D629" s="22" t="s">
        <v>15</v>
      </c>
      <c r="E629" s="23" t="s">
        <v>68</v>
      </c>
      <c r="F629" s="22" t="s">
        <v>15</v>
      </c>
      <c r="G629" s="60"/>
      <c r="H629" s="60"/>
      <c r="I629" s="3"/>
    </row>
    <row r="630" spans="1:9" ht="12.75" customHeight="1" x14ac:dyDescent="0.2">
      <c r="A630" s="33"/>
      <c r="B630" s="35"/>
      <c r="C630" s="23" t="s">
        <v>68</v>
      </c>
      <c r="D630" s="22" t="s">
        <v>27</v>
      </c>
      <c r="E630" s="23" t="s">
        <v>68</v>
      </c>
      <c r="F630" s="22" t="s">
        <v>27</v>
      </c>
      <c r="G630" s="60"/>
      <c r="H630" s="60"/>
      <c r="I630" s="3"/>
    </row>
    <row r="631" spans="1:9" ht="12.75" customHeight="1" x14ac:dyDescent="0.2">
      <c r="A631" s="33"/>
      <c r="B631" s="35"/>
      <c r="C631" s="23" t="s">
        <v>68</v>
      </c>
      <c r="D631" s="22" t="s">
        <v>59</v>
      </c>
      <c r="E631" s="23" t="s">
        <v>68</v>
      </c>
      <c r="F631" s="22" t="s">
        <v>59</v>
      </c>
      <c r="G631" s="60"/>
      <c r="H631" s="60"/>
      <c r="I631" s="3"/>
    </row>
    <row r="632" spans="1:9" ht="12.75" customHeight="1" x14ac:dyDescent="0.2">
      <c r="A632" s="33"/>
      <c r="B632" s="35"/>
      <c r="C632" s="23" t="s">
        <v>68</v>
      </c>
      <c r="D632" s="22" t="s">
        <v>68</v>
      </c>
      <c r="E632" s="23" t="s">
        <v>68</v>
      </c>
      <c r="F632" s="22" t="s">
        <v>68</v>
      </c>
      <c r="G632" s="60"/>
      <c r="H632" s="60"/>
      <c r="I632" s="3"/>
    </row>
    <row r="633" spans="1:9" ht="12.75" customHeight="1" x14ac:dyDescent="0.2">
      <c r="A633" s="33"/>
      <c r="B633" s="35"/>
      <c r="C633" s="207" t="s">
        <v>217</v>
      </c>
      <c r="D633" s="225"/>
      <c r="E633" s="207" t="s">
        <v>217</v>
      </c>
      <c r="F633" s="225"/>
      <c r="G633" s="60">
        <f>G103+G462+G568</f>
        <v>8428.4257500000003</v>
      </c>
      <c r="H633" s="60">
        <f>H103+H462+H568</f>
        <v>8428.4257500000003</v>
      </c>
      <c r="I633" s="3">
        <f>I103+I462+I568</f>
        <v>300</v>
      </c>
    </row>
    <row r="634" spans="1:9" ht="12.75" customHeight="1" x14ac:dyDescent="0.2">
      <c r="A634" s="33"/>
      <c r="B634" s="35"/>
      <c r="C634" s="23" t="s">
        <v>54</v>
      </c>
      <c r="D634" s="22" t="s">
        <v>15</v>
      </c>
      <c r="E634" s="23" t="s">
        <v>54</v>
      </c>
      <c r="F634" s="22" t="s">
        <v>15</v>
      </c>
      <c r="G634" s="60">
        <f>G463</f>
        <v>675.72936000000004</v>
      </c>
      <c r="H634" s="60">
        <f>H463</f>
        <v>675.72936000000004</v>
      </c>
      <c r="I634" s="3">
        <f>I463</f>
        <v>100</v>
      </c>
    </row>
    <row r="635" spans="1:9" ht="12.75" customHeight="1" x14ac:dyDescent="0.2">
      <c r="A635" s="33"/>
      <c r="B635" s="35"/>
      <c r="C635" s="23" t="s">
        <v>54</v>
      </c>
      <c r="D635" s="22" t="s">
        <v>27</v>
      </c>
      <c r="E635" s="23" t="s">
        <v>54</v>
      </c>
      <c r="F635" s="22" t="s">
        <v>27</v>
      </c>
      <c r="G635" s="60"/>
      <c r="H635" s="60"/>
      <c r="I635" s="3"/>
    </row>
    <row r="636" spans="1:9" ht="12.75" customHeight="1" x14ac:dyDescent="0.2">
      <c r="A636" s="33"/>
      <c r="B636" s="35"/>
      <c r="C636" s="23" t="s">
        <v>54</v>
      </c>
      <c r="D636" s="22" t="s">
        <v>6</v>
      </c>
      <c r="E636" s="23" t="s">
        <v>54</v>
      </c>
      <c r="F636" s="22" t="s">
        <v>6</v>
      </c>
      <c r="G636" s="60">
        <f>G468</f>
        <v>5002.25713</v>
      </c>
      <c r="H636" s="60">
        <f>H468</f>
        <v>5002.25713</v>
      </c>
      <c r="I636" s="3">
        <f>I468</f>
        <v>100</v>
      </c>
    </row>
    <row r="637" spans="1:9" ht="12.75" customHeight="1" x14ac:dyDescent="0.2">
      <c r="A637" s="33"/>
      <c r="B637" s="35"/>
      <c r="C637" s="23" t="s">
        <v>54</v>
      </c>
      <c r="D637" s="22" t="s">
        <v>59</v>
      </c>
      <c r="E637" s="23" t="s">
        <v>54</v>
      </c>
      <c r="F637" s="22" t="s">
        <v>59</v>
      </c>
      <c r="G637" s="60">
        <f>G104</f>
        <v>2569.1760000000004</v>
      </c>
      <c r="H637" s="60">
        <f>H104</f>
        <v>2569.1760000000004</v>
      </c>
      <c r="I637" s="3">
        <f>I104</f>
        <v>100</v>
      </c>
    </row>
    <row r="638" spans="1:9" ht="12.75" customHeight="1" x14ac:dyDescent="0.2">
      <c r="A638" s="33"/>
      <c r="B638" s="35"/>
      <c r="C638" s="23" t="s">
        <v>54</v>
      </c>
      <c r="D638" s="22" t="s">
        <v>53</v>
      </c>
      <c r="E638" s="23" t="s">
        <v>54</v>
      </c>
      <c r="F638" s="22" t="s">
        <v>53</v>
      </c>
      <c r="G638" s="60">
        <f>G569</f>
        <v>181.26326</v>
      </c>
      <c r="H638" s="60">
        <f>H569</f>
        <v>181.26326</v>
      </c>
      <c r="I638" s="3">
        <f>I569</f>
        <v>100</v>
      </c>
    </row>
    <row r="639" spans="1:9" ht="12.75" customHeight="1" x14ac:dyDescent="0.2">
      <c r="A639" s="33"/>
      <c r="B639" s="35"/>
      <c r="C639" s="207" t="s">
        <v>213</v>
      </c>
      <c r="D639" s="225"/>
      <c r="E639" s="207" t="s">
        <v>213</v>
      </c>
      <c r="F639" s="225"/>
      <c r="G639" s="60">
        <f>SUM(G640:G641)</f>
        <v>1910.6</v>
      </c>
      <c r="H639" s="60">
        <f t="shared" ref="H639:I639" si="155">SUM(H640:H641)</f>
        <v>1910.6</v>
      </c>
      <c r="I639" s="3">
        <f t="shared" si="155"/>
        <v>200</v>
      </c>
    </row>
    <row r="640" spans="1:9" ht="12.75" customHeight="1" x14ac:dyDescent="0.2">
      <c r="A640" s="33"/>
      <c r="B640" s="35"/>
      <c r="C640" s="23" t="s">
        <v>37</v>
      </c>
      <c r="D640" s="22" t="s">
        <v>15</v>
      </c>
      <c r="E640" s="23" t="s">
        <v>37</v>
      </c>
      <c r="F640" s="22" t="s">
        <v>15</v>
      </c>
      <c r="G640" s="60">
        <f>G578+G212</f>
        <v>1910.6</v>
      </c>
      <c r="H640" s="60">
        <f>H578+H212</f>
        <v>1910.6</v>
      </c>
      <c r="I640" s="3">
        <f>I578+I212</f>
        <v>200</v>
      </c>
    </row>
    <row r="641" spans="1:9" ht="12.75" customHeight="1" x14ac:dyDescent="0.2">
      <c r="A641" s="33"/>
      <c r="B641" s="35"/>
      <c r="C641" s="25" t="s">
        <v>37</v>
      </c>
      <c r="D641" s="23" t="s">
        <v>36</v>
      </c>
      <c r="E641" s="25" t="s">
        <v>37</v>
      </c>
      <c r="F641" s="23" t="s">
        <v>36</v>
      </c>
      <c r="G641" s="60"/>
      <c r="H641" s="60"/>
      <c r="I641" s="3"/>
    </row>
    <row r="642" spans="1:9" ht="12.75" customHeight="1" x14ac:dyDescent="0.2">
      <c r="A642" s="33"/>
      <c r="B642" s="35"/>
      <c r="C642" s="207" t="s">
        <v>211</v>
      </c>
      <c r="D642" s="225"/>
      <c r="E642" s="207" t="s">
        <v>211</v>
      </c>
      <c r="F642" s="225"/>
      <c r="G642" s="60">
        <f t="shared" ref="G642:I643" si="156">G490</f>
        <v>1729.92</v>
      </c>
      <c r="H642" s="60">
        <f t="shared" si="156"/>
        <v>1729.92</v>
      </c>
      <c r="I642" s="3">
        <f t="shared" si="156"/>
        <v>100</v>
      </c>
    </row>
    <row r="643" spans="1:9" ht="12.75" customHeight="1" x14ac:dyDescent="0.2">
      <c r="A643" s="33"/>
      <c r="B643" s="35"/>
      <c r="C643" s="23" t="s">
        <v>28</v>
      </c>
      <c r="D643" s="22" t="s">
        <v>27</v>
      </c>
      <c r="E643" s="23" t="s">
        <v>28</v>
      </c>
      <c r="F643" s="22" t="s">
        <v>27</v>
      </c>
      <c r="G643" s="60">
        <f t="shared" si="156"/>
        <v>1729.92</v>
      </c>
      <c r="H643" s="60">
        <f t="shared" si="156"/>
        <v>1729.92</v>
      </c>
      <c r="I643" s="3">
        <f t="shared" si="156"/>
        <v>100</v>
      </c>
    </row>
    <row r="644" spans="1:9" ht="12.75" customHeight="1" x14ac:dyDescent="0.2">
      <c r="A644" s="33"/>
      <c r="B644" s="35"/>
      <c r="C644" s="207" t="s">
        <v>209</v>
      </c>
      <c r="D644" s="225"/>
      <c r="E644" s="207" t="s">
        <v>209</v>
      </c>
      <c r="F644" s="225"/>
      <c r="G644" s="60">
        <f t="shared" ref="G644:I645" si="157">G143+G498</f>
        <v>2.0076200000000002</v>
      </c>
      <c r="H644" s="60">
        <f t="shared" si="157"/>
        <v>2.0076200000000002</v>
      </c>
      <c r="I644" s="3">
        <f t="shared" si="157"/>
        <v>200</v>
      </c>
    </row>
    <row r="645" spans="1:9" ht="12.75" customHeight="1" x14ac:dyDescent="0.2">
      <c r="A645" s="33"/>
      <c r="B645" s="35"/>
      <c r="C645" s="23" t="s">
        <v>24</v>
      </c>
      <c r="D645" s="22" t="s">
        <v>15</v>
      </c>
      <c r="E645" s="23" t="s">
        <v>24</v>
      </c>
      <c r="F645" s="22" t="s">
        <v>15</v>
      </c>
      <c r="G645" s="60">
        <f t="shared" si="157"/>
        <v>2.0076200000000002</v>
      </c>
      <c r="H645" s="60">
        <f t="shared" si="157"/>
        <v>2.0076200000000002</v>
      </c>
      <c r="I645" s="3">
        <f t="shared" si="157"/>
        <v>200</v>
      </c>
    </row>
    <row r="646" spans="1:9" ht="12.75" customHeight="1" x14ac:dyDescent="0.2">
      <c r="A646" s="33"/>
      <c r="B646" s="35"/>
      <c r="C646" s="207" t="s">
        <v>207</v>
      </c>
      <c r="D646" s="225"/>
      <c r="E646" s="207" t="s">
        <v>207</v>
      </c>
      <c r="F646" s="225"/>
      <c r="G646" s="60">
        <f t="shared" ref="G646:I647" si="158">G217</f>
        <v>40742.984970000005</v>
      </c>
      <c r="H646" s="60">
        <f t="shared" si="158"/>
        <v>40742.984970000005</v>
      </c>
      <c r="I646" s="3">
        <f t="shared" si="158"/>
        <v>100</v>
      </c>
    </row>
    <row r="647" spans="1:9" ht="12.75" customHeight="1" x14ac:dyDescent="0.2">
      <c r="A647" s="33"/>
      <c r="B647" s="35"/>
      <c r="C647" s="23" t="s">
        <v>7</v>
      </c>
      <c r="D647" s="22" t="s">
        <v>15</v>
      </c>
      <c r="E647" s="23" t="s">
        <v>7</v>
      </c>
      <c r="F647" s="22" t="s">
        <v>15</v>
      </c>
      <c r="G647" s="60">
        <f t="shared" si="158"/>
        <v>25970</v>
      </c>
      <c r="H647" s="60">
        <f t="shared" si="158"/>
        <v>25970</v>
      </c>
      <c r="I647" s="3">
        <f t="shared" si="158"/>
        <v>100</v>
      </c>
    </row>
    <row r="648" spans="1:9" ht="12.75" customHeight="1" x14ac:dyDescent="0.2">
      <c r="A648" s="33"/>
      <c r="B648" s="35"/>
      <c r="C648" s="23" t="s">
        <v>7</v>
      </c>
      <c r="D648" s="22" t="s">
        <v>6</v>
      </c>
      <c r="E648" s="23" t="s">
        <v>7</v>
      </c>
      <c r="F648" s="22" t="s">
        <v>6</v>
      </c>
      <c r="G648" s="60">
        <f>G225</f>
        <v>14772.984970000001</v>
      </c>
      <c r="H648" s="60">
        <f>H225</f>
        <v>14772.984970000001</v>
      </c>
      <c r="I648" s="3">
        <f>I225</f>
        <v>100</v>
      </c>
    </row>
    <row r="649" spans="1:9" ht="12.75" customHeight="1" x14ac:dyDescent="0.2">
      <c r="A649" s="33"/>
      <c r="B649" s="35"/>
      <c r="C649" s="23" t="s">
        <v>263</v>
      </c>
      <c r="D649" s="22" t="s">
        <v>263</v>
      </c>
      <c r="E649" s="23" t="s">
        <v>263</v>
      </c>
      <c r="F649" s="22" t="s">
        <v>263</v>
      </c>
      <c r="G649" s="60"/>
      <c r="H649" s="60"/>
      <c r="I649" s="3"/>
    </row>
    <row r="650" spans="1:9" ht="12.75" customHeight="1" x14ac:dyDescent="0.2">
      <c r="A650" s="33"/>
      <c r="B650" s="35"/>
      <c r="C650" s="35"/>
      <c r="D650" s="35"/>
      <c r="E650" s="83"/>
      <c r="F650" s="19"/>
      <c r="G650" s="60">
        <f>G590+G599+G601+G606+G612+G616+G618+G625+G628+G633+G639+G642+G644+G646+G649</f>
        <v>612235.64568000007</v>
      </c>
      <c r="H650" s="60">
        <f t="shared" ref="H650:I650" si="159">H590+H599+H601+H606+H612+H616+H618+H625+H628+H633+H639+H642+H644+H646+H649</f>
        <v>600302.3194700001</v>
      </c>
      <c r="I650" s="3" t="e">
        <f t="shared" si="159"/>
        <v>#DIV/0!</v>
      </c>
    </row>
    <row r="651" spans="1:9" ht="12.75" customHeight="1" x14ac:dyDescent="0.2">
      <c r="A651" s="33"/>
      <c r="G651" s="61">
        <f>G587-G650</f>
        <v>0</v>
      </c>
      <c r="H651" s="61">
        <f t="shared" ref="H651:I651" si="160">H587-H650</f>
        <v>0</v>
      </c>
      <c r="I651" s="2" t="e">
        <f t="shared" si="160"/>
        <v>#DIV/0!</v>
      </c>
    </row>
    <row r="653" spans="1:9" x14ac:dyDescent="0.2">
      <c r="E653" s="68" t="s">
        <v>412</v>
      </c>
      <c r="F653" s="69"/>
      <c r="G653" s="60">
        <f>G247</f>
        <v>14865.50229</v>
      </c>
      <c r="H653" s="60">
        <f>H247</f>
        <v>14816.481270000002</v>
      </c>
      <c r="I653" s="3">
        <f>I247</f>
        <v>99.670236369793074</v>
      </c>
    </row>
    <row r="654" spans="1:9" x14ac:dyDescent="0.2">
      <c r="E654" s="68" t="s">
        <v>64</v>
      </c>
      <c r="F654" s="69"/>
      <c r="G654" s="60">
        <f>G335+G400+G469</f>
        <v>14107.91877</v>
      </c>
      <c r="H654" s="60">
        <f t="shared" ref="H654:I654" si="161">H335+H400+H469</f>
        <v>14107.91877</v>
      </c>
      <c r="I654" s="3">
        <f t="shared" si="161"/>
        <v>300</v>
      </c>
    </row>
    <row r="655" spans="1:9" x14ac:dyDescent="0.2">
      <c r="E655" s="68" t="s">
        <v>31</v>
      </c>
      <c r="F655" s="69"/>
      <c r="G655" s="60">
        <f>G284+G492</f>
        <v>1730.02</v>
      </c>
      <c r="H655" s="60">
        <f>H284+H492</f>
        <v>1729.92</v>
      </c>
      <c r="I655" s="3">
        <f>I284+I492</f>
        <v>100</v>
      </c>
    </row>
    <row r="656" spans="1:9" x14ac:dyDescent="0.2">
      <c r="E656" s="68" t="s">
        <v>135</v>
      </c>
      <c r="F656" s="69"/>
      <c r="G656" s="60">
        <f>G369</f>
        <v>684</v>
      </c>
      <c r="H656" s="60">
        <f>H369</f>
        <v>683.99962000000005</v>
      </c>
      <c r="I656" s="3">
        <f>I369</f>
        <v>99.999944444444452</v>
      </c>
    </row>
    <row r="657" spans="1:11" s="41" customFormat="1" x14ac:dyDescent="0.2">
      <c r="A657" s="67"/>
      <c r="E657" s="70" t="s">
        <v>4</v>
      </c>
      <c r="F657" s="71"/>
      <c r="G657" s="59">
        <f>SUM(G653:G656)</f>
        <v>31387.441060000001</v>
      </c>
      <c r="H657" s="59">
        <f t="shared" ref="H657:I657" si="162">SUM(H653:H656)</f>
        <v>31338.319659999997</v>
      </c>
      <c r="I657" s="82">
        <f t="shared" si="162"/>
        <v>599.67018081423748</v>
      </c>
    </row>
    <row r="658" spans="1:11" x14ac:dyDescent="0.2">
      <c r="E658" s="68" t="s">
        <v>76</v>
      </c>
      <c r="F658" s="69"/>
      <c r="G658" s="60">
        <f>G552</f>
        <v>1126.25432</v>
      </c>
      <c r="H658" s="60">
        <f>H552</f>
        <v>1126.25432</v>
      </c>
      <c r="I658" s="3">
        <f>I552</f>
        <v>100</v>
      </c>
    </row>
    <row r="659" spans="1:11" x14ac:dyDescent="0.2">
      <c r="E659" s="68" t="s">
        <v>91</v>
      </c>
      <c r="F659" s="69"/>
      <c r="G659" s="60">
        <f>G76+G82+G91</f>
        <v>15638.460439999999</v>
      </c>
      <c r="H659" s="60">
        <f>H76+H82+H91</f>
        <v>15635.448280000001</v>
      </c>
      <c r="I659" s="3">
        <f>I76+I82+I91</f>
        <v>299.95344035432026</v>
      </c>
    </row>
    <row r="660" spans="1:11" x14ac:dyDescent="0.2">
      <c r="E660" s="68" t="s">
        <v>41</v>
      </c>
      <c r="F660" s="69"/>
      <c r="G660" s="60">
        <f>G288+G473+G526+G532+G558+G579</f>
        <v>47070.394329999996</v>
      </c>
      <c r="H660" s="60">
        <f>H288+H473+H526+H532+H558+H579</f>
        <v>47070.391209999994</v>
      </c>
      <c r="I660" s="3" t="e">
        <f>I288+I473+I526+I532+I558+I579</f>
        <v>#DIV/0!</v>
      </c>
    </row>
    <row r="661" spans="1:11" x14ac:dyDescent="0.2">
      <c r="E661" s="68" t="s">
        <v>57</v>
      </c>
      <c r="F661" s="69"/>
      <c r="G661" s="60">
        <f>G256+G464+G479+G570</f>
        <v>2339.2126200000002</v>
      </c>
      <c r="H661" s="60">
        <f t="shared" ref="H661:I661" si="163">H256+H464+H479+H570</f>
        <v>2339.2126200000002</v>
      </c>
      <c r="I661" s="3">
        <f t="shared" si="163"/>
        <v>400</v>
      </c>
    </row>
    <row r="662" spans="1:11" x14ac:dyDescent="0.2">
      <c r="E662" s="68" t="s">
        <v>60</v>
      </c>
      <c r="F662" s="69"/>
      <c r="G662" s="60">
        <f>G12+G27+G52+G68+G105+G260+G442+G513</f>
        <v>396270.60722000001</v>
      </c>
      <c r="H662" s="60">
        <f>H12+H27+H52+H68+H105+H260+H442+H513</f>
        <v>391284.59249999997</v>
      </c>
      <c r="I662" s="3">
        <f>I12+I27+I52+I68+I105+I260+I442+I513</f>
        <v>772.51111809735721</v>
      </c>
    </row>
    <row r="663" spans="1:11" s="41" customFormat="1" x14ac:dyDescent="0.2">
      <c r="A663" s="67"/>
      <c r="E663" s="70" t="s">
        <v>3</v>
      </c>
      <c r="F663" s="71"/>
      <c r="G663" s="59">
        <f>SUM(G658:G662)</f>
        <v>462444.92892999999</v>
      </c>
      <c r="H663" s="59">
        <f t="shared" ref="H663:I663" si="164">SUM(H658:H662)</f>
        <v>457455.89892999997</v>
      </c>
      <c r="I663" s="82" t="e">
        <f t="shared" si="164"/>
        <v>#DIV/0!</v>
      </c>
      <c r="J663" s="41">
        <v>394142.49576999998</v>
      </c>
      <c r="K663" s="75" t="e">
        <f>J663-I663</f>
        <v>#DIV/0!</v>
      </c>
    </row>
    <row r="664" spans="1:11" x14ac:dyDescent="0.2">
      <c r="E664" s="68" t="s">
        <v>181</v>
      </c>
      <c r="F664" s="69"/>
      <c r="G664" s="60">
        <f>G113+G118</f>
        <v>5910.1249900000003</v>
      </c>
      <c r="H664" s="60">
        <f>H113+H118</f>
        <v>5910.0005500000007</v>
      </c>
      <c r="I664" s="3">
        <f>I113+I118</f>
        <v>199.99722620485323</v>
      </c>
    </row>
    <row r="665" spans="1:11" x14ac:dyDescent="0.2">
      <c r="E665" s="68" t="s">
        <v>12</v>
      </c>
      <c r="F665" s="69"/>
      <c r="G665" s="60">
        <f>G127+G145+G152+G219+G226+G270+G293+G500</f>
        <v>42484.886330000001</v>
      </c>
      <c r="H665" s="60">
        <f>H127+H145+H152+H219+H226+H270+H293+H500</f>
        <v>42361.33741</v>
      </c>
      <c r="I665" s="3">
        <f>I127+I145+I152+I219+I226+I270+I293+I500</f>
        <v>708.04512405373248</v>
      </c>
    </row>
    <row r="666" spans="1:11" x14ac:dyDescent="0.2">
      <c r="E666" s="68" t="s">
        <v>129</v>
      </c>
      <c r="F666" s="69"/>
      <c r="G666" s="60">
        <f>G377+G404+G395</f>
        <v>15347.510410000001</v>
      </c>
      <c r="H666" s="60">
        <f>H377+H404+H395</f>
        <v>15278.773740000001</v>
      </c>
      <c r="I666" s="3">
        <f>I377+I404+I395</f>
        <v>299.03630474239611</v>
      </c>
    </row>
    <row r="667" spans="1:11" s="41" customFormat="1" x14ac:dyDescent="0.2">
      <c r="A667" s="67"/>
      <c r="E667" s="70" t="s">
        <v>2</v>
      </c>
      <c r="F667" s="71"/>
      <c r="G667" s="59">
        <f>SUM(G664:G666)</f>
        <v>63742.521730000008</v>
      </c>
      <c r="H667" s="59">
        <f t="shared" ref="H667:I667" si="165">SUM(H664:H666)</f>
        <v>63550.111700000009</v>
      </c>
      <c r="I667" s="82">
        <f t="shared" si="165"/>
        <v>1207.0786550009818</v>
      </c>
      <c r="J667" s="41">
        <v>55097.84</v>
      </c>
      <c r="K667" s="75">
        <f>J667-I667</f>
        <v>53890.761344999017</v>
      </c>
    </row>
    <row r="668" spans="1:11" x14ac:dyDescent="0.2">
      <c r="E668" s="68" t="s">
        <v>413</v>
      </c>
      <c r="F668" s="69"/>
      <c r="G668" s="60">
        <f>G310+G360</f>
        <v>4409.5237399999996</v>
      </c>
      <c r="H668" s="60">
        <f>H310+H360</f>
        <v>4393.2531399999998</v>
      </c>
      <c r="I668" s="3">
        <f>I310+I360</f>
        <v>199.25163223395649</v>
      </c>
    </row>
    <row r="669" spans="1:11" x14ac:dyDescent="0.2">
      <c r="E669" s="68" t="s">
        <v>126</v>
      </c>
      <c r="F669" s="69"/>
      <c r="G669" s="60">
        <f>G299+G319+G326+G408</f>
        <v>2958.3397299999997</v>
      </c>
      <c r="H669" s="60">
        <f>H299+H319+H326+H408</f>
        <v>1794.4477299999999</v>
      </c>
      <c r="I669" s="3">
        <f>I299+I319+I326+I408</f>
        <v>297.50367297175586</v>
      </c>
    </row>
    <row r="670" spans="1:11" x14ac:dyDescent="0.2">
      <c r="E670" s="68" t="s">
        <v>121</v>
      </c>
      <c r="F670" s="69"/>
      <c r="G670" s="60">
        <f>G265+G344+G382+G413+G430</f>
        <v>22002.002130000001</v>
      </c>
      <c r="H670" s="60">
        <f t="shared" ref="H670:I670" si="166">H265+H344+H382+H413+H430</f>
        <v>16603.320449999999</v>
      </c>
      <c r="I670" s="3">
        <f t="shared" si="166"/>
        <v>349.89683197642347</v>
      </c>
    </row>
    <row r="671" spans="1:11" s="41" customFormat="1" x14ac:dyDescent="0.2">
      <c r="A671" s="67"/>
      <c r="E671" s="70" t="s">
        <v>1</v>
      </c>
      <c r="F671" s="71"/>
      <c r="G671" s="59">
        <f>SUM(G668:G670)</f>
        <v>29369.865600000001</v>
      </c>
      <c r="H671" s="59">
        <f t="shared" ref="H671:I671" si="167">SUM(H668:H670)</f>
        <v>22791.02132</v>
      </c>
      <c r="I671" s="82">
        <f t="shared" si="167"/>
        <v>846.6521371821359</v>
      </c>
      <c r="J671" s="41">
        <v>28636.31925</v>
      </c>
      <c r="K671" s="75">
        <f>J671-I671</f>
        <v>27789.667112817864</v>
      </c>
    </row>
    <row r="672" spans="1:11" x14ac:dyDescent="0.2">
      <c r="E672" s="68" t="s">
        <v>414</v>
      </c>
      <c r="F672" s="69"/>
      <c r="G672" s="60">
        <f>G304</f>
        <v>16</v>
      </c>
      <c r="H672" s="60">
        <f>H304</f>
        <v>0</v>
      </c>
      <c r="I672" s="3">
        <f>I304</f>
        <v>0</v>
      </c>
    </row>
    <row r="673" spans="1:11" s="41" customFormat="1" x14ac:dyDescent="0.2">
      <c r="A673" s="67"/>
      <c r="E673" s="70" t="s">
        <v>285</v>
      </c>
      <c r="F673" s="71"/>
      <c r="G673" s="59">
        <f>G672</f>
        <v>16</v>
      </c>
      <c r="H673" s="59">
        <f t="shared" ref="H673:I673" si="168">H672</f>
        <v>0</v>
      </c>
      <c r="I673" s="82">
        <f t="shared" si="168"/>
        <v>0</v>
      </c>
      <c r="J673" s="41">
        <v>16</v>
      </c>
    </row>
    <row r="674" spans="1:11" x14ac:dyDescent="0.2">
      <c r="E674" s="68"/>
      <c r="F674" s="69"/>
      <c r="G674" s="60"/>
      <c r="H674" s="60"/>
      <c r="I674" s="3"/>
    </row>
    <row r="675" spans="1:11" s="41" customFormat="1" x14ac:dyDescent="0.2">
      <c r="A675" s="67"/>
      <c r="E675" s="70" t="s">
        <v>0</v>
      </c>
      <c r="F675" s="71"/>
      <c r="G675" s="59">
        <f>G132+G238+G241+G243+G275+G281+G101</f>
        <v>5943.2103000000006</v>
      </c>
      <c r="H675" s="59">
        <f t="shared" ref="H675:I675" si="169">H132+H238+H241+H243+H275+H281+H101</f>
        <v>5941.8718000000008</v>
      </c>
      <c r="I675" s="82" t="e">
        <f t="shared" si="169"/>
        <v>#DIV/0!</v>
      </c>
      <c r="J675" s="41">
        <v>10566.831</v>
      </c>
      <c r="K675" s="75" t="e">
        <f>J675-I675</f>
        <v>#DIV/0!</v>
      </c>
    </row>
    <row r="676" spans="1:11" x14ac:dyDescent="0.2">
      <c r="E676" s="69" t="s">
        <v>417</v>
      </c>
      <c r="F676" s="69"/>
      <c r="G676" s="60"/>
      <c r="H676" s="60"/>
      <c r="I676" s="3"/>
    </row>
    <row r="677" spans="1:11" x14ac:dyDescent="0.2">
      <c r="E677" s="69"/>
      <c r="F677" s="69"/>
      <c r="G677" s="60">
        <f>G657+G663+G667+G671+G673+G675+G676</f>
        <v>592903.96762000001</v>
      </c>
      <c r="H677" s="60">
        <f t="shared" ref="H677:I677" si="170">H657+H663+H667+H671+H673+H675+H676</f>
        <v>581077.22340999998</v>
      </c>
      <c r="I677" s="3" t="e">
        <f t="shared" si="170"/>
        <v>#DIV/0!</v>
      </c>
    </row>
    <row r="678" spans="1:11" x14ac:dyDescent="0.2">
      <c r="E678" s="69"/>
      <c r="F678" s="69"/>
      <c r="G678" s="60">
        <f>G587-G677</f>
        <v>19331.678059999947</v>
      </c>
      <c r="H678" s="60">
        <f t="shared" ref="H678:I678" si="171">H587-H677</f>
        <v>19225.096060000127</v>
      </c>
      <c r="I678" s="3" t="e">
        <f t="shared" si="171"/>
        <v>#DIV/0!</v>
      </c>
    </row>
  </sheetData>
  <mergeCells count="34">
    <mergeCell ref="G2:I2"/>
    <mergeCell ref="G5:G7"/>
    <mergeCell ref="H5:H7"/>
    <mergeCell ref="I5:I7"/>
    <mergeCell ref="A5:A7"/>
    <mergeCell ref="G1:I1"/>
    <mergeCell ref="E646:F646"/>
    <mergeCell ref="E618:F618"/>
    <mergeCell ref="E625:F625"/>
    <mergeCell ref="E628:F628"/>
    <mergeCell ref="E633:F633"/>
    <mergeCell ref="E639:F639"/>
    <mergeCell ref="E642:F642"/>
    <mergeCell ref="E616:F616"/>
    <mergeCell ref="E590:F590"/>
    <mergeCell ref="E599:F599"/>
    <mergeCell ref="E644:F644"/>
    <mergeCell ref="E601:F601"/>
    <mergeCell ref="E606:F606"/>
    <mergeCell ref="E612:F612"/>
    <mergeCell ref="A3:I3"/>
    <mergeCell ref="C599:D599"/>
    <mergeCell ref="C601:D601"/>
    <mergeCell ref="C606:D606"/>
    <mergeCell ref="C612:D612"/>
    <mergeCell ref="C616:D616"/>
    <mergeCell ref="C646:D646"/>
    <mergeCell ref="C618:D618"/>
    <mergeCell ref="C625:D625"/>
    <mergeCell ref="C628:D628"/>
    <mergeCell ref="C633:D633"/>
    <mergeCell ref="C639:D639"/>
    <mergeCell ref="C642:D642"/>
    <mergeCell ref="C644:D644"/>
  </mergeCells>
  <pageMargins left="0.78740157480314965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 источн</vt:lpstr>
      <vt:lpstr>прил 2 дох</vt:lpstr>
      <vt:lpstr>прил 3 разд подр 2018г </vt:lpstr>
      <vt:lpstr>прил 4 вед стр 2018г</vt:lpstr>
      <vt:lpstr>Лист1</vt:lpstr>
      <vt:lpstr>'прил 2 дох'!Заголовки_для_печати</vt:lpstr>
      <vt:lpstr>'прил 4 вед стр 2018г'!Заголовки_для_печати</vt:lpstr>
      <vt:lpstr>'прил 2 дох'!Область_печати</vt:lpstr>
      <vt:lpstr>'прил 3 разд подр 2018г '!Область_печати</vt:lpstr>
      <vt:lpstr>'прил 4 вед стр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trial</cp:lastModifiedBy>
  <cp:lastPrinted>2019-05-28T08:50:30Z</cp:lastPrinted>
  <dcterms:created xsi:type="dcterms:W3CDTF">2016-11-07T08:50:55Z</dcterms:created>
  <dcterms:modified xsi:type="dcterms:W3CDTF">2019-05-28T08:53:39Z</dcterms:modified>
</cp:coreProperties>
</file>