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45" windowWidth="18195" windowHeight="9855"/>
  </bookViews>
  <sheets>
    <sheet name="прил 1 ист" sheetId="16" r:id="rId1"/>
    <sheet name="прил 2 дох" sheetId="17" r:id="rId2"/>
    <sheet name="прил 3 разд подр" sheetId="12" r:id="rId3"/>
    <sheet name="прил4 вед стр " sheetId="4" r:id="rId4"/>
    <sheet name="Лист1" sheetId="15" r:id="rId5"/>
  </sheets>
  <definedNames>
    <definedName name="_xlnm._FilterDatabase" localSheetId="1" hidden="1">'прил 2 дох'!$A$7:$WVM$218</definedName>
    <definedName name="_xlnm._FilterDatabase" localSheetId="3" hidden="1">'прил4 вед стр '!$A$8:$K$550</definedName>
    <definedName name="В11" localSheetId="2">#REF!</definedName>
    <definedName name="В11">#REF!</definedName>
    <definedName name="_xlnm.Print_Titles" localSheetId="1">'прил 2 дох'!$7:$7</definedName>
    <definedName name="_xlnm.Print_Titles" localSheetId="3">'прил4 вед стр '!$7:$7</definedName>
    <definedName name="_xlnm.Print_Area" localSheetId="1">'прил 2 дох'!$A$1:$E$218</definedName>
    <definedName name="_xlnm.Print_Area" localSheetId="2">'прил 3 разд подр'!$A$1:$F$67</definedName>
    <definedName name="_xlnm.Print_Area" localSheetId="3">'прил4 вед стр '!$A$1:$I$487</definedName>
    <definedName name="_xlnm.Print_Area">#REF!</definedName>
    <definedName name="п" localSheetId="2">#REF!</definedName>
    <definedName name="п">#REF!</definedName>
    <definedName name="Прил16дляраб" localSheetId="2">#REF!</definedName>
    <definedName name="Прил16дляраб">#REF!</definedName>
  </definedNames>
  <calcPr calcId="145621"/>
</workbook>
</file>

<file path=xl/calcChain.xml><?xml version="1.0" encoding="utf-8"?>
<calcChain xmlns="http://schemas.openxmlformats.org/spreadsheetml/2006/main">
  <c r="C12" i="17" l="1"/>
  <c r="C11" i="17" s="1"/>
  <c r="D12" i="17"/>
  <c r="D11" i="17" s="1"/>
  <c r="E12" i="17"/>
  <c r="E13" i="17"/>
  <c r="E14" i="17"/>
  <c r="E15" i="17"/>
  <c r="C18" i="17"/>
  <c r="C17" i="17" s="1"/>
  <c r="D18" i="17"/>
  <c r="D17" i="17" s="1"/>
  <c r="E17" i="17" s="1"/>
  <c r="E18" i="17"/>
  <c r="E19" i="17"/>
  <c r="E20" i="17"/>
  <c r="E21" i="17"/>
  <c r="C25" i="17"/>
  <c r="C24" i="17" s="1"/>
  <c r="C23" i="17" s="1"/>
  <c r="D25" i="17"/>
  <c r="D24" i="17" s="1"/>
  <c r="E25" i="17"/>
  <c r="E26" i="17"/>
  <c r="C28" i="17"/>
  <c r="D28" i="17"/>
  <c r="E28" i="17"/>
  <c r="E29" i="17"/>
  <c r="C32" i="17"/>
  <c r="D32" i="17"/>
  <c r="E32" i="17"/>
  <c r="E33" i="17"/>
  <c r="C35" i="17"/>
  <c r="D35" i="17"/>
  <c r="E35" i="17"/>
  <c r="E36" i="17"/>
  <c r="C37" i="17"/>
  <c r="D37" i="17"/>
  <c r="E37" i="17"/>
  <c r="E38" i="17"/>
  <c r="C40" i="17"/>
  <c r="C39" i="17" s="1"/>
  <c r="D40" i="17"/>
  <c r="D39" i="17" s="1"/>
  <c r="E39" i="17" s="1"/>
  <c r="E40" i="17"/>
  <c r="E41" i="17"/>
  <c r="E42" i="17"/>
  <c r="C44" i="17"/>
  <c r="C43" i="17" s="1"/>
  <c r="D44" i="17"/>
  <c r="D43" i="17" s="1"/>
  <c r="E43" i="17" s="1"/>
  <c r="E44" i="17"/>
  <c r="E45" i="17"/>
  <c r="C47" i="17"/>
  <c r="D47" i="17"/>
  <c r="E47" i="17"/>
  <c r="E48" i="17"/>
  <c r="C50" i="17"/>
  <c r="C49" i="17" s="1"/>
  <c r="D50" i="17"/>
  <c r="D49" i="17" s="1"/>
  <c r="E49" i="17" s="1"/>
  <c r="E50" i="17"/>
  <c r="E51" i="17"/>
  <c r="E52" i="17"/>
  <c r="C55" i="17"/>
  <c r="E55" i="17"/>
  <c r="E56" i="17"/>
  <c r="C59" i="17"/>
  <c r="D59" i="17"/>
  <c r="D57" i="17" s="1"/>
  <c r="E59" i="17"/>
  <c r="E60" i="17"/>
  <c r="C61" i="17"/>
  <c r="C57" i="17" s="1"/>
  <c r="D61" i="17"/>
  <c r="E61" i="17"/>
  <c r="E62" i="17"/>
  <c r="C64" i="17"/>
  <c r="C63" i="17" s="1"/>
  <c r="D64" i="17"/>
  <c r="D63" i="17" s="1"/>
  <c r="E63" i="17" s="1"/>
  <c r="E64" i="17"/>
  <c r="E65" i="17"/>
  <c r="E66" i="17"/>
  <c r="E67" i="17"/>
  <c r="E68" i="17"/>
  <c r="C70" i="17"/>
  <c r="C69" i="17" s="1"/>
  <c r="E69" i="17" s="1"/>
  <c r="E70" i="17"/>
  <c r="C71" i="17"/>
  <c r="E71" i="17"/>
  <c r="E72" i="17"/>
  <c r="E73" i="17"/>
  <c r="E74" i="17"/>
  <c r="C76" i="17"/>
  <c r="C75" i="17" s="1"/>
  <c r="D76" i="17"/>
  <c r="D75" i="17" s="1"/>
  <c r="E75" i="17" s="1"/>
  <c r="C78" i="17"/>
  <c r="D78" i="17"/>
  <c r="E79" i="17"/>
  <c r="C82" i="17"/>
  <c r="C81" i="17" s="1"/>
  <c r="D82" i="17"/>
  <c r="D81" i="17" s="1"/>
  <c r="E81" i="17" s="1"/>
  <c r="E82" i="17"/>
  <c r="E83" i="17"/>
  <c r="C85" i="17"/>
  <c r="C84" i="17" s="1"/>
  <c r="C80" i="17" s="1"/>
  <c r="D85" i="17"/>
  <c r="D84" i="17" s="1"/>
  <c r="C87" i="17"/>
  <c r="D87" i="17"/>
  <c r="E87" i="17"/>
  <c r="E88" i="17"/>
  <c r="C90" i="17"/>
  <c r="C89" i="17" s="1"/>
  <c r="D90" i="17"/>
  <c r="D89" i="17" s="1"/>
  <c r="C93" i="17"/>
  <c r="C92" i="17" s="1"/>
  <c r="D93" i="17"/>
  <c r="D92" i="17" s="1"/>
  <c r="E92" i="17" s="1"/>
  <c r="E93" i="17"/>
  <c r="E94" i="17"/>
  <c r="E95" i="17"/>
  <c r="E96" i="17"/>
  <c r="C98" i="17"/>
  <c r="D98" i="17"/>
  <c r="E98" i="17"/>
  <c r="E99" i="17"/>
  <c r="E100" i="17"/>
  <c r="C101" i="17"/>
  <c r="D101" i="17"/>
  <c r="E104" i="17"/>
  <c r="E105" i="17"/>
  <c r="E106" i="17"/>
  <c r="E110" i="17"/>
  <c r="E111" i="17"/>
  <c r="C112" i="17"/>
  <c r="E112" i="17"/>
  <c r="E113" i="17"/>
  <c r="C114" i="17"/>
  <c r="D114" i="17"/>
  <c r="E116" i="17"/>
  <c r="C120" i="17"/>
  <c r="C119" i="17" s="1"/>
  <c r="D120" i="17"/>
  <c r="D119" i="17" s="1"/>
  <c r="E120" i="17"/>
  <c r="E121" i="17"/>
  <c r="C122" i="17"/>
  <c r="D122" i="17"/>
  <c r="E122" i="17"/>
  <c r="E123" i="17"/>
  <c r="C124" i="17"/>
  <c r="E124" i="17"/>
  <c r="E125" i="17"/>
  <c r="C128" i="17"/>
  <c r="C127" i="17" s="1"/>
  <c r="D128" i="17"/>
  <c r="D127" i="17" s="1"/>
  <c r="E127" i="17" s="1"/>
  <c r="E128" i="17"/>
  <c r="E129" i="17"/>
  <c r="C130" i="17"/>
  <c r="D130" i="17"/>
  <c r="E130" i="17"/>
  <c r="E131" i="17"/>
  <c r="C132" i="17"/>
  <c r="D132" i="17"/>
  <c r="E132" i="17"/>
  <c r="E133" i="17"/>
  <c r="C134" i="17"/>
  <c r="C136" i="17"/>
  <c r="D136" i="17"/>
  <c r="E136" i="17"/>
  <c r="E137" i="17"/>
  <c r="C138" i="17"/>
  <c r="C140" i="17"/>
  <c r="C142" i="17"/>
  <c r="D142" i="17"/>
  <c r="E142" i="17"/>
  <c r="E143" i="17"/>
  <c r="C144" i="17"/>
  <c r="D144" i="17"/>
  <c r="E144" i="17"/>
  <c r="E145" i="17"/>
  <c r="C146" i="17"/>
  <c r="C149" i="17"/>
  <c r="C148" i="17" s="1"/>
  <c r="D149" i="17"/>
  <c r="D148" i="17" s="1"/>
  <c r="E148" i="17" s="1"/>
  <c r="E149" i="17"/>
  <c r="E150" i="17"/>
  <c r="E151" i="17"/>
  <c r="E152" i="17"/>
  <c r="E153" i="17"/>
  <c r="E154" i="17"/>
  <c r="E155" i="17"/>
  <c r="E156" i="17"/>
  <c r="E158" i="17"/>
  <c r="E159" i="17"/>
  <c r="E160" i="17"/>
  <c r="E161" i="17"/>
  <c r="E162" i="17"/>
  <c r="E163" i="17"/>
  <c r="E164" i="17"/>
  <c r="E165" i="17"/>
  <c r="C169" i="17"/>
  <c r="E169" i="17"/>
  <c r="E170" i="17"/>
  <c r="C171" i="17"/>
  <c r="E171" i="17"/>
  <c r="E172" i="17"/>
  <c r="C173" i="17"/>
  <c r="E173" i="17"/>
  <c r="E174" i="17"/>
  <c r="C175" i="17"/>
  <c r="E175" i="17"/>
  <c r="E176" i="17"/>
  <c r="C177" i="17"/>
  <c r="E177" i="17"/>
  <c r="E178" i="17"/>
  <c r="C179" i="17"/>
  <c r="E179" i="17"/>
  <c r="E180" i="17"/>
  <c r="C181" i="17"/>
  <c r="E181" i="17"/>
  <c r="E182" i="17"/>
  <c r="D183" i="17"/>
  <c r="D168" i="17" s="1"/>
  <c r="C184" i="17"/>
  <c r="C183" i="17" s="1"/>
  <c r="E184" i="17"/>
  <c r="E185" i="17"/>
  <c r="E186" i="17"/>
  <c r="E187" i="17"/>
  <c r="E188" i="17"/>
  <c r="E189" i="17"/>
  <c r="E190" i="17"/>
  <c r="E191" i="17"/>
  <c r="E192" i="17"/>
  <c r="E193" i="17"/>
  <c r="E194" i="17"/>
  <c r="E195" i="17"/>
  <c r="E196" i="17"/>
  <c r="C197" i="17"/>
  <c r="D197" i="17"/>
  <c r="E197" i="17"/>
  <c r="E198" i="17"/>
  <c r="C199" i="17"/>
  <c r="D199" i="17"/>
  <c r="E199" i="17"/>
  <c r="E200" i="17"/>
  <c r="C201" i="17"/>
  <c r="D201" i="17"/>
  <c r="E201" i="17"/>
  <c r="E202" i="17"/>
  <c r="C203" i="17"/>
  <c r="D203" i="17"/>
  <c r="E203" i="17"/>
  <c r="E204" i="17"/>
  <c r="C205" i="17"/>
  <c r="D205" i="17"/>
  <c r="E205" i="17"/>
  <c r="E206" i="17"/>
  <c r="D207" i="17"/>
  <c r="C208" i="17"/>
  <c r="C207" i="17" s="1"/>
  <c r="E207" i="17" s="1"/>
  <c r="E208" i="17"/>
  <c r="E209" i="17"/>
  <c r="E210" i="17"/>
  <c r="E211" i="17"/>
  <c r="C212" i="17"/>
  <c r="C213" i="17"/>
  <c r="D213" i="17"/>
  <c r="D212" i="17" s="1"/>
  <c r="E212" i="17" s="1"/>
  <c r="E216" i="17"/>
  <c r="C217" i="17"/>
  <c r="D217" i="17"/>
  <c r="E217" i="17"/>
  <c r="E218" i="17"/>
  <c r="C168" i="17" l="1"/>
  <c r="E183" i="17"/>
  <c r="E168" i="17"/>
  <c r="D126" i="17"/>
  <c r="C126" i="17"/>
  <c r="D118" i="17"/>
  <c r="E119" i="17"/>
  <c r="C118" i="17"/>
  <c r="C117" i="17" s="1"/>
  <c r="F117" i="17" s="1"/>
  <c r="D80" i="17"/>
  <c r="E80" i="17" s="1"/>
  <c r="E84" i="17"/>
  <c r="D54" i="17"/>
  <c r="E57" i="17"/>
  <c r="C54" i="17"/>
  <c r="C53" i="17" s="1"/>
  <c r="D46" i="17"/>
  <c r="C46" i="17"/>
  <c r="D23" i="17"/>
  <c r="E23" i="17" s="1"/>
  <c r="E24" i="17"/>
  <c r="D10" i="17"/>
  <c r="E11" i="17"/>
  <c r="C10" i="17"/>
  <c r="C9" i="17" s="1"/>
  <c r="C8" i="17" s="1"/>
  <c r="F8" i="17" s="1"/>
  <c r="E10" i="17" l="1"/>
  <c r="E46" i="17"/>
  <c r="D53" i="17"/>
  <c r="E53" i="17" s="1"/>
  <c r="E54" i="17"/>
  <c r="D117" i="17"/>
  <c r="E117" i="17" s="1"/>
  <c r="E118" i="17"/>
  <c r="E126" i="17"/>
  <c r="D9" i="17" l="1"/>
  <c r="D8" i="17" l="1"/>
  <c r="E8" i="17" s="1"/>
  <c r="E9" i="17"/>
  <c r="D10" i="16"/>
  <c r="E10" i="16"/>
  <c r="F10" i="16"/>
  <c r="G10" i="16"/>
  <c r="H10" i="16"/>
  <c r="I10" i="16"/>
  <c r="C11" i="16"/>
  <c r="C10" i="16" s="1"/>
  <c r="J11" i="16"/>
  <c r="J10" i="16" s="1"/>
  <c r="C13" i="16"/>
  <c r="J13" i="16"/>
  <c r="D14" i="16"/>
  <c r="E14" i="16"/>
  <c r="F14" i="16"/>
  <c r="G14" i="16"/>
  <c r="H14" i="16"/>
  <c r="I14" i="16"/>
  <c r="C16" i="16"/>
  <c r="C15" i="16" s="1"/>
  <c r="J16" i="16"/>
  <c r="J15" i="16" s="1"/>
  <c r="D17" i="16"/>
  <c r="E17" i="16"/>
  <c r="F17" i="16"/>
  <c r="G17" i="16"/>
  <c r="H17" i="16"/>
  <c r="I17" i="16"/>
  <c r="C18" i="16"/>
  <c r="J18" i="16"/>
  <c r="C21" i="16"/>
  <c r="C20" i="16" s="1"/>
  <c r="C9" i="16" s="1"/>
  <c r="C8" i="16" s="1"/>
  <c r="J21" i="16"/>
  <c r="J20" i="16" s="1"/>
  <c r="D22" i="16"/>
  <c r="D21" i="16" s="1"/>
  <c r="D20" i="16" s="1"/>
  <c r="E22" i="16"/>
  <c r="E21" i="16" s="1"/>
  <c r="E20" i="16" s="1"/>
  <c r="F22" i="16"/>
  <c r="F21" i="16" s="1"/>
  <c r="F20" i="16" s="1"/>
  <c r="G22" i="16"/>
  <c r="G21" i="16" s="1"/>
  <c r="G20" i="16" s="1"/>
  <c r="H22" i="16"/>
  <c r="H21" i="16" s="1"/>
  <c r="H20" i="16" s="1"/>
  <c r="I22" i="16"/>
  <c r="I21" i="16" s="1"/>
  <c r="I20" i="16" s="1"/>
  <c r="C24" i="16"/>
  <c r="D24" i="16"/>
  <c r="E24" i="16"/>
  <c r="F24" i="16"/>
  <c r="G24" i="16"/>
  <c r="H24" i="16"/>
  <c r="I24" i="16"/>
  <c r="J24" i="16"/>
  <c r="C28" i="16"/>
  <c r="J28" i="16"/>
  <c r="C31" i="16"/>
  <c r="C30" i="16" s="1"/>
  <c r="J31" i="16"/>
  <c r="J30" i="16" s="1"/>
  <c r="I13" i="16" l="1"/>
  <c r="I12" i="16" s="1"/>
  <c r="I11" i="16" s="1"/>
  <c r="I19" i="16"/>
  <c r="H13" i="16"/>
  <c r="H12" i="16" s="1"/>
  <c r="H11" i="16" s="1"/>
  <c r="H19" i="16"/>
  <c r="G13" i="16"/>
  <c r="G12" i="16" s="1"/>
  <c r="G11" i="16" s="1"/>
  <c r="G19" i="16"/>
  <c r="F13" i="16"/>
  <c r="F12" i="16" s="1"/>
  <c r="F11" i="16" s="1"/>
  <c r="F19" i="16"/>
  <c r="E13" i="16"/>
  <c r="E12" i="16" s="1"/>
  <c r="E11" i="16" s="1"/>
  <c r="E19" i="16"/>
  <c r="D13" i="16"/>
  <c r="D12" i="16" s="1"/>
  <c r="D11" i="16" s="1"/>
  <c r="D19" i="16"/>
  <c r="I16" i="16"/>
  <c r="H16" i="16"/>
  <c r="G16" i="16"/>
  <c r="F16" i="16"/>
  <c r="E16" i="16"/>
  <c r="D16" i="16"/>
  <c r="J9" i="16"/>
  <c r="J8" i="16" s="1"/>
  <c r="I549" i="4"/>
  <c r="H469" i="4"/>
  <c r="G469" i="4"/>
  <c r="D8" i="16" l="1"/>
  <c r="E8" i="16"/>
  <c r="F8" i="16"/>
  <c r="G8" i="16"/>
  <c r="H8" i="16"/>
  <c r="I8" i="16"/>
  <c r="F46" i="12"/>
  <c r="F25" i="12"/>
  <c r="F20" i="12"/>
  <c r="I558" i="4"/>
  <c r="I562" i="4"/>
  <c r="I567" i="4"/>
  <c r="H456" i="4"/>
  <c r="G462" i="4"/>
  <c r="G464" i="4"/>
  <c r="G465" i="4"/>
  <c r="H473" i="4"/>
  <c r="H471" i="4"/>
  <c r="G473" i="4"/>
  <c r="G471" i="4"/>
  <c r="G467" i="4"/>
  <c r="H463" i="4"/>
  <c r="G463" i="4"/>
  <c r="I465" i="4"/>
  <c r="I467" i="4"/>
  <c r="H466" i="4"/>
  <c r="G466" i="4"/>
  <c r="I466" i="4" s="1"/>
  <c r="H461" i="4"/>
  <c r="G461" i="4"/>
  <c r="I461" i="4"/>
  <c r="I462" i="4"/>
  <c r="I464" i="4"/>
  <c r="I463" i="4"/>
  <c r="G458" i="4"/>
  <c r="I458" i="4"/>
  <c r="H457" i="4"/>
  <c r="G457" i="4"/>
  <c r="G456" i="4"/>
  <c r="G450" i="4"/>
  <c r="I451" i="4"/>
  <c r="H450" i="4"/>
  <c r="I449" i="4"/>
  <c r="H448" i="4"/>
  <c r="G448" i="4"/>
  <c r="I351" i="4"/>
  <c r="H350" i="4"/>
  <c r="H347" i="4" s="1"/>
  <c r="G350" i="4"/>
  <c r="G347" i="4" s="1"/>
  <c r="H330" i="4"/>
  <c r="G330" i="4"/>
  <c r="I332" i="4"/>
  <c r="H308" i="4"/>
  <c r="H304" i="4"/>
  <c r="H302" i="4"/>
  <c r="H299" i="4"/>
  <c r="H256" i="4"/>
  <c r="H253" i="4"/>
  <c r="H251" i="4"/>
  <c r="H193" i="4"/>
  <c r="H237" i="4"/>
  <c r="H230" i="4"/>
  <c r="H221" i="4"/>
  <c r="H212" i="4"/>
  <c r="H211" i="4"/>
  <c r="H203" i="4"/>
  <c r="H198" i="4"/>
  <c r="H190" i="4"/>
  <c r="H187" i="4"/>
  <c r="H107" i="4"/>
  <c r="H154" i="4"/>
  <c r="H153" i="4" s="1"/>
  <c r="H152" i="4" s="1"/>
  <c r="H151" i="4" s="1"/>
  <c r="H150" i="4" s="1"/>
  <c r="G154" i="4"/>
  <c r="G153" i="4" s="1"/>
  <c r="G152" i="4" s="1"/>
  <c r="G151" i="4" s="1"/>
  <c r="G150" i="4" s="1"/>
  <c r="I155" i="4"/>
  <c r="H148" i="4"/>
  <c r="G148" i="4"/>
  <c r="H131" i="4"/>
  <c r="G131" i="4"/>
  <c r="H102" i="4"/>
  <c r="H88" i="4"/>
  <c r="H86" i="4"/>
  <c r="H82" i="4"/>
  <c r="H78" i="4"/>
  <c r="H73" i="4"/>
  <c r="H67" i="4"/>
  <c r="H56" i="4"/>
  <c r="I47" i="4"/>
  <c r="H46" i="4"/>
  <c r="G46" i="4"/>
  <c r="I46" i="4" s="1"/>
  <c r="H30" i="4"/>
  <c r="H22" i="4"/>
  <c r="H20" i="4"/>
  <c r="H16" i="4"/>
  <c r="H14" i="4"/>
  <c r="I14" i="4"/>
  <c r="I18" i="4"/>
  <c r="I25" i="4"/>
  <c r="I30" i="4"/>
  <c r="I34" i="4"/>
  <c r="I38" i="4"/>
  <c r="I40" i="4"/>
  <c r="I42" i="4"/>
  <c r="I45" i="4"/>
  <c r="I52" i="4"/>
  <c r="I54" i="4"/>
  <c r="I56" i="4"/>
  <c r="I61" i="4"/>
  <c r="I62" i="4"/>
  <c r="I73" i="4"/>
  <c r="I75" i="4"/>
  <c r="I76" i="4"/>
  <c r="I78" i="4"/>
  <c r="I82" i="4"/>
  <c r="I84" i="4"/>
  <c r="I88" i="4"/>
  <c r="I95" i="4"/>
  <c r="I102" i="4"/>
  <c r="I104" i="4"/>
  <c r="I105" i="4"/>
  <c r="I107" i="4"/>
  <c r="I111" i="4"/>
  <c r="I115" i="4"/>
  <c r="I117" i="4"/>
  <c r="I123" i="4"/>
  <c r="I130" i="4"/>
  <c r="I137" i="4"/>
  <c r="I141" i="4"/>
  <c r="I147" i="4"/>
  <c r="I161" i="4"/>
  <c r="I167" i="4"/>
  <c r="I173" i="4"/>
  <c r="I175" i="4"/>
  <c r="I180" i="4"/>
  <c r="I182" i="4"/>
  <c r="I198" i="4"/>
  <c r="I200" i="4"/>
  <c r="I201" i="4"/>
  <c r="I203" i="4"/>
  <c r="I212" i="4"/>
  <c r="I217" i="4"/>
  <c r="I226" i="4"/>
  <c r="I231" i="4"/>
  <c r="I235" i="4"/>
  <c r="I241" i="4"/>
  <c r="I245" i="4"/>
  <c r="I253" i="4"/>
  <c r="I254" i="4"/>
  <c r="I256" i="4"/>
  <c r="I259" i="4"/>
  <c r="I264" i="4"/>
  <c r="I267" i="4"/>
  <c r="I269" i="4"/>
  <c r="I275" i="4"/>
  <c r="I276" i="4"/>
  <c r="I278" i="4"/>
  <c r="I280" i="4"/>
  <c r="I285" i="4"/>
  <c r="I287" i="4"/>
  <c r="I292" i="4"/>
  <c r="I295" i="4"/>
  <c r="I299" i="4"/>
  <c r="I301" i="4"/>
  <c r="I302" i="4"/>
  <c r="I304" i="4"/>
  <c r="I308" i="4"/>
  <c r="I313" i="4"/>
  <c r="I319" i="4"/>
  <c r="I324" i="4"/>
  <c r="I328" i="4"/>
  <c r="I329" i="4"/>
  <c r="I331" i="4"/>
  <c r="I335" i="4"/>
  <c r="I337" i="4"/>
  <c r="I339" i="4"/>
  <c r="I342" i="4"/>
  <c r="I344" i="4"/>
  <c r="I348" i="4"/>
  <c r="I349" i="4"/>
  <c r="I356" i="4"/>
  <c r="I362" i="4"/>
  <c r="I364" i="4"/>
  <c r="I369" i="4"/>
  <c r="I371" i="4"/>
  <c r="I377" i="4"/>
  <c r="I383" i="4"/>
  <c r="I388" i="4"/>
  <c r="I392" i="4"/>
  <c r="I396" i="4"/>
  <c r="I398" i="4"/>
  <c r="I401" i="4"/>
  <c r="I403" i="4"/>
  <c r="I409" i="4"/>
  <c r="I415" i="4"/>
  <c r="I422" i="4"/>
  <c r="I424" i="4"/>
  <c r="I429" i="4"/>
  <c r="I430" i="4"/>
  <c r="I436" i="4"/>
  <c r="I438" i="4"/>
  <c r="I440" i="4"/>
  <c r="I442" i="4"/>
  <c r="I445" i="4"/>
  <c r="I447" i="4"/>
  <c r="I472" i="4"/>
  <c r="I479" i="4"/>
  <c r="I485" i="4"/>
  <c r="I486" i="4"/>
  <c r="H460" i="4" l="1"/>
  <c r="H459" i="4" s="1"/>
  <c r="H559" i="4" s="1"/>
  <c r="G460" i="4"/>
  <c r="G459" i="4"/>
  <c r="G559" i="4" s="1"/>
  <c r="I460" i="4"/>
  <c r="I347" i="4"/>
  <c r="I457" i="4"/>
  <c r="I450" i="4"/>
  <c r="I448" i="4"/>
  <c r="I350" i="4"/>
  <c r="I152" i="4"/>
  <c r="I153" i="4"/>
  <c r="I154" i="4"/>
  <c r="I459" i="4" l="1"/>
  <c r="H370" i="4" l="1"/>
  <c r="G370" i="4"/>
  <c r="I370" i="4" l="1"/>
  <c r="H140" i="4" l="1"/>
  <c r="G140" i="4"/>
  <c r="H139" i="4"/>
  <c r="G139" i="4"/>
  <c r="H138" i="4"/>
  <c r="G138" i="4"/>
  <c r="I138" i="4" l="1"/>
  <c r="I139" i="4"/>
  <c r="I140" i="4"/>
  <c r="F68" i="12" l="1"/>
  <c r="I488" i="4"/>
  <c r="H402" i="4"/>
  <c r="G402" i="4"/>
  <c r="H368" i="4"/>
  <c r="G368" i="4"/>
  <c r="H341" i="4"/>
  <c r="G341" i="4"/>
  <c r="H327" i="4"/>
  <c r="G327" i="4"/>
  <c r="H303" i="4"/>
  <c r="G303" i="4"/>
  <c r="H300" i="4"/>
  <c r="G300" i="4"/>
  <c r="H298" i="4"/>
  <c r="G298" i="4"/>
  <c r="G297" i="4"/>
  <c r="G296" i="4"/>
  <c r="G584" i="4" s="1"/>
  <c r="H179" i="4"/>
  <c r="G179" i="4"/>
  <c r="H166" i="4"/>
  <c r="G166" i="4"/>
  <c r="H165" i="4"/>
  <c r="G165" i="4"/>
  <c r="H164" i="4"/>
  <c r="G164" i="4"/>
  <c r="G163" i="4" s="1"/>
  <c r="G162" i="4" s="1"/>
  <c r="H146" i="4"/>
  <c r="G146" i="4"/>
  <c r="G145" i="4" s="1"/>
  <c r="G144" i="4" s="1"/>
  <c r="H136" i="4"/>
  <c r="G136" i="4"/>
  <c r="G135" i="4" s="1"/>
  <c r="G134" i="4" s="1"/>
  <c r="G133" i="4" s="1"/>
  <c r="G504" i="4" s="1"/>
  <c r="H129" i="4"/>
  <c r="G129" i="4"/>
  <c r="G128" i="4" s="1"/>
  <c r="G127" i="4" s="1"/>
  <c r="G126" i="4" s="1"/>
  <c r="G125" i="4" s="1"/>
  <c r="G143" i="4" l="1"/>
  <c r="G142" i="4" s="1"/>
  <c r="H135" i="4"/>
  <c r="I136" i="4"/>
  <c r="I165" i="4"/>
  <c r="I166" i="4"/>
  <c r="I179" i="4"/>
  <c r="I300" i="4"/>
  <c r="I303" i="4"/>
  <c r="I327" i="4"/>
  <c r="I341" i="4"/>
  <c r="I402" i="4"/>
  <c r="H128" i="4"/>
  <c r="I129" i="4"/>
  <c r="H134" i="4"/>
  <c r="I135" i="4"/>
  <c r="H145" i="4"/>
  <c r="I146" i="4"/>
  <c r="H163" i="4"/>
  <c r="I164" i="4"/>
  <c r="H297" i="4"/>
  <c r="I298" i="4"/>
  <c r="I368" i="4"/>
  <c r="G367" i="4"/>
  <c r="G366" i="4" s="1"/>
  <c r="G365" i="4" s="1"/>
  <c r="H367" i="4"/>
  <c r="H366" i="4" l="1"/>
  <c r="I367" i="4"/>
  <c r="H296" i="4"/>
  <c r="I297" i="4"/>
  <c r="H162" i="4"/>
  <c r="I162" i="4" s="1"/>
  <c r="I163" i="4"/>
  <c r="H144" i="4"/>
  <c r="H143" i="4" s="1"/>
  <c r="I145" i="4"/>
  <c r="H133" i="4"/>
  <c r="I134" i="4"/>
  <c r="H127" i="4"/>
  <c r="H126" i="4" s="1"/>
  <c r="I128" i="4"/>
  <c r="H24" i="4"/>
  <c r="G24" i="4"/>
  <c r="H23" i="4"/>
  <c r="G23" i="4"/>
  <c r="H13" i="4"/>
  <c r="I133" i="4" l="1"/>
  <c r="H504" i="4"/>
  <c r="I23" i="4"/>
  <c r="I24" i="4"/>
  <c r="I127" i="4"/>
  <c r="I144" i="4"/>
  <c r="H584" i="4"/>
  <c r="I584" i="4" s="1"/>
  <c r="I296" i="4"/>
  <c r="H365" i="4"/>
  <c r="I365" i="4" s="1"/>
  <c r="I366" i="4"/>
  <c r="H142" i="4" l="1"/>
  <c r="I142" i="4" s="1"/>
  <c r="I143" i="4"/>
  <c r="I126" i="4"/>
  <c r="H125" i="4"/>
  <c r="I125" i="4" s="1"/>
  <c r="H240" i="4"/>
  <c r="G240" i="4"/>
  <c r="H239" i="4"/>
  <c r="G239" i="4"/>
  <c r="G238" i="4" s="1"/>
  <c r="I473" i="4"/>
  <c r="I471" i="4"/>
  <c r="I456" i="4"/>
  <c r="G309" i="4"/>
  <c r="I309" i="4" s="1"/>
  <c r="G251" i="4"/>
  <c r="I251" i="4" s="1"/>
  <c r="G237" i="4"/>
  <c r="I237" i="4" s="1"/>
  <c r="G230" i="4"/>
  <c r="I230" i="4" s="1"/>
  <c r="G221" i="4"/>
  <c r="I221" i="4" s="1"/>
  <c r="G211" i="4"/>
  <c r="I211" i="4" s="1"/>
  <c r="G207" i="4"/>
  <c r="I207" i="4" s="1"/>
  <c r="G193" i="4"/>
  <c r="I193" i="4" s="1"/>
  <c r="G190" i="4"/>
  <c r="I190" i="4" s="1"/>
  <c r="G187" i="4"/>
  <c r="I187" i="4" s="1"/>
  <c r="G94" i="4"/>
  <c r="I94" i="4" s="1"/>
  <c r="G86" i="4"/>
  <c r="I86" i="4" s="1"/>
  <c r="G69" i="4"/>
  <c r="I69" i="4" s="1"/>
  <c r="G67" i="4"/>
  <c r="I67" i="4" s="1"/>
  <c r="G36" i="4"/>
  <c r="I36" i="4" s="1"/>
  <c r="G32" i="4"/>
  <c r="I32" i="4" s="1"/>
  <c r="G22" i="4"/>
  <c r="I22" i="4" s="1"/>
  <c r="G20" i="4"/>
  <c r="I20" i="4" s="1"/>
  <c r="G16" i="4"/>
  <c r="I16" i="4" s="1"/>
  <c r="I240" i="4" l="1"/>
  <c r="H238" i="4"/>
  <c r="I238" i="4" s="1"/>
  <c r="I239" i="4"/>
  <c r="G268" i="4" l="1"/>
  <c r="H338" i="4"/>
  <c r="G338" i="4"/>
  <c r="G435" i="4"/>
  <c r="I338" i="4" l="1"/>
  <c r="H334" i="4" l="1"/>
  <c r="G334" i="4"/>
  <c r="G470" i="4"/>
  <c r="D588" i="4"/>
  <c r="C588" i="4" s="1"/>
  <c r="D589" i="4"/>
  <c r="C589" i="4" s="1"/>
  <c r="D584" i="4"/>
  <c r="C584" i="4" s="1"/>
  <c r="H106" i="4"/>
  <c r="G106" i="4"/>
  <c r="H160" i="4"/>
  <c r="G160" i="4"/>
  <c r="G159" i="4" s="1"/>
  <c r="H181" i="4"/>
  <c r="G181" i="4"/>
  <c r="G178" i="4" s="1"/>
  <c r="H268" i="4"/>
  <c r="I268" i="4" s="1"/>
  <c r="H286" i="4"/>
  <c r="G286" i="4"/>
  <c r="H343" i="4"/>
  <c r="G343" i="4"/>
  <c r="G340" i="4" s="1"/>
  <c r="H391" i="4"/>
  <c r="G391" i="4"/>
  <c r="G390" i="4" s="1"/>
  <c r="G389" i="4" s="1"/>
  <c r="H387" i="4"/>
  <c r="G387" i="4"/>
  <c r="G386" i="4" s="1"/>
  <c r="I106" i="4" l="1"/>
  <c r="I334" i="4"/>
  <c r="H386" i="4"/>
  <c r="I386" i="4" s="1"/>
  <c r="I387" i="4"/>
  <c r="H390" i="4"/>
  <c r="I391" i="4"/>
  <c r="H340" i="4"/>
  <c r="I340" i="4" s="1"/>
  <c r="I343" i="4"/>
  <c r="I286" i="4"/>
  <c r="H178" i="4"/>
  <c r="I178" i="4" s="1"/>
  <c r="I181" i="4"/>
  <c r="H159" i="4"/>
  <c r="I159" i="4" s="1"/>
  <c r="I160" i="4"/>
  <c r="G158" i="4"/>
  <c r="G157" i="4" s="1"/>
  <c r="G156" i="4" s="1"/>
  <c r="H158" i="4"/>
  <c r="H361" i="4"/>
  <c r="G361" i="4"/>
  <c r="H363" i="4"/>
  <c r="G363" i="4"/>
  <c r="G360" i="4" s="1"/>
  <c r="G359" i="4" s="1"/>
  <c r="G358" i="4" s="1"/>
  <c r="G357" i="4" s="1"/>
  <c r="H202" i="4"/>
  <c r="G202" i="4"/>
  <c r="H192" i="4"/>
  <c r="H255" i="4"/>
  <c r="G255" i="4"/>
  <c r="G74" i="4"/>
  <c r="H74" i="4"/>
  <c r="I74" i="4" s="1"/>
  <c r="H77" i="4"/>
  <c r="G77" i="4"/>
  <c r="G68" i="4"/>
  <c r="H68" i="4"/>
  <c r="I68" i="4" s="1"/>
  <c r="I255" i="4" l="1"/>
  <c r="I202" i="4"/>
  <c r="I363" i="4"/>
  <c r="I77" i="4"/>
  <c r="H191" i="4"/>
  <c r="I361" i="4"/>
  <c r="H157" i="4"/>
  <c r="I158" i="4"/>
  <c r="H389" i="4"/>
  <c r="I389" i="4" s="1"/>
  <c r="I390" i="4"/>
  <c r="D22" i="12"/>
  <c r="H360" i="4"/>
  <c r="H359" i="4" l="1"/>
  <c r="I360" i="4"/>
  <c r="H156" i="4"/>
  <c r="I156" i="4" s="1"/>
  <c r="I157" i="4"/>
  <c r="H441" i="4"/>
  <c r="G441" i="4"/>
  <c r="G444" i="4"/>
  <c r="H439" i="4"/>
  <c r="G439" i="4"/>
  <c r="I439" i="4" l="1"/>
  <c r="I441" i="4"/>
  <c r="I504" i="4"/>
  <c r="E22" i="12"/>
  <c r="F22" i="12" s="1"/>
  <c r="H358" i="4"/>
  <c r="I359" i="4"/>
  <c r="H435" i="4"/>
  <c r="I435" i="4" s="1"/>
  <c r="H437" i="4"/>
  <c r="G437" i="4"/>
  <c r="G434" i="4" s="1"/>
  <c r="H446" i="4"/>
  <c r="G446" i="4"/>
  <c r="G443" i="4" s="1"/>
  <c r="H428" i="4"/>
  <c r="G428" i="4"/>
  <c r="H423" i="4"/>
  <c r="G423" i="4"/>
  <c r="I428" i="4" l="1"/>
  <c r="I446" i="4"/>
  <c r="I437" i="4"/>
  <c r="I423" i="4"/>
  <c r="H357" i="4"/>
  <c r="I357" i="4" s="1"/>
  <c r="I358" i="4"/>
  <c r="H434" i="4"/>
  <c r="I434" i="4" s="1"/>
  <c r="J30" i="4" l="1"/>
  <c r="K30" i="4"/>
  <c r="H376" i="4" l="1"/>
  <c r="G376" i="4"/>
  <c r="G375" i="4"/>
  <c r="G374" i="4" s="1"/>
  <c r="G373" i="4" s="1"/>
  <c r="G372" i="4" s="1"/>
  <c r="H397" i="4"/>
  <c r="G397" i="4"/>
  <c r="I397" i="4" l="1"/>
  <c r="H375" i="4"/>
  <c r="I376" i="4"/>
  <c r="H374" i="4" l="1"/>
  <c r="I375" i="4"/>
  <c r="I374" i="4" l="1"/>
  <c r="H373" i="4"/>
  <c r="H484" i="4"/>
  <c r="G484" i="4"/>
  <c r="H483" i="4"/>
  <c r="G483" i="4"/>
  <c r="H482" i="4"/>
  <c r="G482" i="4"/>
  <c r="G481" i="4" s="1"/>
  <c r="G539" i="4" s="1"/>
  <c r="G538" i="4" s="1"/>
  <c r="H444" i="4"/>
  <c r="H443" i="4" s="1"/>
  <c r="G433" i="4"/>
  <c r="G432" i="4" s="1"/>
  <c r="H421" i="4"/>
  <c r="G421" i="4"/>
  <c r="H414" i="4"/>
  <c r="G414" i="4"/>
  <c r="H413" i="4"/>
  <c r="G413" i="4"/>
  <c r="H412" i="4"/>
  <c r="G412" i="4"/>
  <c r="G411" i="4" s="1"/>
  <c r="G410" i="4" s="1"/>
  <c r="I483" i="4" l="1"/>
  <c r="I484" i="4"/>
  <c r="H411" i="4"/>
  <c r="I412" i="4"/>
  <c r="I413" i="4"/>
  <c r="I414" i="4"/>
  <c r="I421" i="4"/>
  <c r="I444" i="4"/>
  <c r="H481" i="4"/>
  <c r="I482" i="4"/>
  <c r="I373" i="4"/>
  <c r="H372" i="4"/>
  <c r="I372" i="4" s="1"/>
  <c r="G420" i="4"/>
  <c r="G419" i="4" s="1"/>
  <c r="G418" i="4" s="1"/>
  <c r="H420" i="4"/>
  <c r="H419" i="4" l="1"/>
  <c r="I420" i="4"/>
  <c r="H539" i="4"/>
  <c r="H538" i="4" s="1"/>
  <c r="I481" i="4"/>
  <c r="I539" i="4" s="1"/>
  <c r="I538" i="4" s="1"/>
  <c r="I443" i="4"/>
  <c r="H433" i="4"/>
  <c r="H410" i="4"/>
  <c r="I410" i="4" s="1"/>
  <c r="I411" i="4"/>
  <c r="H355" i="4"/>
  <c r="G355" i="4"/>
  <c r="H354" i="4"/>
  <c r="G354" i="4"/>
  <c r="H353" i="4"/>
  <c r="G353" i="4"/>
  <c r="G352" i="4" s="1"/>
  <c r="H336" i="4"/>
  <c r="G336" i="4"/>
  <c r="G326" i="4"/>
  <c r="H346" i="4"/>
  <c r="G346" i="4"/>
  <c r="H345" i="4"/>
  <c r="G345" i="4"/>
  <c r="H318" i="4"/>
  <c r="G318" i="4"/>
  <c r="H317" i="4"/>
  <c r="G317" i="4"/>
  <c r="H316" i="4"/>
  <c r="G316" i="4"/>
  <c r="H312" i="4"/>
  <c r="G312" i="4"/>
  <c r="H307" i="4"/>
  <c r="G307" i="4"/>
  <c r="I307" i="4" s="1"/>
  <c r="H306" i="4"/>
  <c r="G306" i="4"/>
  <c r="H305" i="4"/>
  <c r="G305" i="4"/>
  <c r="G585" i="4" s="1"/>
  <c r="H284" i="4"/>
  <c r="G284" i="4"/>
  <c r="G283" i="4" s="1"/>
  <c r="G282" i="4"/>
  <c r="G573" i="4" s="1"/>
  <c r="H283" i="4" l="1"/>
  <c r="I284" i="4"/>
  <c r="H585" i="4"/>
  <c r="I585" i="4" s="1"/>
  <c r="I305" i="4"/>
  <c r="I306" i="4"/>
  <c r="H311" i="4"/>
  <c r="I312" i="4"/>
  <c r="I316" i="4"/>
  <c r="I317" i="4"/>
  <c r="I318" i="4"/>
  <c r="I345" i="4"/>
  <c r="I346" i="4"/>
  <c r="I330" i="4"/>
  <c r="H333" i="4"/>
  <c r="I336" i="4"/>
  <c r="H352" i="4"/>
  <c r="I352" i="4" s="1"/>
  <c r="I353" i="4"/>
  <c r="I354" i="4"/>
  <c r="I355" i="4"/>
  <c r="H432" i="4"/>
  <c r="I432" i="4" s="1"/>
  <c r="I433" i="4"/>
  <c r="H418" i="4"/>
  <c r="I418" i="4" s="1"/>
  <c r="I419" i="4"/>
  <c r="G281" i="4"/>
  <c r="G509" i="4" s="1"/>
  <c r="G315" i="4"/>
  <c r="H315" i="4"/>
  <c r="I315" i="4" s="1"/>
  <c r="G311" i="4"/>
  <c r="G310" i="4" s="1"/>
  <c r="G586" i="4" s="1"/>
  <c r="G587" i="4" s="1"/>
  <c r="D585" i="4"/>
  <c r="C585" i="4" s="1"/>
  <c r="H326" i="4"/>
  <c r="I326" i="4" s="1"/>
  <c r="H325" i="4"/>
  <c r="H572" i="4" s="1"/>
  <c r="G333" i="4"/>
  <c r="G325" i="4" s="1"/>
  <c r="G572" i="4" s="1"/>
  <c r="H244" i="4"/>
  <c r="G244" i="4"/>
  <c r="H243" i="4"/>
  <c r="G243" i="4"/>
  <c r="H242" i="4"/>
  <c r="G242" i="4"/>
  <c r="H236" i="4"/>
  <c r="G236" i="4"/>
  <c r="H234" i="4"/>
  <c r="G234" i="4"/>
  <c r="H233" i="4"/>
  <c r="G233" i="4"/>
  <c r="H232" i="4"/>
  <c r="G232" i="4"/>
  <c r="H229" i="4"/>
  <c r="G229" i="4"/>
  <c r="H228" i="4"/>
  <c r="G228" i="4"/>
  <c r="H227" i="4"/>
  <c r="G227" i="4"/>
  <c r="H216" i="4"/>
  <c r="G216" i="4"/>
  <c r="H215" i="4"/>
  <c r="G215" i="4"/>
  <c r="H214" i="4"/>
  <c r="G214" i="4"/>
  <c r="G213" i="4" s="1"/>
  <c r="H210" i="4"/>
  <c r="G210" i="4"/>
  <c r="H209" i="4"/>
  <c r="G209" i="4"/>
  <c r="G208" i="4" s="1"/>
  <c r="H177" i="4"/>
  <c r="G177" i="4"/>
  <c r="G176" i="4" s="1"/>
  <c r="H174" i="4"/>
  <c r="G174" i="4"/>
  <c r="H172" i="4"/>
  <c r="G172" i="4"/>
  <c r="H171" i="4"/>
  <c r="G171" i="4"/>
  <c r="H170" i="4"/>
  <c r="G170" i="4"/>
  <c r="G169" i="4" s="1"/>
  <c r="H169" i="4" l="1"/>
  <c r="I169" i="4" s="1"/>
  <c r="I170" i="4"/>
  <c r="I171" i="4"/>
  <c r="I172" i="4"/>
  <c r="I174" i="4"/>
  <c r="H176" i="4"/>
  <c r="I176" i="4" s="1"/>
  <c r="I177" i="4"/>
  <c r="H208" i="4"/>
  <c r="I208" i="4" s="1"/>
  <c r="I209" i="4"/>
  <c r="I210" i="4"/>
  <c r="H213" i="4"/>
  <c r="I213" i="4" s="1"/>
  <c r="I214" i="4"/>
  <c r="I215" i="4"/>
  <c r="I216" i="4"/>
  <c r="I227" i="4"/>
  <c r="I228" i="4"/>
  <c r="I229" i="4"/>
  <c r="I232" i="4"/>
  <c r="I233" i="4"/>
  <c r="I234" i="4"/>
  <c r="I236" i="4"/>
  <c r="H574" i="4"/>
  <c r="I242" i="4"/>
  <c r="I243" i="4"/>
  <c r="I244" i="4"/>
  <c r="I572" i="4"/>
  <c r="I325" i="4"/>
  <c r="I333" i="4"/>
  <c r="I311" i="4"/>
  <c r="H310" i="4"/>
  <c r="I283" i="4"/>
  <c r="H282" i="4"/>
  <c r="H573" i="4" s="1"/>
  <c r="G574" i="4"/>
  <c r="D574" i="4" s="1"/>
  <c r="H114" i="4"/>
  <c r="H122" i="4"/>
  <c r="G122" i="4"/>
  <c r="H121" i="4"/>
  <c r="G121" i="4"/>
  <c r="G120" i="4" s="1"/>
  <c r="G119" i="4" s="1"/>
  <c r="G544" i="4" s="1"/>
  <c r="H120" i="4"/>
  <c r="H113" i="4"/>
  <c r="H110" i="4"/>
  <c r="G110" i="4"/>
  <c r="H109" i="4"/>
  <c r="G109" i="4"/>
  <c r="H108" i="4"/>
  <c r="H566" i="4" s="1"/>
  <c r="G108" i="4"/>
  <c r="G566" i="4" s="1"/>
  <c r="H103" i="4"/>
  <c r="G103" i="4"/>
  <c r="H101" i="4"/>
  <c r="G101" i="4"/>
  <c r="H100" i="4"/>
  <c r="G100" i="4"/>
  <c r="G99" i="4" s="1"/>
  <c r="H93" i="4"/>
  <c r="G93" i="4"/>
  <c r="G92" i="4"/>
  <c r="G91" i="4"/>
  <c r="H87" i="4"/>
  <c r="G87" i="4"/>
  <c r="H85" i="4"/>
  <c r="G85" i="4"/>
  <c r="H83" i="4"/>
  <c r="G83" i="4"/>
  <c r="H81" i="4"/>
  <c r="G81" i="4"/>
  <c r="H80" i="4"/>
  <c r="G80" i="4"/>
  <c r="G79" i="4" s="1"/>
  <c r="G580" i="4" s="1"/>
  <c r="H72" i="4"/>
  <c r="G72" i="4"/>
  <c r="G71" i="4" s="1"/>
  <c r="G70" i="4" s="1"/>
  <c r="G579" i="4" s="1"/>
  <c r="H71" i="4"/>
  <c r="H66" i="4"/>
  <c r="G66" i="4"/>
  <c r="H65" i="4"/>
  <c r="G65" i="4"/>
  <c r="G60" i="4"/>
  <c r="G59" i="4" s="1"/>
  <c r="H60" i="4"/>
  <c r="G58" i="4"/>
  <c r="G57" i="4" s="1"/>
  <c r="H55" i="4"/>
  <c r="G55" i="4"/>
  <c r="H53" i="4"/>
  <c r="H51" i="4"/>
  <c r="G53" i="4"/>
  <c r="G51" i="4"/>
  <c r="G50" i="4" s="1"/>
  <c r="G49" i="4" s="1"/>
  <c r="H44" i="4"/>
  <c r="H43" i="4" s="1"/>
  <c r="G44" i="4"/>
  <c r="H41" i="4"/>
  <c r="G41" i="4"/>
  <c r="H39" i="4"/>
  <c r="G39" i="4"/>
  <c r="H37" i="4"/>
  <c r="G37" i="4"/>
  <c r="H35" i="4"/>
  <c r="G35" i="4"/>
  <c r="H33" i="4"/>
  <c r="G33" i="4"/>
  <c r="H31" i="4"/>
  <c r="G31" i="4"/>
  <c r="H29" i="4"/>
  <c r="G29" i="4"/>
  <c r="G98" i="4" l="1"/>
  <c r="G565" i="4"/>
  <c r="I566" i="4"/>
  <c r="I574" i="4"/>
  <c r="C574" i="4" s="1"/>
  <c r="I29" i="4"/>
  <c r="I31" i="4"/>
  <c r="I33" i="4"/>
  <c r="I35" i="4"/>
  <c r="I37" i="4"/>
  <c r="I39" i="4"/>
  <c r="I41" i="4"/>
  <c r="H50" i="4"/>
  <c r="I51" i="4"/>
  <c r="I53" i="4"/>
  <c r="I55" i="4"/>
  <c r="H59" i="4"/>
  <c r="I60" i="4"/>
  <c r="H64" i="4"/>
  <c r="I65" i="4"/>
  <c r="I66" i="4"/>
  <c r="H70" i="4"/>
  <c r="I71" i="4"/>
  <c r="I72" i="4"/>
  <c r="H79" i="4"/>
  <c r="I80" i="4"/>
  <c r="I81" i="4"/>
  <c r="I83" i="4"/>
  <c r="I85" i="4"/>
  <c r="I87" i="4"/>
  <c r="H92" i="4"/>
  <c r="I93" i="4"/>
  <c r="H99" i="4"/>
  <c r="H565" i="4" s="1"/>
  <c r="I565" i="4" s="1"/>
  <c r="I100" i="4"/>
  <c r="I101" i="4"/>
  <c r="I103" i="4"/>
  <c r="I108" i="4"/>
  <c r="I109" i="4"/>
  <c r="I110" i="4"/>
  <c r="H119" i="4"/>
  <c r="I120" i="4"/>
  <c r="I121" i="4"/>
  <c r="I122" i="4"/>
  <c r="I282" i="4"/>
  <c r="H281" i="4"/>
  <c r="H586" i="4"/>
  <c r="I586" i="4" s="1"/>
  <c r="I310" i="4"/>
  <c r="G43" i="4"/>
  <c r="I43" i="4" s="1"/>
  <c r="I44" i="4"/>
  <c r="G90" i="4"/>
  <c r="H578" i="4"/>
  <c r="H63" i="4"/>
  <c r="G582" i="4"/>
  <c r="G48" i="4"/>
  <c r="G28" i="4"/>
  <c r="G27" i="4" s="1"/>
  <c r="H28" i="4"/>
  <c r="G64" i="4"/>
  <c r="H21" i="4"/>
  <c r="G21" i="4"/>
  <c r="H19" i="4"/>
  <c r="G19" i="4"/>
  <c r="H17" i="4"/>
  <c r="G17" i="4"/>
  <c r="H15" i="4"/>
  <c r="G15" i="4"/>
  <c r="H12" i="4"/>
  <c r="G13" i="4"/>
  <c r="D573" i="4" l="1"/>
  <c r="I573" i="4"/>
  <c r="G26" i="4"/>
  <c r="G519" i="4" s="1"/>
  <c r="G12" i="4"/>
  <c r="G11" i="4" s="1"/>
  <c r="G581" i="4" s="1"/>
  <c r="I13" i="4"/>
  <c r="I15" i="4"/>
  <c r="I17" i="4"/>
  <c r="I19" i="4"/>
  <c r="I21" i="4"/>
  <c r="H587" i="4"/>
  <c r="D586" i="4"/>
  <c r="C586" i="4" s="1"/>
  <c r="H509" i="4"/>
  <c r="I281" i="4"/>
  <c r="I509" i="4" s="1"/>
  <c r="C573" i="4"/>
  <c r="H544" i="4"/>
  <c r="I119" i="4"/>
  <c r="I544" i="4" s="1"/>
  <c r="H98" i="4"/>
  <c r="I99" i="4"/>
  <c r="H91" i="4"/>
  <c r="I92" i="4"/>
  <c r="H580" i="4"/>
  <c r="I79" i="4"/>
  <c r="H579" i="4"/>
  <c r="I579" i="4" s="1"/>
  <c r="I70" i="4"/>
  <c r="I64" i="4"/>
  <c r="I59" i="4"/>
  <c r="H58" i="4"/>
  <c r="H49" i="4"/>
  <c r="I50" i="4"/>
  <c r="H27" i="4"/>
  <c r="H26" i="4" s="1"/>
  <c r="I28" i="4"/>
  <c r="H11" i="4"/>
  <c r="I12" i="4"/>
  <c r="G578" i="4"/>
  <c r="I578" i="4" s="1"/>
  <c r="G63" i="4"/>
  <c r="I63" i="4" s="1"/>
  <c r="H10" i="4"/>
  <c r="D579" i="4"/>
  <c r="C579" i="4" s="1"/>
  <c r="D580" i="4" l="1"/>
  <c r="I580" i="4"/>
  <c r="D587" i="4"/>
  <c r="I587" i="4"/>
  <c r="I98" i="4"/>
  <c r="I49" i="4"/>
  <c r="H582" i="4"/>
  <c r="H48" i="4"/>
  <c r="I48" i="4" s="1"/>
  <c r="H57" i="4"/>
  <c r="I57" i="4" s="1"/>
  <c r="I58" i="4"/>
  <c r="C580" i="4"/>
  <c r="H90" i="4"/>
  <c r="I90" i="4" s="1"/>
  <c r="I91" i="4"/>
  <c r="I27" i="4"/>
  <c r="H581" i="4"/>
  <c r="I11" i="4"/>
  <c r="G10" i="4"/>
  <c r="I10" i="4" s="1"/>
  <c r="G583" i="4"/>
  <c r="D578" i="4"/>
  <c r="C578" i="4" s="1"/>
  <c r="H583" i="4" l="1"/>
  <c r="I583" i="4" s="1"/>
  <c r="I581" i="4"/>
  <c r="D582" i="4"/>
  <c r="I582" i="4"/>
  <c r="C587" i="4"/>
  <c r="C582" i="4"/>
  <c r="H519" i="4"/>
  <c r="I26" i="4"/>
  <c r="I519" i="4" s="1"/>
  <c r="D583" i="4"/>
  <c r="D581" i="4"/>
  <c r="C581" i="4" s="1"/>
  <c r="E52" i="12"/>
  <c r="E39" i="12"/>
  <c r="E58" i="12"/>
  <c r="H478" i="4"/>
  <c r="H477" i="4"/>
  <c r="H476" i="4"/>
  <c r="H475" i="4"/>
  <c r="H474" i="4"/>
  <c r="H470" i="4"/>
  <c r="H455" i="4"/>
  <c r="H454" i="4"/>
  <c r="H453" i="4" s="1"/>
  <c r="H427" i="4"/>
  <c r="H426" i="4"/>
  <c r="H425" i="4"/>
  <c r="I520" i="4"/>
  <c r="H520" i="4"/>
  <c r="H417" i="4"/>
  <c r="H408" i="4"/>
  <c r="H407" i="4"/>
  <c r="H406" i="4"/>
  <c r="H405" i="4"/>
  <c r="H404" i="4"/>
  <c r="H400" i="4"/>
  <c r="H399" i="4"/>
  <c r="H395" i="4"/>
  <c r="H385" i="4"/>
  <c r="H382" i="4"/>
  <c r="H381" i="4"/>
  <c r="H380" i="4"/>
  <c r="E49" i="12"/>
  <c r="E45" i="12" s="1"/>
  <c r="E34" i="12"/>
  <c r="I514" i="4"/>
  <c r="H514" i="4"/>
  <c r="E32" i="12" s="1"/>
  <c r="H323" i="4"/>
  <c r="H512" i="4"/>
  <c r="E30" i="12" s="1"/>
  <c r="H294" i="4"/>
  <c r="H293" i="4"/>
  <c r="H291" i="4"/>
  <c r="H290" i="4"/>
  <c r="E27" i="12"/>
  <c r="H279" i="4"/>
  <c r="H277" i="4"/>
  <c r="H274" i="4"/>
  <c r="H273" i="4"/>
  <c r="H272" i="4"/>
  <c r="H271" i="4"/>
  <c r="H266" i="4"/>
  <c r="H263" i="4"/>
  <c r="H262" i="4"/>
  <c r="H258" i="4"/>
  <c r="H257" i="4"/>
  <c r="H252" i="4"/>
  <c r="H250" i="4"/>
  <c r="H249" i="4"/>
  <c r="H577" i="4"/>
  <c r="H225" i="4"/>
  <c r="H224" i="4"/>
  <c r="H223" i="4"/>
  <c r="E14" i="12"/>
  <c r="H220" i="4"/>
  <c r="I494" i="4"/>
  <c r="H494" i="4"/>
  <c r="E12" i="12" s="1"/>
  <c r="H206" i="4"/>
  <c r="H205" i="4"/>
  <c r="H204" i="4"/>
  <c r="H199" i="4"/>
  <c r="H197" i="4"/>
  <c r="H196" i="4"/>
  <c r="H189" i="4"/>
  <c r="H188" i="4"/>
  <c r="H186" i="4"/>
  <c r="H185" i="4"/>
  <c r="H547" i="4"/>
  <c r="E65" i="12" s="1"/>
  <c r="I546" i="4"/>
  <c r="H546" i="4"/>
  <c r="E64" i="12" s="1"/>
  <c r="H168" i="4"/>
  <c r="H124" i="4" s="1"/>
  <c r="E18" i="12"/>
  <c r="E62" i="12"/>
  <c r="H118" i="4"/>
  <c r="H116" i="4"/>
  <c r="H568" i="4"/>
  <c r="I536" i="4"/>
  <c r="H536" i="4"/>
  <c r="E54" i="12" s="1"/>
  <c r="H89" i="4"/>
  <c r="E38" i="12"/>
  <c r="E61" i="12" l="1"/>
  <c r="E17" i="12"/>
  <c r="E63" i="12"/>
  <c r="I470" i="4"/>
  <c r="H543" i="4"/>
  <c r="H492" i="4"/>
  <c r="E10" i="12" s="1"/>
  <c r="H195" i="4"/>
  <c r="H219" i="4"/>
  <c r="H590" i="4" s="1"/>
  <c r="H222" i="4"/>
  <c r="H248" i="4"/>
  <c r="H265" i="4"/>
  <c r="H508" i="4"/>
  <c r="H289" i="4"/>
  <c r="H288" i="4" s="1"/>
  <c r="H322" i="4"/>
  <c r="H394" i="4"/>
  <c r="H541" i="4"/>
  <c r="H542" i="4"/>
  <c r="E60" i="12" s="1"/>
  <c r="H522" i="4"/>
  <c r="E40" i="12" s="1"/>
  <c r="H563" i="4"/>
  <c r="H557" i="4"/>
  <c r="H468" i="4"/>
  <c r="H452" i="4" s="1"/>
  <c r="H431" i="4" s="1"/>
  <c r="H537" i="4"/>
  <c r="E55" i="12" s="1"/>
  <c r="C583" i="4"/>
  <c r="E26" i="12"/>
  <c r="H112" i="4"/>
  <c r="H97" i="4" s="1"/>
  <c r="H555" i="4"/>
  <c r="H379" i="4"/>
  <c r="H491" i="4"/>
  <c r="E9" i="12" s="1"/>
  <c r="H552" i="4"/>
  <c r="H525" i="4"/>
  <c r="E43" i="12" s="1"/>
  <c r="H554" i="4"/>
  <c r="H545" i="4"/>
  <c r="I523" i="4"/>
  <c r="E57" i="12"/>
  <c r="H480" i="4"/>
  <c r="H498" i="4"/>
  <c r="E16" i="12" s="1"/>
  <c r="E56" i="12"/>
  <c r="E66" i="12"/>
  <c r="E33" i="12"/>
  <c r="E59" i="12" l="1"/>
  <c r="H524" i="4"/>
  <c r="H526" i="4"/>
  <c r="E44" i="12" s="1"/>
  <c r="H533" i="4"/>
  <c r="E51" i="12" s="1"/>
  <c r="H497" i="4"/>
  <c r="E15" i="12" s="1"/>
  <c r="H560" i="4"/>
  <c r="H393" i="4"/>
  <c r="H321" i="4"/>
  <c r="H261" i="4"/>
  <c r="H571" i="4" s="1"/>
  <c r="H569" i="4"/>
  <c r="H247" i="4"/>
  <c r="H218" i="4"/>
  <c r="H194" i="4"/>
  <c r="H493" i="4" s="1"/>
  <c r="E42" i="12"/>
  <c r="H518" i="4"/>
  <c r="E37" i="12"/>
  <c r="H9" i="4"/>
  <c r="H523" i="4"/>
  <c r="E41" i="12" s="1"/>
  <c r="H416" i="4"/>
  <c r="H510" i="4"/>
  <c r="H270" i="4"/>
  <c r="E11" i="12"/>
  <c r="F66" i="12"/>
  <c r="H184" i="4" l="1"/>
  <c r="H495" i="4"/>
  <c r="E13" i="12" s="1"/>
  <c r="H503" i="4"/>
  <c r="H260" i="4"/>
  <c r="H246" i="4" s="1"/>
  <c r="H575" i="4"/>
  <c r="H320" i="4"/>
  <c r="H513" i="4" s="1"/>
  <c r="H553" i="4"/>
  <c r="H561" i="4"/>
  <c r="H384" i="4"/>
  <c r="H564" i="4"/>
  <c r="E28" i="12"/>
  <c r="H506" i="4"/>
  <c r="E36" i="12"/>
  <c r="H517" i="4"/>
  <c r="E35" i="12"/>
  <c r="E31" i="12"/>
  <c r="H314" i="4"/>
  <c r="H511" i="4" s="1"/>
  <c r="H490" i="4"/>
  <c r="H96" i="4"/>
  <c r="H8" i="4"/>
  <c r="E29" i="12" l="1"/>
  <c r="E24" i="12"/>
  <c r="E8" i="12"/>
  <c r="H556" i="4"/>
  <c r="H535" i="4"/>
  <c r="E53" i="12" s="1"/>
  <c r="H378" i="4"/>
  <c r="H592" i="4"/>
  <c r="H505" i="4"/>
  <c r="E23" i="12" s="1"/>
  <c r="H501" i="4"/>
  <c r="E21" i="12"/>
  <c r="E19" i="12" l="1"/>
  <c r="E50" i="12"/>
  <c r="H532" i="4"/>
  <c r="H549" i="4" s="1"/>
  <c r="H183" i="4"/>
  <c r="E67" i="12" l="1"/>
  <c r="E69" i="12" s="1"/>
  <c r="H487" i="4"/>
  <c r="H593" i="4" s="1"/>
  <c r="H489" i="4" l="1"/>
  <c r="H550" i="4"/>
  <c r="G468" i="4" l="1"/>
  <c r="I469" i="4"/>
  <c r="G560" i="4" l="1"/>
  <c r="I468" i="4"/>
  <c r="D52" i="12"/>
  <c r="F52" i="12" s="1"/>
  <c r="D39" i="12"/>
  <c r="F39" i="12" s="1"/>
  <c r="I560" i="4" l="1"/>
  <c r="G116" i="4"/>
  <c r="I116" i="4" s="1"/>
  <c r="G382" i="4" l="1"/>
  <c r="G381" i="4" l="1"/>
  <c r="I382" i="4"/>
  <c r="G400" i="4"/>
  <c r="G294" i="4"/>
  <c r="G258" i="4"/>
  <c r="G257" i="4" l="1"/>
  <c r="I258" i="4"/>
  <c r="G293" i="4"/>
  <c r="I293" i="4" s="1"/>
  <c r="I294" i="4"/>
  <c r="G399" i="4"/>
  <c r="I399" i="4" s="1"/>
  <c r="I400" i="4"/>
  <c r="G380" i="4"/>
  <c r="I381" i="4"/>
  <c r="I257" i="4" l="1"/>
  <c r="I380" i="4"/>
  <c r="G379" i="4"/>
  <c r="I379" i="4" s="1"/>
  <c r="I533" i="4" s="1"/>
  <c r="D570" i="4"/>
  <c r="C570" i="4" s="1"/>
  <c r="G494" i="4" l="1"/>
  <c r="D12" i="12" s="1"/>
  <c r="F12" i="12" s="1"/>
  <c r="G455" i="4"/>
  <c r="I512" i="4"/>
  <c r="G279" i="4"/>
  <c r="I279" i="4" s="1"/>
  <c r="G277" i="4"/>
  <c r="I277" i="4" s="1"/>
  <c r="G263" i="4"/>
  <c r="G252" i="4"/>
  <c r="I252" i="4" s="1"/>
  <c r="G250" i="4"/>
  <c r="I250" i="4" s="1"/>
  <c r="G225" i="4"/>
  <c r="G206" i="4"/>
  <c r="G192" i="4"/>
  <c r="G189" i="4"/>
  <c r="I189" i="4" s="1"/>
  <c r="G191" i="4" l="1"/>
  <c r="I191" i="4" s="1"/>
  <c r="I192" i="4"/>
  <c r="G205" i="4"/>
  <c r="I206" i="4"/>
  <c r="G224" i="4"/>
  <c r="I225" i="4"/>
  <c r="G262" i="4"/>
  <c r="I262" i="4" s="1"/>
  <c r="I263" i="4"/>
  <c r="G454" i="4"/>
  <c r="G453" i="4" s="1"/>
  <c r="G452" i="4" s="1"/>
  <c r="I455" i="4"/>
  <c r="I525" i="4"/>
  <c r="G385" i="4"/>
  <c r="I385" i="4" s="1"/>
  <c r="G514" i="4"/>
  <c r="D32" i="12" s="1"/>
  <c r="F32" i="12" s="1"/>
  <c r="G323" i="4"/>
  <c r="G395" i="4"/>
  <c r="F49" i="12"/>
  <c r="G478" i="4"/>
  <c r="G427" i="4"/>
  <c r="D66" i="12"/>
  <c r="D591" i="4"/>
  <c r="C591" i="4" s="1"/>
  <c r="D18" i="12"/>
  <c r="D33" i="12"/>
  <c r="D34" i="12"/>
  <c r="G533" i="4"/>
  <c r="D51" i="12" s="1"/>
  <c r="F51" i="12" s="1"/>
  <c r="G512" i="4"/>
  <c r="D30" i="12" s="1"/>
  <c r="F30" i="12" s="1"/>
  <c r="G274" i="4"/>
  <c r="I274" i="4" s="1"/>
  <c r="G577" i="4"/>
  <c r="D14" i="12"/>
  <c r="F14" i="12" s="1"/>
  <c r="G186" i="4"/>
  <c r="G168" i="4"/>
  <c r="G124" i="4" s="1"/>
  <c r="G547" i="4"/>
  <c r="D65" i="12" s="1"/>
  <c r="F65" i="12" s="1"/>
  <c r="G249" i="4"/>
  <c r="I249" i="4" s="1"/>
  <c r="G118" i="4"/>
  <c r="D17" i="12" l="1"/>
  <c r="F17" i="12" s="1"/>
  <c r="F18" i="12"/>
  <c r="I168" i="4"/>
  <c r="G543" i="4"/>
  <c r="I118" i="4"/>
  <c r="I543" i="4" s="1"/>
  <c r="G185" i="4"/>
  <c r="I185" i="4" s="1"/>
  <c r="I491" i="4" s="1"/>
  <c r="I186" i="4"/>
  <c r="G426" i="4"/>
  <c r="I427" i="4"/>
  <c r="G477" i="4"/>
  <c r="I478" i="4"/>
  <c r="G394" i="4"/>
  <c r="I395" i="4"/>
  <c r="G322" i="4"/>
  <c r="I322" i="4" s="1"/>
  <c r="I323" i="4"/>
  <c r="I454" i="4"/>
  <c r="G223" i="4"/>
  <c r="I224" i="4"/>
  <c r="G204" i="4"/>
  <c r="I204" i="4" s="1"/>
  <c r="I205" i="4"/>
  <c r="I124" i="4"/>
  <c r="G525" i="4"/>
  <c r="D43" i="12" s="1"/>
  <c r="F43" i="12" s="1"/>
  <c r="G425" i="4"/>
  <c r="D566" i="4"/>
  <c r="C566" i="4" s="1"/>
  <c r="G248" i="4"/>
  <c r="I248" i="4" s="1"/>
  <c r="D57" i="12"/>
  <c r="F57" i="12" s="1"/>
  <c r="G480" i="4"/>
  <c r="I480" i="4" s="1"/>
  <c r="G321" i="4"/>
  <c r="D27" i="12"/>
  <c r="F27" i="12" s="1"/>
  <c r="G188" i="4"/>
  <c r="G491" i="4"/>
  <c r="D9" i="12" s="1"/>
  <c r="F9" i="12" s="1"/>
  <c r="G247" i="4"/>
  <c r="D58" i="12"/>
  <c r="D49" i="12"/>
  <c r="D62" i="12"/>
  <c r="G273" i="4"/>
  <c r="G546" i="4"/>
  <c r="D64" i="12" s="1"/>
  <c r="D572" i="4"/>
  <c r="C572" i="4" s="1"/>
  <c r="D63" i="12" l="1"/>
  <c r="F63" i="12" s="1"/>
  <c r="F64" i="12"/>
  <c r="D61" i="12"/>
  <c r="F61" i="12" s="1"/>
  <c r="F62" i="12"/>
  <c r="D56" i="12"/>
  <c r="F56" i="12" s="1"/>
  <c r="F58" i="12"/>
  <c r="I247" i="4"/>
  <c r="I503" i="4" s="1"/>
  <c r="G272" i="4"/>
  <c r="I273" i="4"/>
  <c r="G492" i="4"/>
  <c r="D10" i="12" s="1"/>
  <c r="F10" i="12" s="1"/>
  <c r="I188" i="4"/>
  <c r="G320" i="4"/>
  <c r="I321" i="4"/>
  <c r="G522" i="4"/>
  <c r="D40" i="12" s="1"/>
  <c r="F40" i="12" s="1"/>
  <c r="I425" i="4"/>
  <c r="G222" i="4"/>
  <c r="I222" i="4" s="1"/>
  <c r="I498" i="4" s="1"/>
  <c r="I223" i="4"/>
  <c r="I453" i="4"/>
  <c r="I452" i="4"/>
  <c r="I526" i="4" s="1"/>
  <c r="G557" i="4"/>
  <c r="G564" i="4" s="1"/>
  <c r="G393" i="4"/>
  <c r="I394" i="4"/>
  <c r="G476" i="4"/>
  <c r="I477" i="4"/>
  <c r="G563" i="4"/>
  <c r="I426" i="4"/>
  <c r="G503" i="4"/>
  <c r="I492" i="4"/>
  <c r="G569" i="4"/>
  <c r="I569" i="4" s="1"/>
  <c r="D576" i="4"/>
  <c r="C576" i="4" s="1"/>
  <c r="I522" i="4"/>
  <c r="G536" i="4"/>
  <c r="D54" i="12" s="1"/>
  <c r="F54" i="12" s="1"/>
  <c r="I547" i="4"/>
  <c r="F34" i="12"/>
  <c r="F33" i="12"/>
  <c r="D45" i="12"/>
  <c r="F45" i="12" s="1"/>
  <c r="G271" i="4"/>
  <c r="G89" i="4"/>
  <c r="I320" i="4" l="1"/>
  <c r="G513" i="4"/>
  <c r="D563" i="4"/>
  <c r="I563" i="4"/>
  <c r="C563" i="4" s="1"/>
  <c r="D557" i="4"/>
  <c r="I557" i="4"/>
  <c r="I89" i="4"/>
  <c r="G508" i="4"/>
  <c r="I271" i="4"/>
  <c r="I508" i="4" s="1"/>
  <c r="G475" i="4"/>
  <c r="I476" i="4"/>
  <c r="I393" i="4"/>
  <c r="G384" i="4"/>
  <c r="G561" i="4"/>
  <c r="G553" i="4"/>
  <c r="I272" i="4"/>
  <c r="D26" i="12"/>
  <c r="F26" i="12" s="1"/>
  <c r="I501" i="4"/>
  <c r="D21" i="12"/>
  <c r="F21" i="12" s="1"/>
  <c r="D569" i="4"/>
  <c r="C569" i="4" s="1"/>
  <c r="I545" i="4"/>
  <c r="G545" i="4"/>
  <c r="D553" i="4" l="1"/>
  <c r="I553" i="4"/>
  <c r="D561" i="4"/>
  <c r="I561" i="4"/>
  <c r="C557" i="4"/>
  <c r="C553" i="4"/>
  <c r="G535" i="4"/>
  <c r="D53" i="12" s="1"/>
  <c r="F53" i="12" s="1"/>
  <c r="I384" i="4"/>
  <c r="I535" i="4" s="1"/>
  <c r="G378" i="4"/>
  <c r="I475" i="4"/>
  <c r="I537" i="4" s="1"/>
  <c r="G537" i="4"/>
  <c r="D55" i="12" s="1"/>
  <c r="F55" i="12" s="1"/>
  <c r="G474" i="4"/>
  <c r="I474" i="4" s="1"/>
  <c r="G114" i="4"/>
  <c r="C561" i="4" l="1"/>
  <c r="G113" i="4"/>
  <c r="I114" i="4"/>
  <c r="I378" i="4"/>
  <c r="I532" i="4" s="1"/>
  <c r="G532" i="4"/>
  <c r="D50" i="12"/>
  <c r="F50" i="12" s="1"/>
  <c r="G112" i="4"/>
  <c r="G497" i="4"/>
  <c r="D15" i="12" s="1"/>
  <c r="F15" i="12" s="1"/>
  <c r="I113" i="4" l="1"/>
  <c r="I112" i="4"/>
  <c r="I497" i="4" s="1"/>
  <c r="G97" i="4"/>
  <c r="G199" i="4"/>
  <c r="I199" i="4" s="1"/>
  <c r="G220" i="4"/>
  <c r="I220" i="4" s="1"/>
  <c r="G197" i="4"/>
  <c r="I197" i="4" s="1"/>
  <c r="G219" i="4" l="1"/>
  <c r="G520" i="4"/>
  <c r="D38" i="12" s="1"/>
  <c r="F38" i="12" s="1"/>
  <c r="G218" i="4"/>
  <c r="I218" i="4" s="1"/>
  <c r="I495" i="4" s="1"/>
  <c r="G408" i="4"/>
  <c r="G291" i="4"/>
  <c r="G196" i="4"/>
  <c r="G417" i="4"/>
  <c r="I417" i="4" s="1"/>
  <c r="I219" i="4" l="1"/>
  <c r="G590" i="4"/>
  <c r="G195" i="4"/>
  <c r="I196" i="4"/>
  <c r="G290" i="4"/>
  <c r="I291" i="4"/>
  <c r="G407" i="4"/>
  <c r="I408" i="4"/>
  <c r="G96" i="4"/>
  <c r="I96" i="4" s="1"/>
  <c r="I97" i="4"/>
  <c r="D37" i="12"/>
  <c r="F37" i="12" s="1"/>
  <c r="G552" i="4"/>
  <c r="I552" i="4" s="1"/>
  <c r="D567" i="4"/>
  <c r="C567" i="4" s="1"/>
  <c r="G568" i="4"/>
  <c r="I568" i="4" s="1"/>
  <c r="D565" i="4"/>
  <c r="C565" i="4" s="1"/>
  <c r="I518" i="4"/>
  <c r="D31" i="12"/>
  <c r="I513" i="4"/>
  <c r="D568" i="4"/>
  <c r="C568" i="4" s="1"/>
  <c r="G498" i="4"/>
  <c r="D16" i="12" s="1"/>
  <c r="F16" i="12" s="1"/>
  <c r="G495" i="4"/>
  <c r="D13" i="12" s="1"/>
  <c r="F13" i="12" s="1"/>
  <c r="G266" i="4"/>
  <c r="I564" i="4"/>
  <c r="G314" i="4"/>
  <c r="G511" i="4" s="1"/>
  <c r="D29" i="12" l="1"/>
  <c r="F29" i="12" s="1"/>
  <c r="F31" i="12"/>
  <c r="D590" i="4"/>
  <c r="I590" i="4"/>
  <c r="I314" i="4"/>
  <c r="G265" i="4"/>
  <c r="I266" i="4"/>
  <c r="G406" i="4"/>
  <c r="I407" i="4"/>
  <c r="G289" i="4"/>
  <c r="G288" i="4" s="1"/>
  <c r="I290" i="4"/>
  <c r="G194" i="4"/>
  <c r="G493" i="4" s="1"/>
  <c r="I195" i="4"/>
  <c r="I517" i="4"/>
  <c r="G518" i="4"/>
  <c r="D558" i="4"/>
  <c r="C558" i="4" s="1"/>
  <c r="D552" i="4"/>
  <c r="C552" i="4" s="1"/>
  <c r="I511" i="4"/>
  <c r="G523" i="4"/>
  <c r="D562" i="4"/>
  <c r="C562" i="4" s="1"/>
  <c r="C590" i="4" l="1"/>
  <c r="D11" i="12"/>
  <c r="I194" i="4"/>
  <c r="I493" i="4" s="1"/>
  <c r="G184" i="4"/>
  <c r="I184" i="4" s="1"/>
  <c r="I490" i="4" s="1"/>
  <c r="I289" i="4"/>
  <c r="G555" i="4"/>
  <c r="I406" i="4"/>
  <c r="G554" i="4"/>
  <c r="I554" i="4" s="1"/>
  <c r="G405" i="4"/>
  <c r="G261" i="4"/>
  <c r="I265" i="4"/>
  <c r="D41" i="12"/>
  <c r="F41" i="12" s="1"/>
  <c r="G517" i="4"/>
  <c r="G490" i="4"/>
  <c r="D36" i="12"/>
  <c r="G9" i="4"/>
  <c r="I9" i="4" s="1"/>
  <c r="G260" i="4"/>
  <c r="G505" i="4"/>
  <c r="D35" i="12" l="1"/>
  <c r="F35" i="12" s="1"/>
  <c r="F36" i="12"/>
  <c r="G571" i="4"/>
  <c r="I571" i="4" s="1"/>
  <c r="D8" i="12"/>
  <c r="F8" i="12" s="1"/>
  <c r="F11" i="12"/>
  <c r="D555" i="4"/>
  <c r="I555" i="4"/>
  <c r="I260" i="4"/>
  <c r="I505" i="4" s="1"/>
  <c r="G246" i="4"/>
  <c r="I261" i="4"/>
  <c r="G542" i="4"/>
  <c r="D60" i="12" s="1"/>
  <c r="I405" i="4"/>
  <c r="I542" i="4" s="1"/>
  <c r="G404" i="4"/>
  <c r="D554" i="4"/>
  <c r="C554" i="4" s="1"/>
  <c r="G556" i="4"/>
  <c r="I288" i="4"/>
  <c r="I510" i="4" s="1"/>
  <c r="G510" i="4"/>
  <c r="G270" i="4"/>
  <c r="I270" i="4" s="1"/>
  <c r="D23" i="12"/>
  <c r="G501" i="4"/>
  <c r="G431" i="4"/>
  <c r="G8" i="4"/>
  <c r="I8" i="4" s="1"/>
  <c r="G526" i="4"/>
  <c r="D44" i="12" s="1"/>
  <c r="D19" i="12" l="1"/>
  <c r="F19" i="12" s="1"/>
  <c r="F23" i="12"/>
  <c r="D59" i="12"/>
  <c r="F59" i="12" s="1"/>
  <c r="F60" i="12"/>
  <c r="D42" i="12"/>
  <c r="F42" i="12" s="1"/>
  <c r="F44" i="12"/>
  <c r="I556" i="4"/>
  <c r="C555" i="4"/>
  <c r="G524" i="4"/>
  <c r="I431" i="4"/>
  <c r="I524" i="4" s="1"/>
  <c r="G183" i="4"/>
  <c r="I183" i="4" s="1"/>
  <c r="I246" i="4"/>
  <c r="D28" i="12"/>
  <c r="G506" i="4"/>
  <c r="I506" i="4"/>
  <c r="D556" i="4"/>
  <c r="C556" i="4" s="1"/>
  <c r="G541" i="4"/>
  <c r="I404" i="4"/>
  <c r="I541" i="4" s="1"/>
  <c r="G575" i="4"/>
  <c r="D571" i="4"/>
  <c r="C571" i="4" s="1"/>
  <c r="D560" i="4"/>
  <c r="C560" i="4" s="1"/>
  <c r="G416" i="4"/>
  <c r="D24" i="12" l="1"/>
  <c r="F28" i="12"/>
  <c r="D575" i="4"/>
  <c r="I575" i="4"/>
  <c r="G592" i="4"/>
  <c r="I592" i="4" s="1"/>
  <c r="G487" i="4"/>
  <c r="G593" i="4" s="1"/>
  <c r="I593" i="4" s="1"/>
  <c r="I416" i="4"/>
  <c r="G549" i="4"/>
  <c r="G550" i="4"/>
  <c r="I487" i="4"/>
  <c r="D564" i="4"/>
  <c r="C564" i="4" s="1"/>
  <c r="G489" i="4"/>
  <c r="D67" i="12" l="1"/>
  <c r="F24" i="12"/>
  <c r="C575" i="4"/>
  <c r="I550" i="4"/>
  <c r="I489" i="4"/>
  <c r="D69" i="12" l="1"/>
  <c r="F67" i="12"/>
  <c r="F69" i="12" s="1"/>
</calcChain>
</file>

<file path=xl/sharedStrings.xml><?xml version="1.0" encoding="utf-8"?>
<sst xmlns="http://schemas.openxmlformats.org/spreadsheetml/2006/main" count="3331" uniqueCount="976">
  <si>
    <t>9900000000</t>
  </si>
  <si>
    <t>0400000000</t>
  </si>
  <si>
    <t>0300000000</t>
  </si>
  <si>
    <t>0200000000</t>
  </si>
  <si>
    <t>0100000000</t>
  </si>
  <si>
    <t>500</t>
  </si>
  <si>
    <t>03</t>
  </si>
  <si>
    <t>14</t>
  </si>
  <si>
    <t>Межбюджетные трансферты</t>
  </si>
  <si>
    <t>Прочие межбюджетные трансферты общего характера</t>
  </si>
  <si>
    <t>0310100000</t>
  </si>
  <si>
    <t xml:space="preserve">Основное мероприятие Обеспечение сбалансированности и устойчивости местного бюджета муниципального образования "Онгудайский район" </t>
  </si>
  <si>
    <t>0310000000</t>
  </si>
  <si>
    <t xml:space="preserve"> Прочие межбюджетные трансферты общего характера. 
</t>
  </si>
  <si>
    <t>03101 45900</t>
  </si>
  <si>
    <t>01</t>
  </si>
  <si>
    <t>0310120000</t>
  </si>
  <si>
    <t>Дотации на выравнивание бюджетной обеспеченности из муниципального  фонда финансовой поддержки сельских поселений</t>
  </si>
  <si>
    <t xml:space="preserve">Дотации на выравнивание бюджетной обеспеченности субъектов РФ и муниципальных образований </t>
  </si>
  <si>
    <t>00</t>
  </si>
  <si>
    <t>Межбюджетные трансферты бюджетам субъектов РФ и муниципальных образований общего характера</t>
  </si>
  <si>
    <t>700</t>
  </si>
  <si>
    <t>Обслуживание государственного (муниципального) долга</t>
  </si>
  <si>
    <t>0310110000</t>
  </si>
  <si>
    <t>13</t>
  </si>
  <si>
    <t>Обслуживание внутреннего государственного и муниципального долга</t>
  </si>
  <si>
    <t>600</t>
  </si>
  <si>
    <t>02</t>
  </si>
  <si>
    <t>12</t>
  </si>
  <si>
    <t>Предоставление субсидий бюджетным, автономным учреждениям и иным некоммерческим организациям</t>
  </si>
  <si>
    <t xml:space="preserve">Основное мероприятие Обеспечение доступности информации для населения на территории МО  "Онгудайский район" </t>
  </si>
  <si>
    <t>0120000000</t>
  </si>
  <si>
    <t>Периодическая печать и издательства</t>
  </si>
  <si>
    <t>Средства массовой информации</t>
  </si>
  <si>
    <t>100</t>
  </si>
  <si>
    <t>02101Л0000</t>
  </si>
  <si>
    <t>05</t>
  </si>
  <si>
    <t>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</si>
  <si>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</si>
  <si>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0210110000</t>
  </si>
  <si>
    <t xml:space="preserve">Основное мероприятие Развитие культуры в муниципальном образовании "Онгудайский район" </t>
  </si>
  <si>
    <t>0210000000</t>
  </si>
  <si>
    <t>Другие вопросы в области физической культуры и спорта.</t>
  </si>
  <si>
    <t>300</t>
  </si>
  <si>
    <t>990000Ш500</t>
  </si>
  <si>
    <t>Социальное обеспечение и иные выплаты населению</t>
  </si>
  <si>
    <t>Резервный фонд местной администрации</t>
  </si>
  <si>
    <t>Закупка товаров, работ и услуг для обеспечения государственных (муниципальных) нужд</t>
  </si>
  <si>
    <t>Основное мероприятие Развитие физической культуры, спорта  и формирование здорового образа жизни в муниципальном образовании "Онгудайский район"</t>
  </si>
  <si>
    <t xml:space="preserve">Физическая культура </t>
  </si>
  <si>
    <t>Физическая культура и спорт</t>
  </si>
  <si>
    <t>200</t>
  </si>
  <si>
    <t>0220110000</t>
  </si>
  <si>
    <t>06</t>
  </si>
  <si>
    <t>10</t>
  </si>
  <si>
    <t>Основное мероприятие Социальная защита населения  в муниципальном образовании "Онгудайский район"</t>
  </si>
  <si>
    <t>0220143400</t>
  </si>
  <si>
    <t>0220000000</t>
  </si>
  <si>
    <t>Другие вопросы в области социальной политики</t>
  </si>
  <si>
    <t>04</t>
  </si>
  <si>
    <t>0230000000</t>
  </si>
  <si>
    <t>Охрана семьи и детства</t>
  </si>
  <si>
    <t>0220151350</t>
  </si>
  <si>
    <t>0110000000</t>
  </si>
  <si>
    <t>Социальное обеспечение населения</t>
  </si>
  <si>
    <t>Пенсионное обеспечение</t>
  </si>
  <si>
    <t>Социальная политика</t>
  </si>
  <si>
    <t>09</t>
  </si>
  <si>
    <t>Другие вопросы в области здравоохранения</t>
  </si>
  <si>
    <t>400</t>
  </si>
  <si>
    <t>Капитальные вложения в объекты государственной (муниципальной) собственности</t>
  </si>
  <si>
    <t>Стационарная медицинская помощь</t>
  </si>
  <si>
    <t>08</t>
  </si>
  <si>
    <t xml:space="preserve">Иные бюджетные ассигнования
</t>
  </si>
  <si>
    <t>Расходы на выплаты по оплате труда работников   Отдела культуры  МО "Онгудайский район"</t>
  </si>
  <si>
    <t>Другие вопросы в области культуры, кинематографии</t>
  </si>
  <si>
    <t>Культура</t>
  </si>
  <si>
    <t>Культура и кинематография</t>
  </si>
  <si>
    <t>07</t>
  </si>
  <si>
    <t>800</t>
  </si>
  <si>
    <t>Расходы на обеспечение функций    Отдела образования МО "Онгудайский район"</t>
  </si>
  <si>
    <t>Расходы на выплаты по оплате труда работников   Отдела образования МО "Онгудайский район"</t>
  </si>
  <si>
    <t>020А174000</t>
  </si>
  <si>
    <t>Другие вопросы в области образования</t>
  </si>
  <si>
    <t>Молодежная политика и оздоровление детей</t>
  </si>
  <si>
    <t xml:space="preserve">Основное мероприятие Развитие дополнительного образования </t>
  </si>
  <si>
    <t xml:space="preserve">Совершенствование организации питания в   организованных детских коллективах Онгудайского района
</t>
  </si>
  <si>
    <t xml:space="preserve">Основное мероприятие Устойчивое развитие сельских территорий  </t>
  </si>
  <si>
    <t>Общее образование</t>
  </si>
  <si>
    <t>Дошкольное образование</t>
  </si>
  <si>
    <t xml:space="preserve">Образование </t>
  </si>
  <si>
    <t>0420000000</t>
  </si>
  <si>
    <t>Благоустрой ство</t>
  </si>
  <si>
    <t>0420241900</t>
  </si>
  <si>
    <t>Основное мероприятие: Обеспечение населения муниципального образования "Онгудайским район" качественной питьевой водой</t>
  </si>
  <si>
    <t>0410000000</t>
  </si>
  <si>
    <t xml:space="preserve">Основное мероприятие Формирование эффективной системы управления и распоряжения муниципальным имуществом муниципального образования "Онгудайский район" </t>
  </si>
  <si>
    <t>0320000000</t>
  </si>
  <si>
    <t>Коммунальное хозяйство</t>
  </si>
  <si>
    <t>Жилищное хозяйство</t>
  </si>
  <si>
    <t>Жилищно-коммунальное хозяйство</t>
  </si>
  <si>
    <t>Основное мероприятие территориальное планирование  в муниципальном образовании "Онгудайский район"</t>
  </si>
  <si>
    <t>0130110000</t>
  </si>
  <si>
    <t>0130000000</t>
  </si>
  <si>
    <t>Другие вопросы в области  национальной экономики</t>
  </si>
  <si>
    <t>Дорожное хояйство (дорожные фонды)</t>
  </si>
  <si>
    <t>0110140300</t>
  </si>
  <si>
    <t>0110140100</t>
  </si>
  <si>
    <t>0110110000</t>
  </si>
  <si>
    <t>Основное мероприятие Развитие  агропромышленного комплекса территории  муниципального образования "Онгудайский район"</t>
  </si>
  <si>
    <t>Сельское хозяйство и рыболовство</t>
  </si>
  <si>
    <t>Национальная экономика</t>
  </si>
  <si>
    <t xml:space="preserve">Основное мероприятие"Профилактика правонарушений и обеспечение безопасности и правопорядка в муниципальном образовании "Онгудайский район" </t>
  </si>
  <si>
    <t>0410110000</t>
  </si>
  <si>
    <t>Основное мероприятиеКомплексные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</t>
  </si>
  <si>
    <t>Другие вопросы в области национальной безопасности и правоохранительной деятельности</t>
  </si>
  <si>
    <t xml:space="preserve"> Основное мероприятие Повышение уровня готовности аварийно-спасательной  службы муниципального образования к реагированию  на возникновение ЧС природного и техногенного характера
</t>
  </si>
  <si>
    <t>040К110190</t>
  </si>
  <si>
    <t>040К100110</t>
  </si>
  <si>
    <t>040К100100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</si>
  <si>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</si>
  <si>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Национальная безопасность и правоохранительная деятельность</t>
  </si>
  <si>
    <t>Национальная оборона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</si>
  <si>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</si>
  <si>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0210244900</t>
  </si>
  <si>
    <t>0120142900</t>
  </si>
  <si>
    <t xml:space="preserve">Субвенции на осуществление государственных полномочий по лицензированию розничной продажи алкогольной продукции 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</si>
  <si>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</si>
  <si>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</si>
  <si>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</si>
  <si>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990А000310</t>
  </si>
  <si>
    <t>Расходы на выплаты по оплате труда работников Контрольно-счетной палаты МО "Онгудайский район"</t>
  </si>
  <si>
    <t>990А000300</t>
  </si>
  <si>
    <t>Непрограммные направления деятельности Контрольно-счетной палаты МО "Онгудайский район"</t>
  </si>
  <si>
    <t xml:space="preserve">Основное мероприятие Повышение качества финансового менеджмента главных распорядителей бюджета муниципального образования "Онгудайский район" Республики Алтай </t>
  </si>
  <si>
    <t>030А192110</t>
  </si>
  <si>
    <t>Расходы на обеспечение функций    Управления по экономике и финансам МО "Онгудайский район"</t>
  </si>
  <si>
    <t>Расходы на выплаты по оплате труда работников  Управления по экономике и финансам МО "Онгудайский район"</t>
  </si>
  <si>
    <t>030А192000</t>
  </si>
  <si>
    <t>Обеспечение деятельности  финансовых, налоговых и таможенных  органов и органов финансового надзора</t>
  </si>
  <si>
    <t>010А100190</t>
  </si>
  <si>
    <t>Расходы на обеспечение функций    Администрации МО "Онгудайский район"</t>
  </si>
  <si>
    <t>010А100110</t>
  </si>
  <si>
    <t>Расходы на выплаты по оплате труда работников   Администрации МО "Онгудайский район"</t>
  </si>
  <si>
    <t>010А100000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</si>
  <si>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</si>
  <si>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990А000410</t>
  </si>
  <si>
    <t>Расходы на выплаты по оплате труда работниковСовета депутатов МО "Онгудайский район"</t>
  </si>
  <si>
    <t>990А000400</t>
  </si>
  <si>
    <t>Непрограммные направления деятельности Совета депутатов МО "Онгудайский район"</t>
  </si>
  <si>
    <t>990А000200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</si>
  <si>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</si>
  <si>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</si>
  <si>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990А000100</t>
  </si>
  <si>
    <t xml:space="preserve">Высшее должностное лицо муниципального образования </t>
  </si>
  <si>
    <t>Функционирование высшего должностного лица субъекта Российской Федерации и органа местного самоуправления</t>
  </si>
  <si>
    <t>Общегосударственные вопросы</t>
  </si>
  <si>
    <t>Целевая статья</t>
  </si>
  <si>
    <t>Подраздел</t>
  </si>
  <si>
    <t>Раздел</t>
  </si>
  <si>
    <t>(тыс.рублей)</t>
  </si>
  <si>
    <t>ВСЕГО РАСХОДОВ</t>
  </si>
  <si>
    <t>Прочие 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</si>
  <si>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РФ и муниципальных образований</t>
  </si>
  <si>
    <t>1400</t>
  </si>
  <si>
    <t xml:space="preserve">Межбюджетные трансферты бюджетам субъектов РФ и муниципальных образований </t>
  </si>
  <si>
    <t>1300</t>
  </si>
  <si>
    <t>Обслуживание государственного и муниципального долга</t>
  </si>
  <si>
    <t>1200</t>
  </si>
  <si>
    <t>Физическая культура</t>
  </si>
  <si>
    <t>1100</t>
  </si>
  <si>
    <t>Охрана семьи  и детства</t>
  </si>
  <si>
    <t>Социальное обеспечение население</t>
  </si>
  <si>
    <t>Социальное обслуживание населения</t>
  </si>
  <si>
    <t>1000</t>
  </si>
  <si>
    <t>Скорая медицинская помощь</t>
  </si>
  <si>
    <t>Амбулаторная помощь</t>
  </si>
  <si>
    <t>0900</t>
  </si>
  <si>
    <t xml:space="preserve">Здравоохранение </t>
  </si>
  <si>
    <t xml:space="preserve">Другие вопросы в области культуры, кинематографии </t>
  </si>
  <si>
    <t>0800</t>
  </si>
  <si>
    <t xml:space="preserve">Культура и кинематография </t>
  </si>
  <si>
    <t>Профессиональная подготовка, переподготовка и повышение квалификации</t>
  </si>
  <si>
    <t>0700</t>
  </si>
  <si>
    <t>Образование</t>
  </si>
  <si>
    <t>Охрана объектов  растительного и животного мира и среды их обитания</t>
  </si>
  <si>
    <t>0600</t>
  </si>
  <si>
    <t>Охрана окружающей среды</t>
  </si>
  <si>
    <t>Благоустройство</t>
  </si>
  <si>
    <t>0500</t>
  </si>
  <si>
    <t>Жилищно- коммунальное хозяйство</t>
  </si>
  <si>
    <t>Другие вопросы в области национальной экономики</t>
  </si>
  <si>
    <t>Дорожное хозяйство ( дорожные фонды)</t>
  </si>
  <si>
    <t>Общеэкономические вопросы</t>
  </si>
  <si>
    <t>0400</t>
  </si>
  <si>
    <t>Защита населения  и территории от  чрезвычайных ситуаций природного  и техногенного характера, гражданская оборона</t>
  </si>
  <si>
    <t>Органы внутренних дел</t>
  </si>
  <si>
    <t>0300</t>
  </si>
  <si>
    <t>Мобилизационная и вневойсковая подготовка</t>
  </si>
  <si>
    <t>0200</t>
  </si>
  <si>
    <t>Обеспечение деятельности финансовых,органов финансового (финансово-бюджетного) надзора</t>
  </si>
  <si>
    <t>Судебная система</t>
  </si>
  <si>
    <t>Функционирование местных администраций</t>
  </si>
  <si>
    <t>Функционирование представительных органов муниципальных образований</t>
  </si>
  <si>
    <t>Функционирование высшего должностного лица муниципального образования</t>
  </si>
  <si>
    <t>0100</t>
  </si>
  <si>
    <t>Раздел, подраздел</t>
  </si>
  <si>
    <t>Наименование показателя</t>
  </si>
  <si>
    <t xml:space="preserve">Всего </t>
  </si>
  <si>
    <t>810</t>
  </si>
  <si>
    <t>Основное мероприятие Поддержка малого и среднего предпринимательства на территории МО "Онгудайский  район"</t>
  </si>
  <si>
    <t>092</t>
  </si>
  <si>
    <t>Ощегосударственные вопросы</t>
  </si>
  <si>
    <t>074</t>
  </si>
  <si>
    <t xml:space="preserve">Предоставление муниципальных  услуг в  муниципальных образовательных организациях   дошкольного образования в муниципальном образовании "Онгудайский район" </t>
  </si>
  <si>
    <t>Вид расхода</t>
  </si>
  <si>
    <t>Ведомства</t>
  </si>
  <si>
    <t xml:space="preserve">Коды бюджетной классификации </t>
  </si>
  <si>
    <t xml:space="preserve">Наименование </t>
  </si>
  <si>
    <t>Условно-утверждаемые расходы</t>
  </si>
  <si>
    <t>99</t>
  </si>
  <si>
    <t>0310210000</t>
  </si>
  <si>
    <t>Расходы на выплаты по оплате труда работников   МКУ ГОЧС</t>
  </si>
  <si>
    <t>Расходы на обеспечение функций   МКУ ГО ЧС</t>
  </si>
  <si>
    <t>Основное мероприятие Отходы  в муниципальном образовании "Онгудайский район"</t>
  </si>
  <si>
    <t>Выплата ежемесячной надбавки к заработной плате педагогическим работникам, отнесенным к категории молодых специалистов</t>
  </si>
  <si>
    <t>040К100000</t>
  </si>
  <si>
    <t>Расходы на выплаты по оплате труда работников МКУ "Отдел капитального строительства муниципального образования "Онгудайский район"</t>
  </si>
  <si>
    <t>Расходы на обеспечение функций   МКУ "Отдел капитального строительства муниципального образования "Онгудайский район"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</si>
  <si>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 </t>
  </si>
  <si>
    <t>Основное мероприятие Развитие библиотечного обслуживания в муниципальном образовании"Онгудайский район"</t>
  </si>
  <si>
    <t>Основное мероприятие Повышение эффективности использования муниципального жилого фонда</t>
  </si>
  <si>
    <t>Дополнительное  образование детей</t>
  </si>
  <si>
    <t>0500000000</t>
  </si>
  <si>
    <t>Администpация муниципального обpазования "Онгудайский pайон"</t>
  </si>
  <si>
    <t>Управление по экономике и финансам администрации муниципального образования "Онгудайский район"</t>
  </si>
  <si>
    <t>Отдел культуры, спорта и туризма администрации района (аймака) муниципального образования "Онгудайский район"</t>
  </si>
  <si>
    <t>Отдел образования Администрации района (аймака) муниципального образования "Онгудайский район"</t>
  </si>
  <si>
    <t>030А192190</t>
  </si>
  <si>
    <t>Основное мероприятие Оказание дополнительных мер социальной поддержки отдельным категориям  граждан муниципального образования "Онгудайский район"</t>
  </si>
  <si>
    <t>Основное мероприятие: Материально–техническое обеспечение  управления Отдела образования МО "Онгудайский район"</t>
  </si>
  <si>
    <t>Основное мероприятие: Материально–техническое обеспечение централизованного обслуживания  Отдела образования МО "Онгудайский район"</t>
  </si>
  <si>
    <t>Основное мерпориятие: Материально-техническое обеспечение Управления по экономике и финансам МО "Онгудайский район"</t>
  </si>
  <si>
    <t>030А192100</t>
  </si>
  <si>
    <t>0310200000</t>
  </si>
  <si>
    <t>Повышение качества финансового менеджмента главных распорядителей</t>
  </si>
  <si>
    <t>990000Ш000</t>
  </si>
  <si>
    <t>0310140000</t>
  </si>
  <si>
    <t>Основное мерпориятие: Материально-техническое обеспечение Администрации МО "Онгудайский район"</t>
  </si>
  <si>
    <t xml:space="preserve">Обеспечивающая подпрограмма "Повышение эффективности управления в Администрации МО "Онгудайский район"Муниципальная программа "Развитие экономического потенциала и предпринимательства муниципального образования "Онгудайский район" </t>
  </si>
  <si>
    <t>010А100100</t>
  </si>
  <si>
    <t xml:space="preserve">Подпрограмма "Развитие систем социальной поддержки населения "муниципальной программы" Социальное развитие муниципального образования  «Онгудайский район» </t>
  </si>
  <si>
    <t>0220100000</t>
  </si>
  <si>
    <t>Основное мероприятие  «Защита от жестокого обращения и профилактика насилия детей»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</si>
  <si>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</t>
  </si>
  <si>
    <t>0420100000</t>
  </si>
  <si>
    <t xml:space="preserve">Подпрограмма "Развитие конкурентоспособной экономики" муницпального образования "Онгудайский район" муниципальной программы "Развитие экономического потенциала и предпринимательства  МО  "Онгудайский район" </t>
  </si>
  <si>
    <t xml:space="preserve">Подпрограмма "Создание условий для развития инвестиционного, инновационного, информационного и имиджевого потенциала"муниципальной программы "Развитие экономического потенциала и предпринимательства  МО  "Онгудайский район" </t>
  </si>
  <si>
    <t>Основное мероприятие Внедрение стандарта деятельности органов местного самоуправления по обеспечению благоприятного инвестиционного климата в муниципальном образовании "Онгудайский район"</t>
  </si>
  <si>
    <t>0120100000</t>
  </si>
  <si>
    <t xml:space="preserve">Подпрограмма "Развитие культуры, спорта и молодежной политики" муниципальной программы " Социальное развитие муниципального образования  «Онгудайский район» </t>
  </si>
  <si>
    <t>0210200000</t>
  </si>
  <si>
    <t>Подпрограмма " Обеспечение безопасности населения " муниципальной программы "Развитие систем жизнеобеспечения и повышение безопасности населения муниципального образования «Онгудайский  район"</t>
  </si>
  <si>
    <t>Основное мероприятие: 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</t>
  </si>
  <si>
    <t>0410100000</t>
  </si>
  <si>
    <t>Основное мероприятие:Материально – техническое обеспечение МКУ  "Отдел капитального строительства муниципального образования "Онгудайский район</t>
  </si>
  <si>
    <t>0410800000</t>
  </si>
  <si>
    <t xml:space="preserve">Проведение агротехнических мероприятий в рамках основного мепоприятия </t>
  </si>
  <si>
    <t>0410200000</t>
  </si>
  <si>
    <t>0410210000</t>
  </si>
  <si>
    <t>Информационно-пропагандистское сопровождение деятельности в сфере обеспечения общественной безопасности и профилактики правонарушений</t>
  </si>
  <si>
    <t>0110100000</t>
  </si>
  <si>
    <t xml:space="preserve"> Развитие малых форм хозяйствования и кооперации на селе </t>
  </si>
  <si>
    <t xml:space="preserve">Подпрограмма "Развитие малого и среднего предпринимательства" муниципальной программы  "Развитие экономического потенциала и предпринимательства  МО  "Онгудайский район" </t>
  </si>
  <si>
    <t>0130100000</t>
  </si>
  <si>
    <t>Проведение мероприятий в рамках основного мероприятия "Поддержка малого и среднего предпринимательства на территории МО "Онгудайский  район"</t>
  </si>
  <si>
    <t>0130200000</t>
  </si>
  <si>
    <t>0130220000</t>
  </si>
  <si>
    <t>Основное мероприятие : Формирование внешней  среды малого и среднего предпринимательства на территории МО "Онгудайский район"</t>
  </si>
  <si>
    <t>Оказание информационно-консультативной поддержки предпринимательства;</t>
  </si>
  <si>
    <t xml:space="preserve">Обеспечивающая подпрограмма  Материально – техническое обеспечение МКУ  "Отдел капитального строительства муниципального образования "Онгудайский район" муниципальной программы "Развитие систем жизнеобеспечения и повышение безопасности населения муниципального образования «Онгудайский  район" </t>
  </si>
  <si>
    <t xml:space="preserve"> Формирование эффективной системы управления и распоряжения муниципальным имуществом муниципального образования "Онгудайский район" </t>
  </si>
  <si>
    <t>Территориальное планирование  в муниципальном образовании "Онгудайский район"</t>
  </si>
  <si>
    <t>Повышение эффективности использования муниципального жилого фонда</t>
  </si>
  <si>
    <t>0110200000</t>
  </si>
  <si>
    <t>Программа производственного контроля за соблюдением  санитарных правил и выполнением санитарно-противоэпидемических и профилактических мероприятий</t>
  </si>
  <si>
    <t>0420110000</t>
  </si>
  <si>
    <t>Основное мероприятие "Организация теплоснабжения населения муниципального образования "Онгудайский район"</t>
  </si>
  <si>
    <t>0420200000</t>
  </si>
  <si>
    <t>0420600000</t>
  </si>
  <si>
    <t>0420610000</t>
  </si>
  <si>
    <t xml:space="preserve">Мероприятия по утилизации отходов в муниципальном образовании "Онгудайский район" </t>
  </si>
  <si>
    <t xml:space="preserve">Подпрограмма "Развитие систем социальной поддержки населения "муниципальной  программы " Социальное развитие муниципального образования  «Онгудайский район» </t>
  </si>
  <si>
    <t>0220200000</t>
  </si>
  <si>
    <t>Доплата к пенсии отдельным категориям  граждан муниципального образования "Онгудайский район"</t>
  </si>
  <si>
    <t>0220220000</t>
  </si>
  <si>
    <t>Основное мероприятие :Устойчивое развитие сельских территорий</t>
  </si>
  <si>
    <t>0210100000</t>
  </si>
  <si>
    <t>0220240000</t>
  </si>
  <si>
    <t>Оказание материальной поддержки, оказавшихся в трудной жизненной ситуации отдельным категориям  граждан муниципального образования "Онгудайский район"</t>
  </si>
  <si>
    <t>0120200000</t>
  </si>
  <si>
    <t xml:space="preserve">Обеспечение доступности информации для населения на территории МО  "Онгудайский район" </t>
  </si>
  <si>
    <t>0120210000</t>
  </si>
  <si>
    <t xml:space="preserve">Реализация молодежной политики муниципального образования "Онгудайский район" </t>
  </si>
  <si>
    <t xml:space="preserve"> Развитие культуры в муниципальном образовании "Онгудайский район" </t>
  </si>
  <si>
    <t>0210600000</t>
  </si>
  <si>
    <t>0210610000</t>
  </si>
  <si>
    <t>Развитие библиотечного обслуживания в муниципальном образовании"Онгудайский район"</t>
  </si>
  <si>
    <t xml:space="preserve">Обеспечивающая подпрограмма «Повышение эффективности муниципального  управления в Отделе культуры, спорта,молодежной политики и туризма администрации МО «Онгудайский район» муниципальной программы " Социальное развитие муниципального образования  «Онгудайский район» 
</t>
  </si>
  <si>
    <t>Основное мероприятие :Материально–техническое обеспечение Отдела культуры МО "Онгудайский район"</t>
  </si>
  <si>
    <t>Обеспечение деятельности  Отдела по методическому и, бухгалтерскому  и хозяйственному обслуживанию учреждений культуры муниципального образования "Онгудайский район"</t>
  </si>
  <si>
    <t>Провдение мероприятий в  рамках социальной защиты  населения  в муниципальном образовании "Онгудайский район"</t>
  </si>
  <si>
    <t>Популяризация  здорового образа жизни</t>
  </si>
  <si>
    <t>010А10000</t>
  </si>
  <si>
    <t>0510000000</t>
  </si>
  <si>
    <t>УУР</t>
  </si>
  <si>
    <t>Финансовый резерв на обеспечение расходных обязательств муниципального образования "Онгудайский район"  на случай недостаточности собственных доходов</t>
  </si>
  <si>
    <t>Обеспечение  деятельности  МКУ "Централизованная бухгалтерия"</t>
  </si>
  <si>
    <t>Основное направление Архивное дело в рамках подпрограммы "Развитие культуры" муниципальной программы МО "Онгудайский район" "Социальное развитие"</t>
  </si>
  <si>
    <t>Обеспечивающая подпрограмма  Материально – техническое обеспечение МКУ ГОЧС муниципальной программы "Развитие систем жизнеобеспечения и повышение безопасности населения муниципального образования "Онгудайский  район"</t>
  </si>
  <si>
    <t>Основное мероприятие:Материально – техническое обеспечение МКУ ГОЧС</t>
  </si>
  <si>
    <t xml:space="preserve">Основное мероприятие: Материально–техническое обеспечение  МКУ "Централизованная бухгалтерия" 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</si>
  <si>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</si>
  <si>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на реализацию  государственных полномочий Республики Алтай, связанных с организацией и обеспечением отдыха и оздоровления детей</t>
  </si>
  <si>
    <t>Субвенции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</si>
  <si>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</si>
  <si>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</si>
  <si>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</si>
  <si>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Субвенции на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</si>
  <si>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Субвенции на осуществление государственных полномочий Республики Алтай в сфере обращения с безнадзорными собаками и кошками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</si>
  <si>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</si>
  <si>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 xml:space="preserve"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</t>
  </si>
  <si>
    <t>Расходы на выплаты по оплате труда работников МКУ Централизованная бухгалтерия за счет  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</si>
  <si>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бюджетам поселений</t>
  </si>
  <si>
    <t>990000П000</t>
  </si>
  <si>
    <t>Меры по противодействию коррупции в границах муниципального района</t>
  </si>
  <si>
    <t>Субсидии на осуществление энергосберегающих технических мероприятий на системах теплоснабжения и водоотведения и модернизацииоборудования на объектах, участвующих в предоставл.коммун.услуг</t>
  </si>
  <si>
    <t>Подпрограмма  "Развитие дошкольного и общего образования" муниципальной программы" «Развитие образования в муниципальном образовании «Онгудайский район»</t>
  </si>
  <si>
    <t>Основное мероприятие Развитие системы содержания и обучения детей в общеобразовательных организациях образования в муниципальном образовании "Онгудайский район"</t>
  </si>
  <si>
    <t>Выплата заработной платы прочему персоналу общеобразовательных организаций  образования в муниципальном образовании "Онгудайский район"</t>
  </si>
  <si>
    <t>Субсидии на софинансирование мероприятий, направленных на обеспечение горячим питанием учащихся муниципальных общеобразовательных организаций в Республике Алтай из малообеспеченных семей</t>
  </si>
  <si>
    <t>Основное мероприятие Субсидии на софинансирование расходных обязательств, возникающих при реализации мероприятий, направленных на развитие образования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</si>
  <si>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</si>
  <si>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Подпрограмма  "Развитие системы дополнительного образования детей"  муниципальной программы" «Развитие образования в муниципальном образовании «Онгудайский район»</t>
  </si>
  <si>
    <t xml:space="preserve">Развитие дополнительного образования детей в сфере физической культуры и спорта </t>
  </si>
  <si>
    <t xml:space="preserve">Развитие дополнительного образования детей в  центрах детского творчества </t>
  </si>
  <si>
    <t>Основное мероприятие «Организация отдыха, оздоровленияи занятости детей»</t>
  </si>
  <si>
    <t>Обеспечивающая подпрограмма Повышение эффективности  муниципального управления  Отдела образования Администрации района (аймака) МО «Онгудайский  район»  муниципальной программы" «Развитие образования в муниципальном образовании «Онгудайский район»</t>
  </si>
  <si>
    <t>Обеспечивающая подпрограмма Централизованное обслуживание Отдела образования Администрации района (аймака) МО «Онгудайский  район»  муниципальной программы" «Развитие образования в муниципальном образовании «Онгудайский район»</t>
  </si>
  <si>
    <t>Обеспечивающая подпрограмма МКУ "Централизованная бухгалтерия" Отдела образования Администрации района (аймака) муниципального образования "Онгудайский район"  муниципальной программы" «Развитие образования в муниципальном образовании «Онгудайский район»</t>
  </si>
  <si>
    <t xml:space="preserve">Расходы на выплаты по оплате труда работников МКУ  "Централизованная бухгалтерия"  </t>
  </si>
  <si>
    <t xml:space="preserve">Обеспечивающая подпрограмма «Создание условий реализации муниципальной программы муниципального образования «Управление муниципальными финансами в муниципальном образовании «Онгудайский район» </t>
  </si>
  <si>
    <t>030А100000</t>
  </si>
  <si>
    <t>Подпрограмма "Повышение эффективности бюджетных расходов в муниципальном образовании «Онгудайский район»</t>
  </si>
  <si>
    <t>Подпрограмма "Повышение эффективности бюджетных расходов в муниципальном образовании «Онгудайский район» муниципальной программы «Управление муниципальными финансами в муниципальном образовании  «Онгудайский район»</t>
  </si>
  <si>
    <t xml:space="preserve">Обслуживание государственного (муниципального) долга </t>
  </si>
  <si>
    <t>Подпрограмма  "Повышение безопасности населения" муниципальной программы«Развитие систем жизнеобеспечения и повышение безопасности населения в муниципальном образовании «Онгудайский район»</t>
  </si>
  <si>
    <t>0410300000</t>
  </si>
  <si>
    <t>0410345500</t>
  </si>
  <si>
    <t xml:space="preserve">Подпрограмма "Развитие культуры" муниципальной программы " Социальное развитие муниципального образования  «Онгудайский район»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</si>
  <si>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</si>
  <si>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Основное мероприятие Обеспечение сбалансированности и устойчивости местного бюджета муниципального образования "Онгудайский район"</t>
  </si>
  <si>
    <t>0310145300</t>
  </si>
  <si>
    <t>0310145400</t>
  </si>
  <si>
    <t>Подпрограмма «Противодействие  коррупции» муниципальной программы "Развитие систем жизнеобеспечения и повышение безопасности населения муниципального образования «Онгудайский  район"</t>
  </si>
  <si>
    <t>Основное мероприятие Осуществление мер по противодействию коррупции в границах муниципального района</t>
  </si>
  <si>
    <t>04101S2400</t>
  </si>
  <si>
    <t>0410810000</t>
  </si>
  <si>
    <t>Подпрограмма "Развитие транспортной инфраструктуры"муниципальной программы "Развитие систем жизнеобеспечения и повышение безопасности населения муниципального образования «Онгудайский  район"</t>
  </si>
  <si>
    <t>0430000000</t>
  </si>
  <si>
    <t>0430100000</t>
  </si>
  <si>
    <t>04301200Д0</t>
  </si>
  <si>
    <t xml:space="preserve">Подпрограмма  " Управление муниципальной собственностью"муниципальной программы  «Управление муниципальной собственностью и градостроительной деятельностью в муниципальном образовании «Онгудайский район» </t>
  </si>
  <si>
    <t>061000000</t>
  </si>
  <si>
    <t>0610100000</t>
  </si>
  <si>
    <t>0610110000</t>
  </si>
  <si>
    <t xml:space="preserve">Подпрограмма  " Градостроительная политика"муниципальной программы  «Управление муниципальной собственностью и градостроительной деятельностью в муниципальном образовании «Онгудайский район» </t>
  </si>
  <si>
    <t>0620000000</t>
  </si>
  <si>
    <t>0620100000</t>
  </si>
  <si>
    <t>0620110000</t>
  </si>
  <si>
    <t>коррупция</t>
  </si>
  <si>
    <t>0610000000</t>
  </si>
  <si>
    <t>0600000000</t>
  </si>
  <si>
    <t>Подпрограмма  " Развитие жилищно-коммунального комплекса"муниципальной программы «Развитие систем жизнеобеспечения и повышение безопасности населения в муниципальном образовании «Онгудайский район»</t>
  </si>
  <si>
    <t>Реализация мероприятий по устойчивому развитию сельских территорий (капитальные вложения в объекты муиципальной собственности)</t>
  </si>
  <si>
    <t>Подпрограмма " Развитие жилищно-коммунального комплекса" муниципальной программы "Развитие систем жизнеобеспечения и повышение безопасности населения муниципального образования «Онгудайский  район"</t>
  </si>
  <si>
    <t>0420400000</t>
  </si>
  <si>
    <t>Реконструкция систем водоснабжения Онгудайского района Республики Алтай</t>
  </si>
  <si>
    <t>Подготовка к отопительному периоду объектов теплоснабжения</t>
  </si>
  <si>
    <t>0420210000</t>
  </si>
  <si>
    <t>0420410000</t>
  </si>
  <si>
    <t>0420420000</t>
  </si>
  <si>
    <t>Основное мероприятие Реализация мероприятий, направленных на развитие образования</t>
  </si>
  <si>
    <t>Реализация мероприятий по устойчивому развитию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</si>
  <si>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 xml:space="preserve">Подпрограмма "Создание условий для развития инвестиционногои информационного потенциала" муниципальной программы "Развитие экономического потенциала и предпринимательства  МО  "Онгудайский район" </t>
  </si>
  <si>
    <t>Развитие дополнительного образования детей в области искусства</t>
  </si>
  <si>
    <t xml:space="preserve">Подпрограмма "Развитие спорта и молодежной политики" муниципальной программы " Социальное развитие муниципального образования  «Онгудайский район» </t>
  </si>
  <si>
    <t xml:space="preserve">Основное мероприятие Реализация молодежной политики </t>
  </si>
  <si>
    <t>0440000000</t>
  </si>
  <si>
    <t>040К2</t>
  </si>
  <si>
    <t>040К1</t>
  </si>
  <si>
    <t>0710100000</t>
  </si>
  <si>
    <t>0710000000</t>
  </si>
  <si>
    <t>0710110000</t>
  </si>
  <si>
    <t>0710110001</t>
  </si>
  <si>
    <t>0710120000</t>
  </si>
  <si>
    <t>07101S4400</t>
  </si>
  <si>
    <t>0710144300</t>
  </si>
  <si>
    <t>07101S4500</t>
  </si>
  <si>
    <t>0710200000</t>
  </si>
  <si>
    <t>0710210000</t>
  </si>
  <si>
    <t>0720000000</t>
  </si>
  <si>
    <t>0720100000</t>
  </si>
  <si>
    <t>0720110000</t>
  </si>
  <si>
    <t>0720200000</t>
  </si>
  <si>
    <t>0720247698</t>
  </si>
  <si>
    <t>070А100000</t>
  </si>
  <si>
    <t>070А174100</t>
  </si>
  <si>
    <t>070А174110</t>
  </si>
  <si>
    <t>070Ц100000</t>
  </si>
  <si>
    <t>070Ц174100</t>
  </si>
  <si>
    <t>070Ц174110</t>
  </si>
  <si>
    <t>070Ц174190</t>
  </si>
  <si>
    <t>070Ц200000</t>
  </si>
  <si>
    <t>070Ц274100</t>
  </si>
  <si>
    <t>070Ц274110</t>
  </si>
  <si>
    <t>070Ц274190</t>
  </si>
  <si>
    <t>070Ц244300</t>
  </si>
  <si>
    <t>0710143895</t>
  </si>
  <si>
    <t>0720130000</t>
  </si>
  <si>
    <t>070А174000</t>
  </si>
  <si>
    <t>070Ц174000</t>
  </si>
  <si>
    <t>070Ц274000</t>
  </si>
  <si>
    <t>0700000000</t>
  </si>
  <si>
    <t>0240000000</t>
  </si>
  <si>
    <t>0240100000</t>
  </si>
  <si>
    <t>0240110000</t>
  </si>
  <si>
    <t>0240200000</t>
  </si>
  <si>
    <t>0240210000</t>
  </si>
  <si>
    <t>0220151760</t>
  </si>
  <si>
    <t xml:space="preserve">Субвенции на осуществление полномочий по обеспечению жильем отдельных категорий граждан, установленных федеральными законами от 24 ноября 1995 года № 181-ФЗ «О социальной защите инвалидов в Российской Федерации» </t>
  </si>
  <si>
    <t xml:space="preserve">Основное мероприятие Обеспечение доступности объектами культуры и спорта </t>
  </si>
  <si>
    <t>0210300000</t>
  </si>
  <si>
    <t>0310151200</t>
  </si>
  <si>
    <t>0440100000</t>
  </si>
  <si>
    <t>0440110000</t>
  </si>
  <si>
    <t>04202S1300</t>
  </si>
  <si>
    <t>0720120000</t>
  </si>
  <si>
    <t>020А210000</t>
  </si>
  <si>
    <t>020А210100</t>
  </si>
  <si>
    <t>020А210110</t>
  </si>
  <si>
    <t>07201S8500</t>
  </si>
  <si>
    <t>02101S8500</t>
  </si>
  <si>
    <t>Субсидии  на оплату труда работникам бюджетной сферы</t>
  </si>
  <si>
    <t>Cубсидии на обеспечение развития и укрепления материально-технической базы домов культуры в населенных пунктах с числом жителей до 50 тыс.чел.</t>
  </si>
  <si>
    <t>02101L4670</t>
  </si>
  <si>
    <t>Cубсидии на поддержку культуры</t>
  </si>
  <si>
    <t>Поддержка творческой деятельности и техническое оснащение детских и кукольных театров (субсидии)</t>
  </si>
  <si>
    <t>02101L5172</t>
  </si>
  <si>
    <t>07101S8500</t>
  </si>
  <si>
    <t>071021L0972</t>
  </si>
  <si>
    <t>070Ц2S8500</t>
  </si>
  <si>
    <t>070А1S8500</t>
  </si>
  <si>
    <t>070Ц1S8500</t>
  </si>
  <si>
    <t>040К1S8500</t>
  </si>
  <si>
    <t>010А1S8500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</si>
  <si>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</t>
  </si>
  <si>
    <t>07102L5191</t>
  </si>
  <si>
    <t>01102L5672</t>
  </si>
  <si>
    <t>Реализация мероприятий по обеспечению жильем молодых семей (субсидии)</t>
  </si>
  <si>
    <t>02401L4970</t>
  </si>
  <si>
    <t>Комплексные мероприятия, направленные на создание и модернизацию учреждений культурно-досугового типа в сельской местности</t>
  </si>
  <si>
    <t>02103L5191</t>
  </si>
  <si>
    <t>04206S8900</t>
  </si>
  <si>
    <t>Мероприятия по созданию и оборудованию мест (площадок) накопления (в том числе раздельного накопления) твердых коммунальных отходов</t>
  </si>
  <si>
    <t>01102L567П</t>
  </si>
  <si>
    <t>800,</t>
  </si>
  <si>
    <t>0430130000</t>
  </si>
  <si>
    <t>"Дорожный фонд муниципального образования "Онгудайский район"</t>
  </si>
  <si>
    <t>Основное мероприятие Развитие транспортной инфраструктуры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</si>
  <si>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</si>
  <si>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04102S2330</t>
  </si>
  <si>
    <t>Обеспечение пожарной безопасности</t>
  </si>
  <si>
    <t>Субсидии на софинансирование расходных обязательств, связанных с участием муниципальных образований в развитии и укреплении материально-технической базы Корпуса сил добровольной пожарно-спасательной службы</t>
  </si>
  <si>
    <t>04108S2340</t>
  </si>
  <si>
    <t>03101S8500</t>
  </si>
  <si>
    <t>030А1S8500</t>
  </si>
  <si>
    <t>Проведение работ в рамках  основного мероприятия "Развитие транспортной инфраструктуры"</t>
  </si>
  <si>
    <t>Капитальные вложения  на реконструкцию и строительство образовательных учреждений  расположенных  в сельской местности</t>
  </si>
  <si>
    <t>02106L5192</t>
  </si>
  <si>
    <t>060К200000</t>
  </si>
  <si>
    <t>060К200100</t>
  </si>
  <si>
    <t>060К200110</t>
  </si>
  <si>
    <t>060К200190</t>
  </si>
  <si>
    <t>060К2S8500</t>
  </si>
  <si>
    <t>Мероприятия по обустройству контейнерных площадок</t>
  </si>
  <si>
    <t>0420620000</t>
  </si>
  <si>
    <t>06К2</t>
  </si>
  <si>
    <t>Капитальные вложения в объекты муниципальной собственности в части создания в Республике Алтай новых мест в общеобразовательных организациях</t>
  </si>
  <si>
    <t>07102S48П0</t>
  </si>
  <si>
    <t>Кассовое исполнение</t>
  </si>
  <si>
    <t>% исполнения</t>
  </si>
  <si>
    <t>0610110001</t>
  </si>
  <si>
    <t xml:space="preserve">Внесение взноса в уставный капитал </t>
  </si>
  <si>
    <t>02106L5194</t>
  </si>
  <si>
    <t>02106L5193</t>
  </si>
  <si>
    <t>020А2S8500</t>
  </si>
  <si>
    <t>020А200000</t>
  </si>
  <si>
    <t>Обеспечивающая подпрогрмма "Обеспечение деятельности Отдела культуры, спорта и молодежной политики администрации района (аймака) и подведомственных ему учреждений"</t>
  </si>
  <si>
    <t>020К100000</t>
  </si>
  <si>
    <t>Основное мероприятие: Материально-техническое обеспечениеМКУ Отдела культуры МО "Онгудайский район"</t>
  </si>
  <si>
    <t>020К110100</t>
  </si>
  <si>
    <t>Расходы на выплаты по оплате труда  КУ Отдела культуры</t>
  </si>
  <si>
    <t>020К110110</t>
  </si>
  <si>
    <t>Расходы на обеспечение функций КУ Отдела культуры</t>
  </si>
  <si>
    <t>020К110190</t>
  </si>
  <si>
    <t>020К1S8500</t>
  </si>
  <si>
    <t>Приложение 4</t>
  </si>
  <si>
    <t xml:space="preserve">Исполнение по ведомственной структуре расходов бюджета муниципального образования "Онгудайский район" за 1 квартал 2019 года </t>
  </si>
  <si>
    <t>ИСПОЛНЕНИЕ</t>
  </si>
  <si>
    <t>Приложение 3</t>
  </si>
  <si>
    <t xml:space="preserve">Уточненный  план </t>
  </si>
  <si>
    <t>09201 05 02 01 05 0000 610</t>
  </si>
  <si>
    <t>Уменьшение прочих остатков денежных средств бюджетов муниципальных районов</t>
  </si>
  <si>
    <t>000 01 05 02 01 00 0000 610</t>
  </si>
  <si>
    <t>Уменьшение прочих остатков денежных средств бюджетов</t>
  </si>
  <si>
    <t>Уменьшение прочих остатков средств бюджетов</t>
  </si>
  <si>
    <t>000 01 05 02 00 00 0000 600</t>
  </si>
  <si>
    <t>Уменьшение остатков средств бюджетов</t>
  </si>
  <si>
    <t>000 01 05 00 00 00 0000 600</t>
  </si>
  <si>
    <t>Изменение остатков средств на счетах по учету средств бюджетов</t>
  </si>
  <si>
    <t>000 01 00 00 00 00 0000 000</t>
  </si>
  <si>
    <t>Изменение остатков средств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</si>
  <si>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</si>
  <si>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</si>
  <si>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</si>
  <si>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 (погашение бюджетных кредитов на пополнение остатков средств на счетах бюджетов  муниципальных районов, предоставленных за счет средств федерального бюджета)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</si>
  <si>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 из них: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</si>
  <si>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</si>
  <si>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</si>
  <si>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</si>
  <si>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 (получение бюджетных кредитов за счет средств федерального бюджета на пополнение остатков средств на счетах бюджетов  муниципальных районов)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</si>
  <si>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Федерации, из них: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</si>
  <si>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</si>
  <si>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</si>
  <si>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</si>
  <si>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</si>
  <si>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092 01 02 00 00 05 0000 810</t>
  </si>
  <si>
    <t>Погашение  бюджетами муниципальных  районов кредитов  от кредитных организаций в валюте Российской Федерации</t>
  </si>
  <si>
    <t>092 01 02 00 00 00 0000 800</t>
  </si>
  <si>
    <t>Погашение кредитов, предоставленных кредитными организациями в валюте Российской Федерации</t>
  </si>
  <si>
    <t>092 01 02 00 00 05 0000 710</t>
  </si>
  <si>
    <t>Получение кредитов  от кредитных организаций бюджетами  муниципальных районов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</si>
  <si>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</si>
  <si>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</si>
  <si>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000 01 02 00 00 00 0000 000</t>
  </si>
  <si>
    <t>Кредиты кредитных организаций в валюте Российской Федерации</t>
  </si>
  <si>
    <t>092 01 0200 00 05 0000 810</t>
  </si>
  <si>
    <t>Погашение бюджетами муниципального района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</si>
  <si>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</si>
  <si>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092 01 02 00 00 00 0000 700</t>
  </si>
  <si>
    <t>092 01 02 00 00 00 0000 000</t>
  </si>
  <si>
    <t>Источники внутреннего финансирования дефицита бюджета:</t>
  </si>
  <si>
    <t>Дефицит  (-), профицит(+ ) бюджета</t>
  </si>
  <si>
    <t>Исполнено</t>
  </si>
  <si>
    <t>Утвержденный план</t>
  </si>
  <si>
    <t>Код бюджетной классификации</t>
  </si>
  <si>
    <t>Наименование источника</t>
  </si>
  <si>
    <t>тыс.руб</t>
  </si>
  <si>
    <t>источников финансирования дефицита бюджета муниципального образования "Онгудайский район"                                                                                         за первый квартал  2019 год</t>
  </si>
  <si>
    <t>Приложение 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</si>
  <si>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</si>
  <si>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092  2  19  60010  05  0000  150</t>
  </si>
  <si>
    <t>ВОЗВРАТ ОСТАТКОВ СУБСИДИЙ, СУБВЕНЦИЙ И ИНЫХ МЕЖБЮДЖЕТНЫХ ТРАНСФЕРТОВ, ИМЕЮЩИХ ЦЕЛЕВОЕ НАЗНАЧЕНИЕ, ПРОШЛЫХ ЛЕТ</t>
  </si>
  <si>
    <t>000  2  19  00000  05  0000  150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</si>
  <si>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</si>
  <si>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000  2  18  60010  05  0000  150</t>
  </si>
  <si>
    <t>Доходы бюджетов муниципальных районов от возврата автономными учреждениями остатков субсидий прошлых лет</t>
  </si>
  <si>
    <t>000  2  18  05020  05  0000  150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</si>
  <si>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</si>
  <si>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000  2  18  05010  05  0000  150</t>
  </si>
  <si>
    <t>Доходы бюджетов муниципальных районов от возврата организациями остатков субсидий прошлых лет</t>
  </si>
  <si>
    <t>000  2  18  05000  05  0000  150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</si>
  <si>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</si>
  <si>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000  2  18  00000  00  0000  150</t>
  </si>
  <si>
    <t>Прочие межбюджетные трансферты, передаваемые бюджетам муниципальных районов</t>
  </si>
  <si>
    <t>092  2  02  49999  05  0000  150</t>
  </si>
  <si>
    <t>Межбюджетные трансферты, передаваемые бюджетам муниципальных районов, за счет средств резервного фонда Президента Российской Федерации</t>
  </si>
  <si>
    <t>092  2  02  49000  05  0000  150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</si>
  <si>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</si>
  <si>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092  2  02  40014  05  0000  150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</si>
  <si>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</si>
  <si>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000  2  02  40014  00  0000  150</t>
  </si>
  <si>
    <t>Иные межбюджетные трансферты</t>
  </si>
  <si>
    <t>000  2  02  40000  00  0000  150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</si>
  <si>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</si>
  <si>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092  2  02 35176  05  0000  150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</si>
  <si>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</si>
  <si>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000  2  02 35176  00  0000  151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</si>
  <si>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</si>
  <si>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092  2  02 35135  05  0000  150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</si>
  <si>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</si>
  <si>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000  2  02 35135  00  0000  150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</si>
  <si>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</si>
  <si>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092  2  02  35120  05  0000  150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</si>
  <si>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</si>
  <si>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000  2  02 35120  00  0000  150</t>
  </si>
  <si>
    <t>Субвенции бюджетам муниципальных районов  на осуществление первичного воинского учета на территориях, где отсутствуют военные комиссариаты</t>
  </si>
  <si>
    <t>092  2  02  35118  05  0000  150</t>
  </si>
  <si>
    <t>Субвенции бюджетам  на осуществление первичного воинского учета на территориях, где отсутствуют военные комиссариаты</t>
  </si>
  <si>
    <t>000  2  02  35118  00  0000  150</t>
  </si>
  <si>
    <t>Субвенции бюджета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(через Министерство образования и науки  Республики Алтай)</t>
  </si>
  <si>
    <t>092  2  02  30029  05  0000  150</t>
  </si>
  <si>
    <t>Субвенции бюджетам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(через Министерство образования и науки  Республики Алтай)</t>
  </si>
  <si>
    <t>000  2  02  30029  00  0000  150</t>
  </si>
  <si>
    <t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 (через Министерство труда, социального развития и занятости населения Республики Алтай)</t>
  </si>
  <si>
    <t>(2962)</t>
  </si>
  <si>
    <t>Субвенции на осуществление государственных полномочий в области производства и оборота этилового спирта, алкогольной и спиртосодержащей продукции  (через  Министерство экономического развития и туризма Республики Алтай)</t>
  </si>
  <si>
    <t>(2949)</t>
  </si>
  <si>
    <t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(через Комитет ветеринарии с Госавтоинспекцией Республики Алтай)</t>
  </si>
  <si>
    <t>(2942)</t>
  </si>
  <si>
    <t>Субвенции на осуществление государственных полномочий Республики Алтай по обращению с безнадзорными животными (через Комитет ветеринарии с Госавтоинспекцией Республики Алтай)</t>
  </si>
  <si>
    <t>(2941)</t>
  </si>
  <si>
    <t xml:space="preserve"> </t>
  </si>
  <si>
    <t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(через Министерство финансов Республики Алтай)</t>
  </si>
  <si>
    <t>(2955)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</si>
  <si>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  (через Министерство финансов Республики Алтай)</t>
  </si>
  <si>
    <t>(2967)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</si>
  <si>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(через Министерство образования и науки Республики Алтай)</t>
  </si>
  <si>
    <t>(2945)</t>
  </si>
  <si>
    <t xml:space="preserve"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государственой собственности Республики Алтай и находящихся  на территории муниципальных образований   (через Комитет по делам записи актов гражданского состояния и архивов Республики Алтай) </t>
  </si>
  <si>
    <t>(2940)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</si>
  <si>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 (через Министерство образования и науки  Республики Алтай)</t>
  </si>
  <si>
    <t>(2934)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</si>
  <si>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 (через Министерство труда, социального развития и занятости населения Республики Алтай)</t>
  </si>
  <si>
    <t>(2936)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</si>
  <si>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(через Министерство регионального развития Республики Алтай)</t>
  </si>
  <si>
    <t>(2969)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</si>
  <si>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(через Министерство финансов Республики Алтай)</t>
  </si>
  <si>
    <t>Субвенции бюджетам муниципальных районов на выполнение передаваемых полномочий субъектов Российской Федерации</t>
  </si>
  <si>
    <t>092  2  02  30024  05  0000  150</t>
  </si>
  <si>
    <t xml:space="preserve">Субвенции местным бюджетам на выполнение передаваемых полномочий субъектов Российской Федерации </t>
  </si>
  <si>
    <t>000  2  02  30024  00  0000  150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</si>
  <si>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</si>
  <si>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</si>
  <si>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</si>
  <si>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</si>
  <si>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ежемесячное денежное вознаграждение за классное руководство</t>
  </si>
  <si>
    <t>092  2  02  03021  05  0000  151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</si>
  <si>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</si>
  <si>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</si>
  <si>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</si>
  <si>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000  2  02  03013  05  0000  151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</si>
  <si>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</si>
  <si>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000  2  02  03013  00  0000  151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</si>
  <si>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</si>
  <si>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092  2  02  03007  05  0000  151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</si>
  <si>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</si>
  <si>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000  2  02  03007  00  0000  151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</si>
  <si>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</si>
  <si>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000  2  02  03004  05  0000  151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</si>
  <si>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</si>
  <si>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000  2  02  03004  00  0000  151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</si>
  <si>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</si>
  <si>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000  2  02  03002  05  0000  151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</si>
  <si>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</si>
  <si>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</si>
  <si>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</si>
  <si>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</si>
  <si>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</si>
  <si>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</si>
  <si>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 xml:space="preserve">Субвенции бюджетам субъектов Российской Федерации и муниципальных образований </t>
  </si>
  <si>
    <t>000  2  02  30000  00  0000  150</t>
  </si>
  <si>
    <t>Иные межбюджетные трансфертына финансовое обеспечение дорожной деятельности (Иные межбюджетные трансферты, предоставляемые на достижение целевых показателей региональных программ в сфере дорожного хозяйства, предусматривающих приведение в нормативное состояние, развитие и увеличение пропускной способности сети автомобильных дорог общего пользования регионального или межмуниципального, местного значения (Т2)</t>
  </si>
  <si>
    <t>18-А37-000Т2</t>
  </si>
  <si>
    <t xml:space="preserve">Субсидии бюджетам на капитальный ремонти ремонт автомобильных дорог общего пользования местного значения и искусственных сооружений на них в рамках подпрограммы "Развитие транспортного комплекса"  государственной программы Республики Алтай </t>
  </si>
  <si>
    <t>Субсидии бюджетам на софинансирование расходов местных бюджетов в части капитального ремонта зданий и материально - технического обеспечения образовательных организаций, в рамках подпрограммы "Развитие общего образования" государственной программы Республики Алтай "Развитие жилищно-коммунального и транспортного комплекса</t>
  </si>
  <si>
    <t>Субсидии бюджетам на поддержку и развитие сферы культуры, в рамках подпрограммы "Культурно-досуговая деятельность" государственной программы Республики Алтай "Развитие культуры"</t>
  </si>
  <si>
    <t>Субсидии на выполнение работ по благоустройству территорий в рамках реализации проекта "Инициативы граждан"</t>
  </si>
  <si>
    <t>Субсидии бюджетам на повышения оплаты труда работников муниципальнных учреждений культуры в Республике Алтай в рамках подпрограммы "Культурно-досуговая деятельность" государственной программы Республики Алтай "развитие Культуры"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</si>
  <si>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</t>
  </si>
  <si>
    <t>(2995)</t>
  </si>
  <si>
    <t>Субсидии на софинансирование расходных обязательств по созданию и оборудованию мест (площадок) накопления ( в том числе раздельного накоплени) твердых коммунальных отходов</t>
  </si>
  <si>
    <t>(2908)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</si>
  <si>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   (через Министерство регионального развития Республики Алтай)</t>
  </si>
  <si>
    <t>(2975)</t>
  </si>
  <si>
    <t>Субсидии на софинанисрование расходов по обеспечению земельных участков инженерной инфраструктурой, предоставленных в собственность отдельным категориям граждан бесплатно, в части капитальных вложений в объекты муниципальной собственности  (через Министерство регионального развития Республики Алтай)</t>
  </si>
  <si>
    <t>Субсидии на софинансирование расходных обязательств, связанных  сучастием муниципальных образований в развитии и куреплении материально-технической базы Корпуса сил добровольной пожарно-спасательной  сужбы</t>
  </si>
  <si>
    <t>(2979)</t>
  </si>
  <si>
    <t>Субсидии на выплату ежемесячной надбавки к заработной плате педагогическим работникам, отнесенным к категории молодых специалистов  (через Министерство образования, науки и молодежной политики Республики Алтай)</t>
  </si>
  <si>
    <t>(2966)</t>
  </si>
  <si>
    <t>Субсидии на софинанисрование мероприятий, направленных на оказание поддержки гражданам и их объединениям, участвующим в охране общественного порядка, созданию условий для деятельности народных дружин (через Министерство экономического развития и туризма Республики Алтай)</t>
  </si>
  <si>
    <t>Субсидии на обеспечение горячим питанием учащихся муниципальных общеобразовательных организаций в Республике Алтай из малообеспеченных семей (через Министерство образования, науки и молодежной политики Республики Алтай)</t>
  </si>
  <si>
    <t>(2981)</t>
  </si>
  <si>
    <t>Субсидии на софинанисрование расходов местных бюджетов на оплату труда и начисления на выплаты по оплате труда работников бюджетной сферы в Республике Алтай (через Министерство образования, науки и молодежной политики Республики Алтай)</t>
  </si>
  <si>
    <t>(2938)</t>
  </si>
  <si>
    <t>Субсидии на реализацию республиканской целевой программы "Развитие агропромышленного комплекса Республики Алтай на 2011-2017 годы" (через Министерство регионального развития Республики Алтай)</t>
  </si>
  <si>
    <t>Субсидии на реализацию республиканской целевой программы  "Демографическое развитие Республики  Алтай на 2010-2015 годы" (через Министерство регионального развития Республики Алтай)</t>
  </si>
  <si>
    <t>Субсидии на выплату вознаграждения за добровольную сдачу незаконно хранящегося оружия, боеприпасов, взрывчатых веществ и взрывчатых устройств  (через Министерство регионального развития Республики Алтай)</t>
  </si>
  <si>
    <t>(2904)</t>
  </si>
  <si>
    <t>Прочие субсидии бюджетам муниципальных районов</t>
  </si>
  <si>
    <t>092  2  02  29999  05  0000  150</t>
  </si>
  <si>
    <t>Прочие субсидии</t>
  </si>
  <si>
    <t>000  2  02  29999  00  0000  150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</si>
  <si>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</si>
  <si>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092  2  02  27567  05  0000  150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</si>
  <si>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</si>
  <si>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000  2  02  27567  00  0000  150</t>
  </si>
  <si>
    <t>Субсидии бюджетам  на реализацию мероприятий по устойчивому развитию сельских территорий</t>
  </si>
  <si>
    <t>092  2  02  25567  05  0000  150</t>
  </si>
  <si>
    <t>Субсидии бюджетам муниципальных районов на реализацию мероприятий по устойчивому развитию сельских территорий</t>
  </si>
  <si>
    <t>000  2  02  25567  00  0000  150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</si>
  <si>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</si>
  <si>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092  2  02  25519  05  0000  150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</si>
  <si>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</si>
  <si>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000  2  02  25519  00  0000  150</t>
  </si>
  <si>
    <t>Субсидии бюджетам муниципальных районов на поддержку творческой деятельности и техническое оснащение детских и кукольных театров</t>
  </si>
  <si>
    <t>092  2  02  25517  05  0000  150</t>
  </si>
  <si>
    <t>Субсидии бюджетам на поддержку творческой деятельности и техническое оснащение детских и кукольных театров</t>
  </si>
  <si>
    <t>000  2  02  25517  00  0000  150</t>
  </si>
  <si>
    <t>Субсидии бюджетам муниципальных районов на реализацию мероприятий по обеспечению жильем молодых семей</t>
  </si>
  <si>
    <t>092  2  02  25497  05  0000  150</t>
  </si>
  <si>
    <t>Субсидии бюджетам на реализацию мероприятий по обеспечению жильем молодых семей</t>
  </si>
  <si>
    <t>000  2  02  25497  00  0000  150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</si>
  <si>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</si>
  <si>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092  2  02  25467  05  0000  150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</si>
  <si>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</si>
  <si>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000  2  02  25467  00  0000  150</t>
  </si>
  <si>
    <t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</si>
  <si>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092  2  02  25232  05  0000  150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</si>
  <si>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</si>
  <si>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000  2  02  25232  05  0000  150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</si>
  <si>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</si>
  <si>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092  2  02  25097  05  0000  150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</si>
  <si>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</si>
  <si>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000  2  02  25097  00  0000  150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</si>
  <si>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</si>
  <si>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092  2  02  20077  05  0000  150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</si>
  <si>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</si>
  <si>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000  2  02  20077  00  0000  150</t>
  </si>
  <si>
    <t xml:space="preserve">Субсидия на реализацию  мероприятий федеральной целевой программы «Устойчивое развитие сельских территорий на 2014-2017 годы и на период до 2020 года» (субсидии на улучшение жилищных условий граждан Российской Федерации, проживающих в сельской местности) (через Министерство сельского хозяйства Республики Алтай) </t>
  </si>
  <si>
    <t>Субсидии бюджетам муниципальных районов на реализацию федеральных целевых программ</t>
  </si>
  <si>
    <t>092    2  02  20051  05  0000  151</t>
  </si>
  <si>
    <t>Субсидии бюджетам на реализацию федеральных целевых программ</t>
  </si>
  <si>
    <t>000  2  02  20051  00  0000  151</t>
  </si>
  <si>
    <t>Субсидии бюджетам субъектов Российской Федерации и муниципальных образований (межбюджетные субсидии)</t>
  </si>
  <si>
    <t>000  2  02  20000  00  0000  150</t>
  </si>
  <si>
    <t>Прочие дотации бюджетам муниципальных районов</t>
  </si>
  <si>
    <t>092  2  02  01999  05  0000  151</t>
  </si>
  <si>
    <t>Прочие дотации</t>
  </si>
  <si>
    <t>000  2  02  01999  00  0000  151</t>
  </si>
  <si>
    <t>Дотации бюджетам муниципальных районов на поддержку мер по обеспечению сбалансированности бюджетов</t>
  </si>
  <si>
    <t>092  2  02  15002  05  0000  150</t>
  </si>
  <si>
    <t>Дотации бюджетам на поддержку мер по обеспечению сбалансированности бюджетов</t>
  </si>
  <si>
    <t>000  2  02  15002  00  0000  150</t>
  </si>
  <si>
    <t>Дотации бюджетам муниципальных районов на выравнивание бюджетной обеспеченности</t>
  </si>
  <si>
    <t>092  2  02  15001  05  0000  150</t>
  </si>
  <si>
    <t>Дотации на выравнивание бюджетной обеспеченности</t>
  </si>
  <si>
    <t>000  2  02  15001  00  0000  150</t>
  </si>
  <si>
    <t>Дотации бюджетам субъектов Российской Федерации и муниципальных образований</t>
  </si>
  <si>
    <t>000  2  02  10000  00  0000  150</t>
  </si>
  <si>
    <t>БЕЗВОЗМЕЗДНЫЕ ПОСТУПЛЕНИЯ ОТ ДРУГИХ БЮДЖЕТОВ БЮДЖЕТНОЙ СИСТЕМЫ РОССИЙСКОЙ ФЕДЕРАЦИИ</t>
  </si>
  <si>
    <t>000  2  02  00000  00  0000  000</t>
  </si>
  <si>
    <t>БЕЗВОЗМЕЗДНЫЕ ПОСТУПЛЕНИЯ</t>
  </si>
  <si>
    <t>000  2  00  00000  00  0000  000</t>
  </si>
  <si>
    <t>Прочие неналоговые доходы бюджетов муниципальных районов</t>
  </si>
  <si>
    <t>092  1  17  05050  05  0000  180</t>
  </si>
  <si>
    <t>Невыясненные поступления</t>
  </si>
  <si>
    <t>092  1  17  01050  05  0000  180</t>
  </si>
  <si>
    <t>ПРОЧИЕ НЕНАЛОГВЫЕ ДОХОДЫ</t>
  </si>
  <si>
    <t>000  1  17  05000  00  0000  180</t>
  </si>
  <si>
    <t>Прочие неналоговые доходы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</si>
  <si>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</si>
  <si>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</si>
  <si>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</si>
  <si>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</si>
  <si>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</si>
  <si>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</si>
  <si>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</si>
  <si>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000  1  16  33050  05  0000  140</t>
  </si>
  <si>
    <t>Прочие денежные взыскания (штрафы) за правонарушения в области дорожного движения</t>
  </si>
  <si>
    <t>000  1  16  30030  01  0000  140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</si>
  <si>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</si>
  <si>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141  1  16  28000  01  0000  140</t>
  </si>
  <si>
    <t>Денежные взыскания (штрафы) за нарушение земельного законодательства</t>
  </si>
  <si>
    <t>000  1 16  25060  01  0000  140</t>
  </si>
  <si>
    <t>Денежные взыскания (штрафы) за нарушение законодательства в области охраны окружающей среды</t>
  </si>
  <si>
    <t>000  1 16  25050  01  0000  140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</si>
  <si>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</si>
  <si>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000  1 16  25030  01  0000  140</t>
  </si>
  <si>
    <t>Денежные взыскания (штрафы) за нарушение законодательства Российской Федерации о недрах</t>
  </si>
  <si>
    <t>000  1 16  25010  01  0000  140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</si>
  <si>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</si>
  <si>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000  1  16  25000  00  0000  140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</si>
  <si>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</si>
  <si>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188  1  16  08020  01  0000  140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</si>
  <si>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</si>
  <si>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188  1  16  08010  01  0000  140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</si>
  <si>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продукций</t>
  </si>
  <si>
    <t>000  1  16  08000  00  0000  140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</si>
  <si>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</si>
  <si>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182  1  16  06000  01  0000  140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</si>
  <si>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</si>
  <si>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182  1  16  03030  01  0000  140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</si>
  <si>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</si>
  <si>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182  1  16  03010  01  0000  140</t>
  </si>
  <si>
    <t>Денежные взыскания (штрафы) за нарушение законодательства о налогах и сборах</t>
  </si>
  <si>
    <t>000  1  16  03000  00  0000  140</t>
  </si>
  <si>
    <t>ШТРАФЫ, САНКЦИИ, ВОЗМЕЩЕНИЕ УЩЕРБА</t>
  </si>
  <si>
    <t>000  1  16  00000  00  0000  000</t>
  </si>
  <si>
    <t>Платежи, взимаемые организациями муниципальных районов за выполнение определенных функций</t>
  </si>
  <si>
    <t>000  1  15  02050  05  0000  140</t>
  </si>
  <si>
    <t>Платежи, взимаемые государственными и муниципальными организациями за выполнение определенных функций</t>
  </si>
  <si>
    <t>000  1  15  02000  00  0000  140</t>
  </si>
  <si>
    <t>АДМИНИСТРАТИВНЫЕ ПЛАТЕЖИ И СБОРЫ</t>
  </si>
  <si>
    <t>000  1  15  00000  00  0000  000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</si>
  <si>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</si>
  <si>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000  1  14  06025  05  0000 430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</si>
  <si>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</si>
  <si>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000  1  14  06020  00  0000  430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</si>
  <si>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</si>
  <si>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000  1  14  06013  10  0000  430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</si>
  <si>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</si>
  <si>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</si>
  <si>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</si>
  <si>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</si>
  <si>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</si>
  <si>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000  1  14  02052  05  0000  410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</si>
  <si>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</si>
  <si>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</si>
  <si>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</si>
  <si>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</si>
  <si>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ПРОДАЖИ МАТЕРИАЛЬНЫХ И НЕМАТЕРИАЛЬНЫХ АКТИВОВ</t>
  </si>
  <si>
    <t>000  1  14  00000  00  0000  000</t>
  </si>
  <si>
    <t>Прочие доходы от компенсации затрат бюджетов муниципальных районов</t>
  </si>
  <si>
    <t>000  1  13  02995  05  0000  130</t>
  </si>
  <si>
    <t>Прочие доходы от компенсации затрат государств</t>
  </si>
  <si>
    <t>000  1  13  02995  00  0000  130</t>
  </si>
  <si>
    <t>Прочие доходы от оказания платных услуг (работ) получателями средств  бюджетов муниципальных районов</t>
  </si>
  <si>
    <t>000  1  13  01995  00  0000  130</t>
  </si>
  <si>
    <t>Прочие доходы от оказания платных услуг (работ) получателями средств бюджетов муниципальных районов</t>
  </si>
  <si>
    <t>000  1  13  01000  00  0000  130</t>
  </si>
  <si>
    <t>ДОХОДЫ ОТ ОКАЗАНИЯ ПЛАТНЫХ УСЛУГ (РАБОТ) И КОМПЕНСАЦИИ ЗАТРАТ ГОСУДАРСТВА</t>
  </si>
  <si>
    <t>000  1  13  00000  00  0000  000</t>
  </si>
  <si>
    <t>000 1  13  02995  05  0000  130</t>
  </si>
  <si>
    <t>Прочие доходы от компенсации затрат бюджетов</t>
  </si>
  <si>
    <t>000 1  13  02995  00  0000  130</t>
  </si>
  <si>
    <t>800 1  13  01995  05  0000  130</t>
  </si>
  <si>
    <t>Прочие доходы от оказания платных услуг (работ)</t>
  </si>
  <si>
    <t>000 1  13  01995  00  0000  130</t>
  </si>
  <si>
    <t>Доходы от оказания платных услуг (работ)</t>
  </si>
  <si>
    <t>Плата за размещение отходов производства и потребления</t>
  </si>
  <si>
    <t>048  1  12  01040  01  0000  120</t>
  </si>
  <si>
    <t>Плата за сбросы загрязняющих веществ в водные объекты</t>
  </si>
  <si>
    <t>048  1  12  01030  01  0000  120</t>
  </si>
  <si>
    <t>Плата за выбросы загрязняющих веществ в атмосферный воздух передвижными объектами</t>
  </si>
  <si>
    <t>048  1  12  01020  01  0000  120</t>
  </si>
  <si>
    <t>Плата за выбросы загрязняющих веществ в атмосферный воздух стационарными объектами</t>
  </si>
  <si>
    <t>048  1  12  01010  01  0000  120</t>
  </si>
  <si>
    <t>Плата за негативное воздействие на окружающую среду</t>
  </si>
  <si>
    <t>048  1  12  01000  01  0000  120</t>
  </si>
  <si>
    <t>ПЛАТЕЖИ ПРИ ПОЛЬЗОВАНИИ ПРИРОДНЫМИ РЕСУРСАМИ</t>
  </si>
  <si>
    <t>000  1  12  00000  00  0000  000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</si>
  <si>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</si>
  <si>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092  1  11  05035  05  0000  120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</si>
  <si>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</si>
  <si>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</si>
  <si>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</si>
  <si>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092  1  11  05025  05  0000  120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</si>
  <si>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</si>
  <si>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</si>
  <si>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</si>
  <si>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000  1  11  05013  00  0000  120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</si>
  <si>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</si>
  <si>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</si>
  <si>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</si>
  <si>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092  1  11  03050  05  0000  120</t>
  </si>
  <si>
    <t>Проценты, полученные от предоставления бюджетных кредитов внутри страны</t>
  </si>
  <si>
    <t>000  1  11  03000  00  0000  120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</si>
  <si>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</si>
  <si>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</si>
  <si>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 xml:space="preserve"> НЕНАЛОГОВЫЕ ДОХОДЫ</t>
  </si>
  <si>
    <t>Государственная пошлина за выдачу разрешения на установку рекламной конструкции</t>
  </si>
  <si>
    <t>092  1  08  07150  01  1000  110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</si>
  <si>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</si>
  <si>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092  1  08  07084  01  0000  110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</si>
  <si>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</si>
  <si>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000  1  08  07080  01  1000  110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</si>
  <si>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</si>
  <si>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</si>
  <si>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</si>
  <si>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182  1  08  03010  01  0000  110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</si>
  <si>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</si>
  <si>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</si>
  <si>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ГОСУДАРСТВЕННАЯ ПОШЛИНА</t>
  </si>
  <si>
    <t>000  1  08  00000  00  0000  000</t>
  </si>
  <si>
    <t>Налог на добычу общераспространенных полезных ископаемых</t>
  </si>
  <si>
    <t>182  1  07  01020  01  0000  110</t>
  </si>
  <si>
    <t>Налог на добычу полезных ископаемых</t>
  </si>
  <si>
    <t>000  1  07  01000  01  0000  110</t>
  </si>
  <si>
    <t>НАЛОГИ, СБОРЫ И РЕГУЛЯРНЫЕ ПЛАТЕЖИ ЗА ПОЛЬЗОВАНИЕ ПРИРОДНЫМИ РЕСУРСАМИ</t>
  </si>
  <si>
    <t>000  1  07  00000  00  0000  000</t>
  </si>
  <si>
    <t>Налог на имущество организаций по имуществу, не входящему в Единую систему газоснабжения</t>
  </si>
  <si>
    <t>182  1  06  02010  02  0000  110</t>
  </si>
  <si>
    <t>Налог на имущество организаций</t>
  </si>
  <si>
    <t>000  1  06  02000  02  0000  110</t>
  </si>
  <si>
    <t>НАЛОГИ НА ИМУЩЕСТВО</t>
  </si>
  <si>
    <t>000  1  06  00000  00  0000  000</t>
  </si>
  <si>
    <t>Налог, взимаемый в связи с применением патентной системы налогообложения, зачисляемый в бюджеты муниципальных районов</t>
  </si>
  <si>
    <t>182  1  05  04020  02  0000  110</t>
  </si>
  <si>
    <t>Налог, взимаемый в связи с применением патентной системы налогообложения</t>
  </si>
  <si>
    <t>000  1  05  04000  02 0000  110</t>
  </si>
  <si>
    <t>Единый сельскохозяйственный налог</t>
  </si>
  <si>
    <t>182  1  05  03010  01  0000  110</t>
  </si>
  <si>
    <t>000  1  05  03000  01  0000  110</t>
  </si>
  <si>
    <t>Единый налог на вмененный доход для отдельных видов деятельности (за налоговые периоды, истекшие до 1 января 2011 года)</t>
  </si>
  <si>
    <t>182  1  05  02020  02  0000  110</t>
  </si>
  <si>
    <t>Единый налог на вмененный доход для отдельных видов деятельности</t>
  </si>
  <si>
    <t>182  1  05  02010  02  0000  110</t>
  </si>
  <si>
    <t>000  1  05  02000  02  0000  110</t>
  </si>
  <si>
    <t>Минимальный налог, зачисляемый в бюджеты субъектов Российской Федерации</t>
  </si>
  <si>
    <t>182  1  05  01050  01  0000  110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</si>
  <si>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</t>
  </si>
  <si>
    <t>182 1  05  01022  01  0000  110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</si>
  <si>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</si>
  <si>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</si>
  <si>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</si>
  <si>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182  1  05  01020  00  0000  110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</si>
  <si>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</si>
  <si>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182  1  05  01012  01  0000  110</t>
  </si>
  <si>
    <t>182  1  05  01011  01  0000  110</t>
  </si>
  <si>
    <t>Налог, взимаемый с налогоплательщиков, выбравших в качестве объекта налогообложения  доходы</t>
  </si>
  <si>
    <t>182 1  05  01010  00  0000  110</t>
  </si>
  <si>
    <t>Налог, взимаемый в связи с применением упрощенной системы налогообложения</t>
  </si>
  <si>
    <t>000  1  05  01000  00  0000  110</t>
  </si>
  <si>
    <t>НАЛОГИ НА СОВОКУПНЫЙ ДОХОД</t>
  </si>
  <si>
    <t>000  1  05  00000  00  0000  000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</si>
  <si>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</si>
  <si>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</si>
  <si>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</si>
  <si>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</si>
  <si>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моторные масла для дизельных и (или) карбюраторных (инжекторы)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</si>
  <si>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</si>
  <si>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</si>
  <si>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000 1  03  02230  01 0000 110</t>
  </si>
  <si>
    <t>Акцизы по подакцизным товарам (продукции), производимым на территории Российской Федерации</t>
  </si>
  <si>
    <t>000  1  03  02000  01  0000  000</t>
  </si>
  <si>
    <t>НАЛОГИ НА ТОВАРЫ (РАБОТЫ, УСЛУГИ), РЕАЛИЗУЕМЫЕ НА ТЕРРИТОРИИ РОССИЙСКОЙ ФЕДЕРАЦИИ</t>
  </si>
  <si>
    <t>000  1  03  00000  00  0000  000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</si>
  <si>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</si>
  <si>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182  1  01  02050  01  0000  110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</si>
  <si>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</si>
  <si>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182  1  01  02030  01  0000  110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</si>
  <si>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</si>
  <si>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182  1  01  02020  01  0000  110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</si>
  <si>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</t>
    </r>
  </si>
  <si>
    <t>182  1  01  02010  01  0000  110</t>
  </si>
  <si>
    <t>Налог на доходы физических лиц</t>
  </si>
  <si>
    <t>000  1  01  02000  01  0000  110</t>
  </si>
  <si>
    <t>НАЛОГИ НА ПРИБЫЛЬ, ДОХОДЫ</t>
  </si>
  <si>
    <t>000  1  01  00000  00  0000  000</t>
  </si>
  <si>
    <t>НАЛОГОВЫЕ  ДОХОДЫ</t>
  </si>
  <si>
    <t>НАЛОГОВЫЕ И НЕНАЛОГОВЫЕ ДОХОДЫ</t>
  </si>
  <si>
    <t>000  1  00  00000  00  0000  000</t>
  </si>
  <si>
    <t>Доходы бюджета - Всего</t>
  </si>
  <si>
    <t>000  8  50  00000  00  0000  000</t>
  </si>
  <si>
    <t>Процент исполнения</t>
  </si>
  <si>
    <t xml:space="preserve">Исполнено </t>
  </si>
  <si>
    <t>тыс.руб.</t>
  </si>
  <si>
    <t>доходов бюджета муниципального образования "Онгудайский район" по коду бюджетной классификации доходов бюджетов Российской Федерации за  первый квартал 2019 года</t>
  </si>
  <si>
    <t>Приложение 2</t>
  </si>
  <si>
    <t>бюджетных ассигнований по разделам, подразделам   классификации расходов  бюджета муниципального образования  "Онгудайский район" за 1 квартал 2019г.</t>
  </si>
  <si>
    <t xml:space="preserve">К постановлению "Об утверждении отчета об исполнении бюджета мунициапльного образования "Онгудайский район"  за 1 квартал  2019г № 701 от 23.04.2019г
</t>
  </si>
  <si>
    <t xml:space="preserve">К постановлению "Об утверждении отчета об исполнении бюджета мунициапльного образования "Онгудайский район"  за 1 квартал  2019г №  701 от23.04.2019г
</t>
  </si>
  <si>
    <t xml:space="preserve">К  постановлению "Об утверждении отчета об исполнении бюджета мунициапльного образования "Онгудайский район"                                              за 1 квартал 2019г  №701  от 23.04. 2019г
</t>
  </si>
  <si>
    <t xml:space="preserve">К  постановлению "Об утверждении отчета об исполнении бюджета мунициапльного образования "Онгудайский район"  за   1 квартал 2019г №701 от 23.04.2019г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</si>
</sst>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0.00000"/>
    <numFmt numFmtId="165" formatCode="0.000"/>
    <numFmt numFmtId="166" formatCode="###\ ###\ ###\ ###\ ##0.0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1"/>
    </font>
    <font>
      <u/>
      <sz val="11"/>
      <color theme="10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Calibri"/>
      <family val="2"/>
      <scheme val="minor"/>
    </font>
    <font>
      <sz val="12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theme="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color rgb="FF000000"/>
      <name val="Segoe UI"/>
      <family val="2"/>
    </font>
    <font>
      <vertAlign val="superscript"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b/>
      <sz val="14"/>
      <color indexed="6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C8A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47">
    <xf numFmtId="0" fontId="0" fillId="0" borderId="0"/>
    <xf numFmtId="0" fontId="7" fillId="0" borderId="0"/>
    <xf numFmtId="0" fontId="5" fillId="0" borderId="0"/>
    <xf numFmtId="0" fontId="9" fillId="0" borderId="0"/>
    <xf numFmtId="0" fontId="7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43" fontId="13" fillId="0" borderId="0" applyFon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5" fillId="0" borderId="0"/>
    <xf numFmtId="0" fontId="19" fillId="0" borderId="0"/>
    <xf numFmtId="0" fontId="7" fillId="0" borderId="0" applyNumberFormat="0" applyFont="0" applyFill="0" applyBorder="0" applyAlignment="0" applyProtection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20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9" fillId="0" borderId="0"/>
    <xf numFmtId="0" fontId="9" fillId="0" borderId="0"/>
    <xf numFmtId="0" fontId="9" fillId="0" borderId="0"/>
    <xf numFmtId="9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8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  <xf numFmtId="43" fontId="6" fillId="0" borderId="0" applyFont="0" applyFill="0" applyBorder="0" applyAlignment="0" applyProtection="0"/>
  </cellStyleXfs>
  <cellXfs count="243">
    <xf numFmtId="0" fontId="0" fillId="0" borderId="0" xfId="0"/>
    <xf numFmtId="0" fontId="8" fillId="0" borderId="1" xfId="1" applyFont="1" applyFill="1" applyBorder="1" applyAlignment="1">
      <alignment horizontal="left" wrapText="1"/>
    </xf>
    <xf numFmtId="164" fontId="8" fillId="0" borderId="1" xfId="1" applyNumberFormat="1" applyFont="1" applyFill="1" applyBorder="1" applyAlignment="1">
      <alignment horizontal="right"/>
    </xf>
    <xf numFmtId="49" fontId="8" fillId="0" borderId="1" xfId="1" applyNumberFormat="1" applyFont="1" applyFill="1" applyBorder="1" applyAlignment="1">
      <alignment horizontal="left"/>
    </xf>
    <xf numFmtId="0" fontId="11" fillId="0" borderId="1" xfId="1" applyFont="1" applyFill="1" applyBorder="1" applyAlignment="1">
      <alignment horizontal="left" wrapText="1"/>
    </xf>
    <xf numFmtId="49" fontId="10" fillId="0" borderId="1" xfId="1" applyNumberFormat="1" applyFont="1" applyFill="1" applyBorder="1" applyAlignment="1">
      <alignment horizontal="left"/>
    </xf>
    <xf numFmtId="0" fontId="8" fillId="0" borderId="1" xfId="5" applyFont="1" applyFill="1" applyBorder="1" applyAlignment="1">
      <alignment horizontal="left" wrapText="1"/>
    </xf>
    <xf numFmtId="0" fontId="11" fillId="0" borderId="1" xfId="1" applyFont="1" applyFill="1" applyBorder="1" applyAlignment="1">
      <alignment horizontal="left" vertical="top" wrapText="1"/>
    </xf>
    <xf numFmtId="49" fontId="8" fillId="0" borderId="1" xfId="1" applyNumberFormat="1" applyFont="1" applyFill="1" applyBorder="1" applyAlignment="1">
      <alignment horizontal="left" wrapText="1"/>
    </xf>
    <xf numFmtId="0" fontId="10" fillId="0" borderId="1" xfId="3" applyFont="1" applyFill="1" applyBorder="1" applyAlignment="1">
      <alignment horizontal="center" vertical="center" wrapText="1"/>
    </xf>
    <xf numFmtId="0" fontId="0" fillId="0" borderId="0" xfId="0" applyBorder="1" applyAlignment="1"/>
    <xf numFmtId="0" fontId="8" fillId="0" borderId="0" xfId="5" applyFont="1"/>
    <xf numFmtId="0" fontId="9" fillId="0" borderId="0" xfId="0" applyFont="1"/>
    <xf numFmtId="0" fontId="9" fillId="0" borderId="0" xfId="0" applyFont="1" applyBorder="1" applyAlignment="1"/>
    <xf numFmtId="0" fontId="21" fillId="0" borderId="0" xfId="0" applyFont="1"/>
    <xf numFmtId="2" fontId="10" fillId="0" borderId="1" xfId="5" applyNumberFormat="1" applyFont="1" applyFill="1" applyBorder="1" applyAlignment="1">
      <alignment horizontal="center"/>
    </xf>
    <xf numFmtId="49" fontId="10" fillId="0" borderId="1" xfId="5" applyNumberFormat="1" applyFont="1" applyFill="1" applyBorder="1" applyAlignment="1">
      <alignment horizontal="center"/>
    </xf>
    <xf numFmtId="0" fontId="10" fillId="0" borderId="1" xfId="5" applyFont="1" applyBorder="1" applyAlignment="1">
      <alignment wrapText="1"/>
    </xf>
    <xf numFmtId="2" fontId="8" fillId="0" borderId="1" xfId="5" applyNumberFormat="1" applyFont="1" applyFill="1" applyBorder="1" applyAlignment="1">
      <alignment horizontal="center"/>
    </xf>
    <xf numFmtId="49" fontId="8" fillId="0" borderId="1" xfId="5" applyNumberFormat="1" applyFont="1" applyFill="1" applyBorder="1" applyAlignment="1">
      <alignment horizontal="center"/>
    </xf>
    <xf numFmtId="49" fontId="8" fillId="0" borderId="2" xfId="5" applyNumberFormat="1" applyFont="1" applyFill="1" applyBorder="1" applyAlignment="1">
      <alignment horizontal="center"/>
    </xf>
    <xf numFmtId="0" fontId="8" fillId="0" borderId="1" xfId="5" applyFont="1" applyBorder="1" applyAlignment="1">
      <alignment wrapText="1"/>
    </xf>
    <xf numFmtId="49" fontId="8" fillId="0" borderId="5" xfId="5" applyNumberFormat="1" applyFont="1" applyFill="1" applyBorder="1" applyAlignment="1">
      <alignment horizontal="center"/>
    </xf>
    <xf numFmtId="0" fontId="8" fillId="0" borderId="1" xfId="9" applyFont="1" applyFill="1" applyBorder="1" applyAlignment="1">
      <alignment horizontal="justify" vertical="top" wrapText="1" shrinkToFit="1"/>
    </xf>
    <xf numFmtId="0" fontId="10" fillId="0" borderId="1" xfId="5" applyFont="1" applyBorder="1" applyAlignment="1">
      <alignment horizontal="center" vertical="center" wrapText="1"/>
    </xf>
    <xf numFmtId="0" fontId="8" fillId="0" borderId="0" xfId="18" applyFont="1" applyAlignment="1">
      <alignment wrapText="1"/>
    </xf>
    <xf numFmtId="0" fontId="8" fillId="0" borderId="0" xfId="5" applyFont="1" applyBorder="1"/>
    <xf numFmtId="0" fontId="8" fillId="0" borderId="0" xfId="1" applyFont="1" applyFill="1"/>
    <xf numFmtId="0" fontId="11" fillId="0" borderId="0" xfId="1" applyFont="1" applyFill="1"/>
    <xf numFmtId="165" fontId="8" fillId="0" borderId="0" xfId="1" applyNumberFormat="1" applyFont="1" applyFill="1" applyBorder="1"/>
    <xf numFmtId="2" fontId="8" fillId="0" borderId="0" xfId="1" applyNumberFormat="1" applyFont="1" applyFill="1" applyAlignment="1"/>
    <xf numFmtId="2" fontId="8" fillId="0" borderId="0" xfId="1" applyNumberFormat="1" applyFont="1" applyFill="1" applyBorder="1"/>
    <xf numFmtId="1" fontId="8" fillId="0" borderId="0" xfId="1" applyNumberFormat="1" applyFont="1" applyFill="1" applyBorder="1"/>
    <xf numFmtId="0" fontId="8" fillId="0" borderId="0" xfId="1" applyFont="1" applyFill="1" applyBorder="1"/>
    <xf numFmtId="0" fontId="23" fillId="0" borderId="1" xfId="1" applyFont="1" applyFill="1" applyBorder="1" applyAlignment="1">
      <alignment horizontal="left"/>
    </xf>
    <xf numFmtId="0" fontId="10" fillId="0" borderId="0" xfId="1" applyFont="1" applyFill="1"/>
    <xf numFmtId="0" fontId="15" fillId="0" borderId="0" xfId="1" applyFont="1" applyFill="1" applyAlignment="1">
      <alignment horizontal="center" vertical="center"/>
    </xf>
    <xf numFmtId="1" fontId="15" fillId="0" borderId="1" xfId="1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left"/>
    </xf>
    <xf numFmtId="165" fontId="8" fillId="0" borderId="0" xfId="1" applyNumberFormat="1" applyFont="1" applyFill="1" applyAlignment="1">
      <alignment wrapText="1"/>
    </xf>
    <xf numFmtId="165" fontId="8" fillId="0" borderId="0" xfId="1" applyNumberFormat="1" applyFont="1" applyFill="1" applyAlignment="1">
      <alignment horizontal="left" vertical="top"/>
    </xf>
    <xf numFmtId="0" fontId="11" fillId="0" borderId="0" xfId="1" applyFont="1" applyFill="1" applyAlignment="1">
      <alignment horizontal="left"/>
    </xf>
    <xf numFmtId="164" fontId="8" fillId="0" borderId="0" xfId="18" applyNumberFormat="1" applyFont="1" applyFill="1" applyAlignment="1">
      <alignment horizontal="left"/>
    </xf>
    <xf numFmtId="0" fontId="23" fillId="0" borderId="1" xfId="1" applyFont="1" applyFill="1" applyBorder="1" applyAlignment="1">
      <alignment horizontal="left" wrapText="1"/>
    </xf>
    <xf numFmtId="2" fontId="8" fillId="0" borderId="0" xfId="0" applyNumberFormat="1" applyFont="1" applyFill="1" applyAlignment="1">
      <alignment horizontal="right" vertical="center"/>
    </xf>
    <xf numFmtId="2" fontId="10" fillId="0" borderId="1" xfId="1" applyNumberFormat="1" applyFont="1" applyFill="1" applyBorder="1" applyAlignment="1">
      <alignment horizontal="right"/>
    </xf>
    <xf numFmtId="2" fontId="8" fillId="0" borderId="1" xfId="1" applyNumberFormat="1" applyFont="1" applyFill="1" applyBorder="1" applyAlignment="1">
      <alignment horizontal="right"/>
    </xf>
    <xf numFmtId="2" fontId="8" fillId="0" borderId="0" xfId="1" applyNumberFormat="1" applyFont="1" applyFill="1" applyAlignment="1">
      <alignment horizontal="right"/>
    </xf>
    <xf numFmtId="0" fontId="8" fillId="0" borderId="0" xfId="1" applyFont="1" applyFill="1" applyAlignment="1">
      <alignment vertical="top"/>
    </xf>
    <xf numFmtId="49" fontId="10" fillId="0" borderId="2" xfId="5" applyNumberFormat="1" applyFont="1" applyFill="1" applyBorder="1" applyAlignment="1">
      <alignment horizontal="center"/>
    </xf>
    <xf numFmtId="164" fontId="10" fillId="0" borderId="1" xfId="1" applyNumberFormat="1" applyFont="1" applyFill="1" applyBorder="1" applyAlignment="1">
      <alignment horizontal="right"/>
    </xf>
    <xf numFmtId="0" fontId="23" fillId="0" borderId="0" xfId="1" applyFont="1" applyFill="1"/>
    <xf numFmtId="49" fontId="8" fillId="0" borderId="1" xfId="1" applyNumberFormat="1" applyFont="1" applyFill="1" applyBorder="1"/>
    <xf numFmtId="0" fontId="8" fillId="0" borderId="1" xfId="1" applyFont="1" applyFill="1" applyBorder="1"/>
    <xf numFmtId="49" fontId="10" fillId="0" borderId="1" xfId="1" applyNumberFormat="1" applyFont="1" applyFill="1" applyBorder="1"/>
    <xf numFmtId="0" fontId="10" fillId="0" borderId="1" xfId="1" applyFont="1" applyFill="1" applyBorder="1"/>
    <xf numFmtId="2" fontId="25" fillId="0" borderId="1" xfId="2" applyNumberFormat="1" applyFont="1" applyFill="1" applyBorder="1" applyAlignment="1">
      <alignment horizontal="right" wrapText="1"/>
    </xf>
    <xf numFmtId="2" fontId="9" fillId="0" borderId="1" xfId="0" applyNumberFormat="1" applyFont="1" applyBorder="1"/>
    <xf numFmtId="0" fontId="11" fillId="0" borderId="1" xfId="1" applyFont="1" applyFill="1" applyBorder="1" applyAlignment="1">
      <alignment horizontal="left" vertical="center" wrapText="1"/>
    </xf>
    <xf numFmtId="0" fontId="22" fillId="0" borderId="0" xfId="5" applyFont="1" applyBorder="1" applyAlignment="1">
      <alignment horizontal="center" wrapText="1"/>
    </xf>
    <xf numFmtId="0" fontId="7" fillId="0" borderId="0" xfId="18" applyFont="1" applyAlignment="1">
      <alignment wrapText="1"/>
    </xf>
    <xf numFmtId="0" fontId="23" fillId="0" borderId="1" xfId="1" applyFont="1" applyFill="1" applyBorder="1" applyAlignment="1">
      <alignment horizontal="left" vertical="top" wrapText="1"/>
    </xf>
    <xf numFmtId="164" fontId="10" fillId="0" borderId="0" xfId="1" applyNumberFormat="1" applyFont="1" applyFill="1"/>
    <xf numFmtId="164" fontId="8" fillId="0" borderId="0" xfId="1" applyNumberFormat="1" applyFont="1" applyFill="1"/>
    <xf numFmtId="164" fontId="8" fillId="0" borderId="0" xfId="1" applyNumberFormat="1" applyFont="1" applyFill="1" applyAlignment="1">
      <alignment vertical="top"/>
    </xf>
    <xf numFmtId="164" fontId="8" fillId="0" borderId="0" xfId="1" applyNumberFormat="1" applyFont="1" applyFill="1" applyAlignment="1"/>
    <xf numFmtId="164" fontId="8" fillId="0" borderId="0" xfId="1" applyNumberFormat="1" applyFont="1" applyFill="1" applyAlignment="1">
      <alignment horizontal="right"/>
    </xf>
    <xf numFmtId="164" fontId="8" fillId="0" borderId="0" xfId="1" applyNumberFormat="1" applyFont="1" applyFill="1" applyBorder="1" applyAlignment="1">
      <alignment horizontal="right"/>
    </xf>
    <xf numFmtId="164" fontId="9" fillId="0" borderId="0" xfId="0" applyNumberFormat="1" applyFont="1"/>
    <xf numFmtId="165" fontId="8" fillId="0" borderId="0" xfId="1" applyNumberFormat="1" applyFont="1" applyFill="1"/>
    <xf numFmtId="49" fontId="8" fillId="0" borderId="0" xfId="1" applyNumberFormat="1" applyFont="1" applyFill="1" applyAlignment="1"/>
    <xf numFmtId="2" fontId="8" fillId="0" borderId="1" xfId="2" applyNumberFormat="1" applyFont="1" applyFill="1" applyBorder="1" applyAlignment="1">
      <alignment horizontal="right" wrapText="1"/>
    </xf>
    <xf numFmtId="49" fontId="8" fillId="0" borderId="2" xfId="5" applyNumberFormat="1" applyFont="1" applyFill="1" applyBorder="1" applyAlignment="1">
      <alignment horizontal="center" vertical="center"/>
    </xf>
    <xf numFmtId="49" fontId="8" fillId="0" borderId="1" xfId="5" applyNumberFormat="1" applyFont="1" applyFill="1" applyBorder="1" applyAlignment="1">
      <alignment horizontal="center" vertical="center"/>
    </xf>
    <xf numFmtId="2" fontId="8" fillId="0" borderId="1" xfId="5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2" fontId="8" fillId="0" borderId="1" xfId="7" applyNumberFormat="1" applyFont="1" applyFill="1" applyBorder="1" applyAlignment="1">
      <alignment horizontal="right" wrapText="1"/>
    </xf>
    <xf numFmtId="2" fontId="8" fillId="0" borderId="1" xfId="4" applyNumberFormat="1" applyFont="1" applyFill="1" applyBorder="1" applyAlignment="1">
      <alignment horizontal="right"/>
    </xf>
    <xf numFmtId="2" fontId="8" fillId="0" borderId="1" xfId="1" applyNumberFormat="1" applyFont="1" applyFill="1" applyBorder="1" applyAlignment="1">
      <alignment horizontal="right" wrapText="1"/>
    </xf>
    <xf numFmtId="2" fontId="8" fillId="0" borderId="1" xfId="5" applyNumberFormat="1" applyFont="1" applyFill="1" applyBorder="1" applyAlignment="1">
      <alignment horizontal="right" wrapText="1"/>
    </xf>
    <xf numFmtId="2" fontId="8" fillId="0" borderId="3" xfId="2" applyNumberFormat="1" applyFont="1" applyFill="1" applyBorder="1" applyAlignment="1">
      <alignment horizontal="right" wrapText="1"/>
    </xf>
    <xf numFmtId="2" fontId="8" fillId="0" borderId="1" xfId="0" applyNumberFormat="1" applyFont="1" applyFill="1" applyBorder="1" applyAlignment="1">
      <alignment horizontal="right" wrapText="1" shrinkToFit="1"/>
    </xf>
    <xf numFmtId="2" fontId="8" fillId="0" borderId="3" xfId="1" applyNumberFormat="1" applyFont="1" applyFill="1" applyBorder="1" applyAlignment="1">
      <alignment horizontal="right"/>
    </xf>
    <xf numFmtId="2" fontId="8" fillId="0" borderId="1" xfId="1" applyNumberFormat="1" applyFont="1" applyFill="1" applyBorder="1" applyAlignment="1"/>
    <xf numFmtId="2" fontId="26" fillId="0" borderId="1" xfId="1" applyNumberFormat="1" applyFont="1" applyFill="1" applyBorder="1" applyAlignment="1">
      <alignment horizontal="right"/>
    </xf>
    <xf numFmtId="2" fontId="26" fillId="0" borderId="1" xfId="2" applyNumberFormat="1" applyFont="1" applyFill="1" applyBorder="1" applyAlignment="1">
      <alignment horizontal="right" wrapText="1"/>
    </xf>
    <xf numFmtId="2" fontId="26" fillId="0" borderId="1" xfId="1" applyNumberFormat="1" applyFont="1" applyFill="1" applyBorder="1" applyAlignment="1">
      <alignment horizontal="right" wrapText="1"/>
    </xf>
    <xf numFmtId="2" fontId="26" fillId="0" borderId="1" xfId="0" applyNumberFormat="1" applyFont="1" applyFill="1" applyBorder="1" applyAlignment="1">
      <alignment horizontal="right" wrapText="1" shrinkToFit="1"/>
    </xf>
    <xf numFmtId="0" fontId="8" fillId="0" borderId="1" xfId="1" applyNumberFormat="1" applyFont="1" applyFill="1" applyBorder="1" applyAlignment="1">
      <alignment horizontal="left"/>
    </xf>
    <xf numFmtId="49" fontId="10" fillId="0" borderId="2" xfId="5" applyNumberFormat="1" applyFont="1" applyFill="1" applyBorder="1" applyAlignment="1">
      <alignment horizontal="center"/>
    </xf>
    <xf numFmtId="164" fontId="26" fillId="0" borderId="0" xfId="0" applyNumberFormat="1" applyFont="1" applyFill="1" applyAlignment="1">
      <alignment horizontal="right" vertical="center"/>
    </xf>
    <xf numFmtId="164" fontId="26" fillId="0" borderId="1" xfId="1" applyNumberFormat="1" applyFont="1" applyFill="1" applyBorder="1" applyAlignment="1">
      <alignment horizontal="right"/>
    </xf>
    <xf numFmtId="164" fontId="26" fillId="0" borderId="0" xfId="1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 vertical="center"/>
    </xf>
    <xf numFmtId="2" fontId="10" fillId="0" borderId="1" xfId="4" applyNumberFormat="1" applyFont="1" applyFill="1" applyBorder="1" applyAlignment="1">
      <alignment horizontal="right"/>
    </xf>
    <xf numFmtId="2" fontId="26" fillId="0" borderId="1" xfId="4" applyNumberFormat="1" applyFont="1" applyFill="1" applyBorder="1" applyAlignment="1">
      <alignment horizontal="right"/>
    </xf>
    <xf numFmtId="2" fontId="26" fillId="0" borderId="1" xfId="1" applyNumberFormat="1" applyFont="1" applyFill="1" applyBorder="1" applyAlignment="1"/>
    <xf numFmtId="2" fontId="26" fillId="0" borderId="0" xfId="1" applyNumberFormat="1" applyFont="1" applyFill="1" applyAlignment="1">
      <alignment horizontal="right"/>
    </xf>
    <xf numFmtId="0" fontId="12" fillId="0" borderId="0" xfId="0" applyFont="1" applyFill="1" applyAlignment="1">
      <alignment vertical="top"/>
    </xf>
    <xf numFmtId="43" fontId="12" fillId="0" borderId="0" xfId="146" applyFont="1" applyFill="1" applyAlignment="1">
      <alignment vertical="top"/>
    </xf>
    <xf numFmtId="43" fontId="12" fillId="0" borderId="0" xfId="146" applyFont="1" applyFill="1" applyAlignment="1">
      <alignment horizontal="center" vertical="top"/>
    </xf>
    <xf numFmtId="43" fontId="12" fillId="0" borderId="0" xfId="146" applyFont="1" applyFill="1" applyBorder="1" applyAlignment="1">
      <alignment horizontal="center" vertical="top"/>
    </xf>
    <xf numFmtId="0" fontId="12" fillId="0" borderId="0" xfId="0" applyFont="1" applyFill="1" applyBorder="1" applyAlignment="1">
      <alignment vertical="top"/>
    </xf>
    <xf numFmtId="43" fontId="12" fillId="0" borderId="0" xfId="146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4" fontId="12" fillId="0" borderId="0" xfId="0" applyNumberFormat="1" applyFont="1" applyBorder="1" applyAlignment="1">
      <alignment horizontal="center" vertical="center" wrapText="1"/>
    </xf>
    <xf numFmtId="4" fontId="14" fillId="0" borderId="4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top"/>
    </xf>
    <xf numFmtId="4" fontId="12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vertical="center" wrapText="1"/>
    </xf>
    <xf numFmtId="4" fontId="24" fillId="0" borderId="1" xfId="0" applyNumberFormat="1" applyFont="1" applyBorder="1" applyAlignment="1">
      <alignment horizontal="center" vertical="center" wrapText="1"/>
    </xf>
    <xf numFmtId="0" fontId="24" fillId="0" borderId="1" xfId="0" applyFont="1" applyFill="1" applyBorder="1" applyAlignment="1">
      <alignment vertical="top"/>
    </xf>
    <xf numFmtId="2" fontId="24" fillId="0" borderId="1" xfId="0" applyNumberFormat="1" applyFont="1" applyBorder="1" applyAlignment="1">
      <alignment horizontal="center" vertical="center" wrapText="1"/>
    </xf>
    <xf numFmtId="2" fontId="24" fillId="0" borderId="1" xfId="0" applyNumberFormat="1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3" fontId="24" fillId="0" borderId="1" xfId="146" applyNumberFormat="1" applyFont="1" applyFill="1" applyBorder="1" applyAlignment="1">
      <alignment horizontal="center" vertical="top"/>
    </xf>
    <xf numFmtId="4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top"/>
    </xf>
    <xf numFmtId="4" fontId="24" fillId="0" borderId="6" xfId="0" applyNumberFormat="1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 wrapText="1"/>
    </xf>
    <xf numFmtId="4" fontId="24" fillId="0" borderId="8" xfId="0" applyNumberFormat="1" applyFont="1" applyBorder="1" applyAlignment="1">
      <alignment horizontal="center" vertical="center" wrapText="1"/>
    </xf>
    <xf numFmtId="43" fontId="24" fillId="0" borderId="3" xfId="146" applyNumberFormat="1" applyFont="1" applyFill="1" applyBorder="1" applyAlignment="1">
      <alignment horizontal="center" vertical="top"/>
    </xf>
    <xf numFmtId="4" fontId="24" fillId="0" borderId="4" xfId="0" applyNumberFormat="1" applyFont="1" applyBorder="1" applyAlignment="1">
      <alignment horizontal="center" vertical="center" wrapText="1"/>
    </xf>
    <xf numFmtId="4" fontId="24" fillId="0" borderId="1" xfId="146" applyNumberFormat="1" applyFont="1" applyFill="1" applyBorder="1" applyAlignment="1">
      <alignment horizontal="center" vertical="top"/>
    </xf>
    <xf numFmtId="49" fontId="29" fillId="0" borderId="0" xfId="0" applyNumberFormat="1" applyFont="1" applyAlignment="1">
      <alignment vertical="top" wrapText="1"/>
    </xf>
    <xf numFmtId="0" fontId="30" fillId="0" borderId="0" xfId="0" applyFont="1"/>
    <xf numFmtId="43" fontId="30" fillId="0" borderId="0" xfId="0" applyNumberFormat="1" applyFont="1" applyAlignment="1"/>
    <xf numFmtId="43" fontId="30" fillId="0" borderId="0" xfId="0" applyNumberFormat="1" applyFont="1" applyAlignment="1">
      <alignment horizontal="center"/>
    </xf>
    <xf numFmtId="43" fontId="30" fillId="0" borderId="0" xfId="0" applyNumberFormat="1" applyFont="1" applyAlignment="1">
      <alignment horizontal="center" vertical="center"/>
    </xf>
    <xf numFmtId="0" fontId="30" fillId="0" borderId="0" xfId="0" applyFont="1" applyAlignment="1">
      <alignment vertical="center" wrapText="1"/>
    </xf>
    <xf numFmtId="49" fontId="30" fillId="0" borderId="0" xfId="0" applyNumberFormat="1" applyFont="1" applyAlignment="1"/>
    <xf numFmtId="43" fontId="30" fillId="0" borderId="1" xfId="0" applyNumberFormat="1" applyFont="1" applyBorder="1" applyAlignment="1"/>
    <xf numFmtId="43" fontId="30" fillId="0" borderId="1" xfId="0" applyNumberFormat="1" applyFont="1" applyFill="1" applyBorder="1" applyAlignment="1">
      <alignment horizontal="center"/>
    </xf>
    <xf numFmtId="0" fontId="30" fillId="2" borderId="1" xfId="0" applyFont="1" applyFill="1" applyBorder="1" applyAlignment="1">
      <alignment vertical="center" wrapText="1"/>
    </xf>
    <xf numFmtId="49" fontId="30" fillId="0" borderId="1" xfId="0" applyNumberFormat="1" applyFont="1" applyFill="1" applyBorder="1" applyAlignment="1">
      <alignment horizontal="center"/>
    </xf>
    <xf numFmtId="43" fontId="30" fillId="2" borderId="1" xfId="133" applyNumberFormat="1" applyFont="1" applyFill="1" applyBorder="1" applyAlignment="1">
      <alignment horizontal="center"/>
    </xf>
    <xf numFmtId="0" fontId="30" fillId="2" borderId="0" xfId="0" applyFont="1" applyFill="1"/>
    <xf numFmtId="43" fontId="30" fillId="2" borderId="1" xfId="0" applyNumberFormat="1" applyFont="1" applyFill="1" applyBorder="1" applyAlignment="1">
      <alignment horizontal="center"/>
    </xf>
    <xf numFmtId="49" fontId="30" fillId="2" borderId="1" xfId="0" applyNumberFormat="1" applyFont="1" applyFill="1" applyBorder="1" applyAlignment="1">
      <alignment horizontal="center"/>
    </xf>
    <xf numFmtId="43" fontId="30" fillId="0" borderId="1" xfId="0" applyNumberFormat="1" applyFont="1" applyBorder="1" applyAlignment="1">
      <alignment horizontal="center"/>
    </xf>
    <xf numFmtId="43" fontId="30" fillId="0" borderId="1" xfId="133" applyNumberFormat="1" applyFont="1" applyFill="1" applyBorder="1" applyAlignment="1">
      <alignment horizontal="center"/>
    </xf>
    <xf numFmtId="0" fontId="30" fillId="0" borderId="1" xfId="0" applyFont="1" applyFill="1" applyBorder="1" applyAlignment="1">
      <alignment vertical="center" wrapText="1"/>
    </xf>
    <xf numFmtId="0" fontId="30" fillId="0" borderId="0" xfId="0" applyFont="1" applyFill="1"/>
    <xf numFmtId="0" fontId="31" fillId="0" borderId="0" xfId="0" applyFont="1"/>
    <xf numFmtId="43" fontId="12" fillId="0" borderId="1" xfId="133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0" fontId="32" fillId="0" borderId="0" xfId="0" applyFont="1"/>
    <xf numFmtId="43" fontId="30" fillId="0" borderId="1" xfId="0" applyNumberFormat="1" applyFont="1" applyFill="1" applyBorder="1" applyAlignment="1"/>
    <xf numFmtId="43" fontId="12" fillId="0" borderId="1" xfId="146" applyNumberFormat="1" applyFont="1" applyFill="1" applyBorder="1" applyAlignment="1">
      <alignment horizontal="center" wrapText="1"/>
    </xf>
    <xf numFmtId="0" fontId="33" fillId="0" borderId="1" xfId="0" applyNumberFormat="1" applyFont="1" applyFill="1" applyBorder="1" applyAlignment="1">
      <alignment horizontal="justify" vertical="center" wrapText="1"/>
    </xf>
    <xf numFmtId="49" fontId="32" fillId="0" borderId="1" xfId="0" applyNumberFormat="1" applyFont="1" applyFill="1" applyBorder="1" applyAlignment="1">
      <alignment horizontal="center"/>
    </xf>
    <xf numFmtId="0" fontId="33" fillId="0" borderId="1" xfId="0" applyFont="1" applyFill="1" applyBorder="1" applyAlignment="1">
      <alignment horizontal="justify" vertical="center" wrapText="1"/>
    </xf>
    <xf numFmtId="43" fontId="32" fillId="0" borderId="0" xfId="0" applyNumberFormat="1" applyFont="1"/>
    <xf numFmtId="43" fontId="30" fillId="0" borderId="0" xfId="0" applyNumberFormat="1" applyFont="1"/>
    <xf numFmtId="43" fontId="30" fillId="0" borderId="0" xfId="0" applyNumberFormat="1" applyFont="1" applyFill="1"/>
    <xf numFmtId="0" fontId="34" fillId="0" borderId="0" xfId="0" applyFont="1"/>
    <xf numFmtId="43" fontId="30" fillId="3" borderId="1" xfId="133" applyNumberFormat="1" applyFont="1" applyFill="1" applyBorder="1" applyAlignment="1">
      <alignment horizontal="center"/>
    </xf>
    <xf numFmtId="0" fontId="30" fillId="3" borderId="1" xfId="0" applyFont="1" applyFill="1" applyBorder="1" applyAlignment="1">
      <alignment vertical="center" wrapText="1"/>
    </xf>
    <xf numFmtId="49" fontId="30" fillId="3" borderId="1" xfId="0" applyNumberFormat="1" applyFont="1" applyFill="1" applyBorder="1" applyAlignment="1">
      <alignment horizontal="center"/>
    </xf>
    <xf numFmtId="0" fontId="34" fillId="0" borderId="0" xfId="0" applyFont="1" applyFill="1"/>
    <xf numFmtId="0" fontId="34" fillId="2" borderId="0" xfId="0" applyFont="1" applyFill="1"/>
    <xf numFmtId="43" fontId="30" fillId="3" borderId="1" xfId="0" applyNumberFormat="1" applyFont="1" applyFill="1" applyBorder="1" applyAlignment="1"/>
    <xf numFmtId="0" fontId="32" fillId="3" borderId="1" xfId="0" applyFont="1" applyFill="1" applyBorder="1" applyAlignment="1">
      <alignment vertical="center" wrapText="1"/>
    </xf>
    <xf numFmtId="49" fontId="35" fillId="3" borderId="1" xfId="0" applyNumberFormat="1" applyFont="1" applyFill="1" applyBorder="1" applyAlignment="1">
      <alignment horizontal="center"/>
    </xf>
    <xf numFmtId="49" fontId="32" fillId="3" borderId="1" xfId="0" applyNumberFormat="1" applyFont="1" applyFill="1" applyBorder="1" applyAlignment="1">
      <alignment horizontal="center"/>
    </xf>
    <xf numFmtId="0" fontId="30" fillId="3" borderId="0" xfId="0" applyFont="1" applyFill="1"/>
    <xf numFmtId="0" fontId="34" fillId="3" borderId="0" xfId="0" applyFont="1" applyFill="1"/>
    <xf numFmtId="0" fontId="36" fillId="3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vertical="center" wrapText="1"/>
    </xf>
    <xf numFmtId="49" fontId="37" fillId="0" borderId="1" xfId="127" applyNumberFormat="1" applyFont="1" applyFill="1" applyBorder="1" applyAlignment="1">
      <alignment horizontal="left" vertical="center" wrapText="1"/>
    </xf>
    <xf numFmtId="43" fontId="34" fillId="0" borderId="0" xfId="0" applyNumberFormat="1" applyFont="1"/>
    <xf numFmtId="166" fontId="38" fillId="4" borderId="1" xfId="0" applyNumberFormat="1" applyFont="1" applyFill="1" applyBorder="1" applyAlignment="1">
      <alignment horizontal="right" vertical="top" wrapText="1"/>
    </xf>
    <xf numFmtId="0" fontId="32" fillId="2" borderId="1" xfId="0" applyFont="1" applyFill="1" applyBorder="1" applyAlignment="1">
      <alignment vertical="center" wrapText="1"/>
    </xf>
    <xf numFmtId="49" fontId="30" fillId="2" borderId="1" xfId="0" applyNumberFormat="1" applyFont="1" applyFill="1" applyBorder="1" applyAlignment="1">
      <alignment horizontal="left" vertical="top" wrapText="1"/>
    </xf>
    <xf numFmtId="49" fontId="30" fillId="2" borderId="1" xfId="0" applyNumberFormat="1" applyFont="1" applyFill="1" applyBorder="1" applyAlignment="1">
      <alignment horizontal="center" vertical="top" wrapText="1"/>
    </xf>
    <xf numFmtId="43" fontId="12" fillId="2" borderId="1" xfId="133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41" fillId="0" borderId="0" xfId="0" applyFont="1" applyAlignment="1"/>
    <xf numFmtId="43" fontId="41" fillId="2" borderId="1" xfId="0" applyNumberFormat="1" applyFont="1" applyFill="1" applyBorder="1" applyAlignment="1">
      <alignment horizontal="center" vertical="center" wrapText="1"/>
    </xf>
    <xf numFmtId="43" fontId="41" fillId="0" borderId="1" xfId="0" applyNumberFormat="1" applyFont="1" applyBorder="1" applyAlignment="1">
      <alignment horizontal="center" vertical="center" wrapText="1"/>
    </xf>
    <xf numFmtId="0" fontId="41" fillId="2" borderId="4" xfId="0" applyFont="1" applyFill="1" applyBorder="1" applyAlignment="1">
      <alignment horizontal="center" vertical="center" wrapText="1"/>
    </xf>
    <xf numFmtId="49" fontId="41" fillId="2" borderId="4" xfId="0" applyNumberFormat="1" applyFont="1" applyFill="1" applyBorder="1" applyAlignment="1">
      <alignment horizontal="center" vertical="center" wrapText="1"/>
    </xf>
    <xf numFmtId="43" fontId="42" fillId="0" borderId="11" xfId="0" applyNumberFormat="1" applyFont="1" applyBorder="1" applyAlignment="1">
      <alignment horizontal="right" wrapText="1"/>
    </xf>
    <xf numFmtId="43" fontId="43" fillId="0" borderId="11" xfId="0" applyNumberFormat="1" applyFont="1" applyBorder="1" applyAlignment="1">
      <alignment horizontal="center" vertical="center" wrapText="1"/>
    </xf>
    <xf numFmtId="49" fontId="43" fillId="0" borderId="0" xfId="0" applyNumberFormat="1" applyFont="1" applyBorder="1" applyAlignment="1">
      <alignment horizontal="center" vertical="center" wrapText="1"/>
    </xf>
    <xf numFmtId="43" fontId="12" fillId="0" borderId="0" xfId="0" applyNumberFormat="1" applyFont="1" applyAlignment="1">
      <alignment wrapText="1"/>
    </xf>
    <xf numFmtId="43" fontId="12" fillId="0" borderId="0" xfId="0" applyNumberFormat="1" applyFont="1" applyAlignment="1">
      <alignment horizontal="center" vertical="top" wrapText="1"/>
    </xf>
    <xf numFmtId="0" fontId="41" fillId="0" borderId="0" xfId="0" applyFont="1" applyAlignment="1">
      <alignment horizontal="center" vertical="center"/>
    </xf>
    <xf numFmtId="0" fontId="8" fillId="0" borderId="0" xfId="0" applyFont="1" applyAlignment="1">
      <alignment vertical="top" wrapText="1"/>
    </xf>
    <xf numFmtId="0" fontId="30" fillId="0" borderId="0" xfId="0" applyFont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30" fillId="0" borderId="0" xfId="0" applyFont="1" applyAlignment="1">
      <alignment vertical="top"/>
    </xf>
    <xf numFmtId="0" fontId="12" fillId="0" borderId="0" xfId="0" applyFont="1" applyFill="1" applyAlignment="1">
      <alignment horizontal="right" vertical="top"/>
    </xf>
    <xf numFmtId="49" fontId="29" fillId="0" borderId="0" xfId="0" applyNumberFormat="1" applyFont="1" applyBorder="1" applyAlignment="1">
      <alignment horizontal="center" vertical="top" wrapText="1"/>
    </xf>
    <xf numFmtId="49" fontId="28" fillId="0" borderId="11" xfId="0" applyNumberFormat="1" applyFont="1" applyBorder="1" applyAlignment="1">
      <alignment horizontal="right" wrapText="1"/>
    </xf>
    <xf numFmtId="2" fontId="24" fillId="0" borderId="4" xfId="0" applyNumberFormat="1" applyFont="1" applyBorder="1" applyAlignment="1">
      <alignment horizontal="center" vertical="center" wrapText="1"/>
    </xf>
    <xf numFmtId="2" fontId="24" fillId="0" borderId="6" xfId="0" applyNumberFormat="1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43" fontId="24" fillId="0" borderId="4" xfId="146" applyFont="1" applyFill="1" applyBorder="1" applyAlignment="1">
      <alignment horizontal="center" vertical="top" wrapText="1"/>
    </xf>
    <xf numFmtId="43" fontId="24" fillId="0" borderId="6" xfId="146" applyFont="1" applyFill="1" applyBorder="1" applyAlignment="1">
      <alignment horizontal="center" vertical="top" wrapText="1"/>
    </xf>
    <xf numFmtId="49" fontId="43" fillId="0" borderId="0" xfId="0" applyNumberFormat="1" applyFont="1" applyBorder="1" applyAlignment="1">
      <alignment horizontal="center" vertical="center" wrapText="1"/>
    </xf>
    <xf numFmtId="49" fontId="10" fillId="0" borderId="3" xfId="5" applyNumberFormat="1" applyFont="1" applyFill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49" fontId="10" fillId="0" borderId="3" xfId="5" applyNumberFormat="1" applyFont="1" applyFill="1" applyBorder="1" applyAlignment="1">
      <alignment horizontal="center"/>
    </xf>
    <xf numFmtId="0" fontId="21" fillId="0" borderId="2" xfId="0" applyFont="1" applyBorder="1" applyAlignment="1">
      <alignment horizontal="center"/>
    </xf>
    <xf numFmtId="164" fontId="8" fillId="0" borderId="0" xfId="1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164" fontId="15" fillId="0" borderId="0" xfId="1" applyNumberFormat="1" applyFont="1" applyFill="1" applyAlignment="1">
      <alignment horizontal="left" vertical="top" wrapText="1"/>
    </xf>
    <xf numFmtId="0" fontId="22" fillId="0" borderId="0" xfId="5" applyFont="1" applyBorder="1" applyAlignment="1">
      <alignment horizontal="center" wrapText="1"/>
    </xf>
    <xf numFmtId="0" fontId="7" fillId="0" borderId="0" xfId="18" applyFont="1" applyAlignment="1">
      <alignment wrapText="1"/>
    </xf>
    <xf numFmtId="0" fontId="0" fillId="0" borderId="0" xfId="0" applyAlignment="1">
      <alignment wrapText="1"/>
    </xf>
    <xf numFmtId="0" fontId="10" fillId="0" borderId="0" xfId="5" applyFont="1" applyBorder="1" applyAlignment="1">
      <alignment horizontal="center" vertical="center" wrapText="1"/>
    </xf>
    <xf numFmtId="0" fontId="8" fillId="0" borderId="0" xfId="5" applyFont="1" applyAlignment="1">
      <alignment vertical="center" wrapText="1"/>
    </xf>
    <xf numFmtId="49" fontId="10" fillId="0" borderId="1" xfId="5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24" fillId="0" borderId="0" xfId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2" fontId="10" fillId="0" borderId="10" xfId="1" applyNumberFormat="1" applyFont="1" applyFill="1" applyBorder="1" applyAlignment="1">
      <alignment horizontal="center" vertical="center" wrapText="1"/>
    </xf>
    <xf numFmtId="2" fontId="27" fillId="0" borderId="7" xfId="0" applyNumberFormat="1" applyFont="1" applyFill="1" applyBorder="1" applyAlignment="1">
      <alignment horizontal="center" vertical="center" wrapText="1"/>
    </xf>
    <xf numFmtId="2" fontId="10" fillId="0" borderId="4" xfId="1" applyNumberFormat="1" applyFont="1" applyFill="1" applyBorder="1" applyAlignment="1">
      <alignment horizontal="center" vertical="center" wrapText="1"/>
    </xf>
    <xf numFmtId="2" fontId="27" fillId="0" borderId="6" xfId="0" applyNumberFormat="1" applyFont="1" applyFill="1" applyBorder="1" applyAlignment="1">
      <alignment horizontal="center" vertical="center" wrapText="1"/>
    </xf>
    <xf numFmtId="164" fontId="10" fillId="0" borderId="10" xfId="1" applyNumberFormat="1" applyFont="1" applyFill="1" applyBorder="1" applyAlignment="1">
      <alignment horizontal="center" vertical="center" wrapText="1"/>
    </xf>
    <xf numFmtId="164" fontId="27" fillId="0" borderId="7" xfId="0" applyNumberFormat="1" applyFont="1" applyFill="1" applyBorder="1" applyAlignment="1">
      <alignment horizontal="center" vertical="center" wrapText="1"/>
    </xf>
    <xf numFmtId="0" fontId="23" fillId="0" borderId="4" xfId="1" applyFont="1" applyFill="1" applyBorder="1" applyAlignment="1">
      <alignment horizontal="center" vertical="center" wrapText="1"/>
    </xf>
    <xf numFmtId="0" fontId="23" fillId="0" borderId="6" xfId="1" applyFont="1" applyFill="1" applyBorder="1" applyAlignment="1">
      <alignment horizontal="center" vertical="center" wrapText="1"/>
    </xf>
    <xf numFmtId="49" fontId="10" fillId="0" borderId="2" xfId="5" applyNumberFormat="1" applyFont="1" applyFill="1" applyBorder="1" applyAlignment="1">
      <alignment horizontal="center"/>
    </xf>
    <xf numFmtId="49" fontId="10" fillId="0" borderId="2" xfId="5" applyNumberFormat="1" applyFont="1" applyFill="1" applyBorder="1" applyAlignment="1">
      <alignment horizontal="center" wrapText="1"/>
    </xf>
    <xf numFmtId="43" fontId="11" fillId="0" borderId="0" xfId="0" applyNumberFormat="1" applyFont="1" applyAlignment="1">
      <alignment horizontal="right" vertical="top" wrapText="1"/>
    </xf>
    <xf numFmtId="0" fontId="15" fillId="0" borderId="0" xfId="0" applyFont="1" applyAlignment="1">
      <alignment horizontal="right" vertical="top" wrapText="1"/>
    </xf>
  </cellXfs>
  <cellStyles count="147">
    <cellStyle name="Excel Built-in Normal" xfId="11"/>
    <cellStyle name="Гиперссылка 2" xfId="12"/>
    <cellStyle name="Обычный" xfId="0" builtinId="0"/>
    <cellStyle name="Обычный 10" xfId="3"/>
    <cellStyle name="Обычный 11" xfId="13"/>
    <cellStyle name="Обычный 12" xfId="14"/>
    <cellStyle name="Обычный 13" xfId="15"/>
    <cellStyle name="Обычный 14" xfId="16"/>
    <cellStyle name="Обычный 15" xfId="17"/>
    <cellStyle name="Обычный 16" xfId="1"/>
    <cellStyle name="Обычный 17" xfId="18"/>
    <cellStyle name="Обычный 18" xfId="19"/>
    <cellStyle name="Обычный 18 2" xfId="2"/>
    <cellStyle name="Обычный 18 2 2" xfId="20"/>
    <cellStyle name="Обычный 18 2 2 2" xfId="6"/>
    <cellStyle name="Обычный 18 2 2 2 2" xfId="141"/>
    <cellStyle name="Обычный 18 2 3" xfId="142"/>
    <cellStyle name="Обычный 18 2 4" xfId="145"/>
    <cellStyle name="Обычный 18 3" xfId="21"/>
    <cellStyle name="Обычный 18 3 2" xfId="143"/>
    <cellStyle name="Обычный 18 3 3" xfId="144"/>
    <cellStyle name="Обычный 18 4" xfId="22"/>
    <cellStyle name="Обычный 19" xfId="23"/>
    <cellStyle name="Обычный 2" xfId="8"/>
    <cellStyle name="Обычный 2 10" xfId="24"/>
    <cellStyle name="Обычный 2 11" xfId="25"/>
    <cellStyle name="Обычный 2 12" xfId="26"/>
    <cellStyle name="Обычный 2 13" xfId="27"/>
    <cellStyle name="Обычный 2 14" xfId="28"/>
    <cellStyle name="Обычный 2 15" xfId="29"/>
    <cellStyle name="Обычный 2 16" xfId="30"/>
    <cellStyle name="Обычный 2 17" xfId="31"/>
    <cellStyle name="Обычный 2 18" xfId="32"/>
    <cellStyle name="Обычный 2 19" xfId="33"/>
    <cellStyle name="Обычный 2 2" xfId="34"/>
    <cellStyle name="Обычный 2 2 2" xfId="9"/>
    <cellStyle name="Обычный 2 20" xfId="35"/>
    <cellStyle name="Обычный 2 21" xfId="36"/>
    <cellStyle name="Обычный 2 22" xfId="37"/>
    <cellStyle name="Обычный 2 23" xfId="38"/>
    <cellStyle name="Обычный 2 24" xfId="39"/>
    <cellStyle name="Обычный 2 25" xfId="40"/>
    <cellStyle name="Обычный 2 26" xfId="41"/>
    <cellStyle name="Обычный 2 27" xfId="42"/>
    <cellStyle name="Обычный 2 28" xfId="43"/>
    <cellStyle name="Обычный 2 29" xfId="44"/>
    <cellStyle name="Обычный 2 3" xfId="45"/>
    <cellStyle name="Обычный 2 30" xfId="46"/>
    <cellStyle name="Обычный 2 31" xfId="47"/>
    <cellStyle name="Обычный 2 4" xfId="48"/>
    <cellStyle name="Обычный 2 5" xfId="49"/>
    <cellStyle name="Обычный 2 6" xfId="50"/>
    <cellStyle name="Обычный 2 7" xfId="51"/>
    <cellStyle name="Обычный 2 8" xfId="52"/>
    <cellStyle name="Обычный 2 9" xfId="53"/>
    <cellStyle name="Обычный 20" xfId="54"/>
    <cellStyle name="Обычный 21" xfId="55"/>
    <cellStyle name="Обычный 22" xfId="56"/>
    <cellStyle name="Обычный 23" xfId="57"/>
    <cellStyle name="Обычный 24" xfId="58"/>
    <cellStyle name="Обычный 3" xfId="59"/>
    <cellStyle name="Обычный 3 10" xfId="60"/>
    <cellStyle name="Обычный 3 11" xfId="61"/>
    <cellStyle name="Обычный 3 12" xfId="62"/>
    <cellStyle name="Обычный 3 13" xfId="63"/>
    <cellStyle name="Обычный 3 14" xfId="64"/>
    <cellStyle name="Обычный 3 15" xfId="65"/>
    <cellStyle name="Обычный 3 16" xfId="66"/>
    <cellStyle name="Обычный 3 17" xfId="67"/>
    <cellStyle name="Обычный 3 18" xfId="68"/>
    <cellStyle name="Обычный 3 19" xfId="69"/>
    <cellStyle name="Обычный 3 2" xfId="70"/>
    <cellStyle name="Обычный 3 2 2" xfId="71"/>
    <cellStyle name="Обычный 3 20" xfId="72"/>
    <cellStyle name="Обычный 3 21" xfId="73"/>
    <cellStyle name="Обычный 3 22" xfId="74"/>
    <cellStyle name="Обычный 3 23" xfId="75"/>
    <cellStyle name="Обычный 3 24" xfId="76"/>
    <cellStyle name="Обычный 3 25" xfId="77"/>
    <cellStyle name="Обычный 3 26" xfId="78"/>
    <cellStyle name="Обычный 3 27" xfId="79"/>
    <cellStyle name="Обычный 3 28" xfId="80"/>
    <cellStyle name="Обычный 3 29" xfId="81"/>
    <cellStyle name="Обычный 3 3" xfId="82"/>
    <cellStyle name="Обычный 3 30" xfId="83"/>
    <cellStyle name="Обычный 3 31" xfId="4"/>
    <cellStyle name="Обычный 3 32" xfId="84"/>
    <cellStyle name="Обычный 3 33" xfId="85"/>
    <cellStyle name="Обычный 3 34" xfId="140"/>
    <cellStyle name="Обычный 3 4" xfId="86"/>
    <cellStyle name="Обычный 3 5" xfId="87"/>
    <cellStyle name="Обычный 3 6" xfId="88"/>
    <cellStyle name="Обычный 3 7" xfId="89"/>
    <cellStyle name="Обычный 3 8" xfId="90"/>
    <cellStyle name="Обычный 3 9" xfId="91"/>
    <cellStyle name="Обычный 4" xfId="92"/>
    <cellStyle name="Обычный 4 10" xfId="93"/>
    <cellStyle name="Обычный 4 11" xfId="94"/>
    <cellStyle name="Обычный 4 12" xfId="95"/>
    <cellStyle name="Обычный 4 13" xfId="96"/>
    <cellStyle name="Обычный 4 14" xfId="97"/>
    <cellStyle name="Обычный 4 15" xfId="98"/>
    <cellStyle name="Обычный 4 16" xfId="99"/>
    <cellStyle name="Обычный 4 17" xfId="100"/>
    <cellStyle name="Обычный 4 18" xfId="101"/>
    <cellStyle name="Обычный 4 19" xfId="102"/>
    <cellStyle name="Обычный 4 2" xfId="103"/>
    <cellStyle name="Обычный 4 20" xfId="104"/>
    <cellStyle name="Обычный 4 21" xfId="105"/>
    <cellStyle name="Обычный 4 22" xfId="106"/>
    <cellStyle name="Обычный 4 23" xfId="107"/>
    <cellStyle name="Обычный 4 24" xfId="108"/>
    <cellStyle name="Обычный 4 25" xfId="109"/>
    <cellStyle name="Обычный 4 26" xfId="110"/>
    <cellStyle name="Обычный 4 27" xfId="111"/>
    <cellStyle name="Обычный 4 28" xfId="112"/>
    <cellStyle name="Обычный 4 29" xfId="113"/>
    <cellStyle name="Обычный 4 3" xfId="114"/>
    <cellStyle name="Обычный 4 30" xfId="115"/>
    <cellStyle name="Обычный 4 31" xfId="116"/>
    <cellStyle name="Обычный 4 4" xfId="117"/>
    <cellStyle name="Обычный 4 5" xfId="118"/>
    <cellStyle name="Обычный 4 6" xfId="119"/>
    <cellStyle name="Обычный 4 7" xfId="120"/>
    <cellStyle name="Обычный 4 8" xfId="121"/>
    <cellStyle name="Обычный 4 9" xfId="122"/>
    <cellStyle name="Обычный 5" xfId="123"/>
    <cellStyle name="Обычный 5 2" xfId="124"/>
    <cellStyle name="Обычный 5 3" xfId="125"/>
    <cellStyle name="Обычный 6" xfId="126"/>
    <cellStyle name="Обычный 7" xfId="127"/>
    <cellStyle name="Обычный 8" xfId="128"/>
    <cellStyle name="Обычный 9" xfId="129"/>
    <cellStyle name="Обычный_прил 7,9-2009-2010 нов классиф." xfId="7"/>
    <cellStyle name="Обычный_прилож 8,10 -2008г." xfId="5"/>
    <cellStyle name="Процентный 2" xfId="130"/>
    <cellStyle name="Тысячи [0]_перечис.11" xfId="131"/>
    <cellStyle name="Тысячи_перечис.11" xfId="132"/>
    <cellStyle name="Финансовый" xfId="146" builtinId="3"/>
    <cellStyle name="Финансовый 13" xfId="133"/>
    <cellStyle name="Финансовый 2" xfId="134"/>
    <cellStyle name="Финансовый 3" xfId="135"/>
    <cellStyle name="Финансовый 3 2" xfId="10"/>
    <cellStyle name="Финансовый 3 3" xfId="136"/>
    <cellStyle name="Финансовый 4" xfId="137"/>
    <cellStyle name="Финансовый 5" xfId="138"/>
    <cellStyle name="Финансовый 9" xfId="1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0"/>
  <sheetViews>
    <sheetView tabSelected="1" zoomScaleNormal="100" workbookViewId="0">
      <selection activeCell="C1" sqref="C1:J1"/>
    </sheetView>
  </sheetViews>
  <sheetFormatPr defaultRowHeight="66" customHeight="1" x14ac:dyDescent="0.25"/>
  <cols>
    <col min="1" max="1" width="59.42578125" style="100" customWidth="1"/>
    <col min="2" max="2" width="33.85546875" style="100" customWidth="1"/>
    <col min="3" max="3" width="20.140625" style="101" customWidth="1"/>
    <col min="4" max="9" width="0" style="100" hidden="1" customWidth="1"/>
    <col min="10" max="10" width="17.5703125" style="100" customWidth="1"/>
    <col min="11" max="16384" width="9.140625" style="100"/>
  </cols>
  <sheetData>
    <row r="1" spans="1:11" ht="19.5" customHeight="1" x14ac:dyDescent="0.25">
      <c r="C1" s="201" t="s">
        <v>570</v>
      </c>
      <c r="D1" s="201"/>
      <c r="E1" s="201"/>
      <c r="F1" s="201"/>
      <c r="G1" s="201"/>
      <c r="H1" s="201"/>
      <c r="I1" s="201"/>
      <c r="J1" s="201"/>
    </row>
    <row r="2" spans="1:11" ht="42.75" customHeight="1" x14ac:dyDescent="0.25">
      <c r="C2" s="242" t="s">
        <v>975</v>
      </c>
      <c r="D2" s="242"/>
      <c r="E2" s="242"/>
      <c r="F2" s="242"/>
      <c r="G2" s="242"/>
      <c r="H2" s="242"/>
      <c r="I2" s="242"/>
      <c r="J2" s="242"/>
    </row>
    <row r="3" spans="1:11" ht="21" customHeight="1" x14ac:dyDescent="0.25">
      <c r="A3" s="124"/>
      <c r="B3" s="131" t="s">
        <v>519</v>
      </c>
      <c r="C3" s="131"/>
      <c r="D3" s="131"/>
      <c r="E3" s="131"/>
      <c r="F3" s="131"/>
      <c r="G3" s="131"/>
      <c r="H3" s="124"/>
      <c r="I3" s="124"/>
      <c r="J3" s="124"/>
    </row>
    <row r="4" spans="1:11" ht="30.75" customHeight="1" x14ac:dyDescent="0.25">
      <c r="A4" s="202" t="s">
        <v>569</v>
      </c>
      <c r="B4" s="202"/>
      <c r="C4" s="202"/>
      <c r="D4" s="202"/>
      <c r="E4" s="202"/>
      <c r="F4" s="202"/>
      <c r="G4" s="202"/>
      <c r="H4" s="202"/>
      <c r="I4" s="202"/>
      <c r="J4" s="202"/>
    </row>
    <row r="5" spans="1:11" ht="18" customHeight="1" x14ac:dyDescent="0.25">
      <c r="A5" s="203" t="s">
        <v>568</v>
      </c>
      <c r="B5" s="203"/>
      <c r="C5" s="203"/>
      <c r="D5" s="203"/>
      <c r="E5" s="203"/>
      <c r="F5" s="203"/>
      <c r="G5" s="203"/>
      <c r="H5" s="203"/>
      <c r="I5" s="203"/>
      <c r="J5" s="203"/>
    </row>
    <row r="6" spans="1:11" ht="36.75" customHeight="1" x14ac:dyDescent="0.25">
      <c r="A6" s="204" t="s">
        <v>567</v>
      </c>
      <c r="B6" s="206" t="s">
        <v>566</v>
      </c>
      <c r="C6" s="208" t="s">
        <v>565</v>
      </c>
      <c r="D6" s="112"/>
      <c r="E6" s="112"/>
      <c r="F6" s="112"/>
      <c r="G6" s="112"/>
      <c r="H6" s="112"/>
      <c r="I6" s="112"/>
      <c r="J6" s="208" t="s">
        <v>564</v>
      </c>
    </row>
    <row r="7" spans="1:11" ht="66" hidden="1" customHeight="1" x14ac:dyDescent="0.25">
      <c r="A7" s="205"/>
      <c r="B7" s="207"/>
      <c r="C7" s="209"/>
      <c r="D7" s="121">
        <v>395978.2</v>
      </c>
      <c r="E7" s="121">
        <v>395978.2</v>
      </c>
      <c r="F7" s="121">
        <v>395978.2</v>
      </c>
      <c r="G7" s="121">
        <v>395978.2</v>
      </c>
      <c r="H7" s="121">
        <v>395978.2</v>
      </c>
      <c r="I7" s="121">
        <v>395978.2</v>
      </c>
      <c r="J7" s="209"/>
    </row>
    <row r="8" spans="1:11" ht="30" customHeight="1" x14ac:dyDescent="0.25">
      <c r="A8" s="119" t="s">
        <v>563</v>
      </c>
      <c r="B8" s="118"/>
      <c r="C8" s="116">
        <f>C9-C28</f>
        <v>12264.65711</v>
      </c>
      <c r="D8" s="130" t="e">
        <f t="shared" ref="D8:I8" si="0">D11+D16+D21</f>
        <v>#REF!</v>
      </c>
      <c r="E8" s="130" t="e">
        <f t="shared" si="0"/>
        <v>#REF!</v>
      </c>
      <c r="F8" s="130" t="e">
        <f t="shared" si="0"/>
        <v>#REF!</v>
      </c>
      <c r="G8" s="130" t="e">
        <f t="shared" si="0"/>
        <v>#REF!</v>
      </c>
      <c r="H8" s="130" t="e">
        <f t="shared" si="0"/>
        <v>#REF!</v>
      </c>
      <c r="I8" s="130" t="e">
        <f t="shared" si="0"/>
        <v>#REF!</v>
      </c>
      <c r="J8" s="129">
        <f>J9</f>
        <v>26885.926619999998</v>
      </c>
    </row>
    <row r="9" spans="1:11" ht="32.25" customHeight="1" x14ac:dyDescent="0.25">
      <c r="A9" s="119" t="s">
        <v>562</v>
      </c>
      <c r="B9" s="118" t="s">
        <v>531</v>
      </c>
      <c r="C9" s="116">
        <f>C20</f>
        <v>-634</v>
      </c>
      <c r="D9" s="121"/>
      <c r="E9" s="121"/>
      <c r="F9" s="121"/>
      <c r="G9" s="121"/>
      <c r="H9" s="121"/>
      <c r="I9" s="128"/>
      <c r="J9" s="127">
        <f>J15+J20+J28</f>
        <v>26885.926619999998</v>
      </c>
      <c r="K9" s="126"/>
    </row>
    <row r="10" spans="1:11" ht="32.25" hidden="1" customHeight="1" x14ac:dyDescent="0.25">
      <c r="A10" s="119" t="s">
        <v>556</v>
      </c>
      <c r="B10" s="118" t="s">
        <v>561</v>
      </c>
      <c r="C10" s="116">
        <f>C11+C13</f>
        <v>0</v>
      </c>
      <c r="D10" s="121" t="e">
        <f>#REF!</f>
        <v>#REF!</v>
      </c>
      <c r="E10" s="121" t="e">
        <f>#REF!</f>
        <v>#REF!</v>
      </c>
      <c r="F10" s="121" t="e">
        <f>#REF!</f>
        <v>#REF!</v>
      </c>
      <c r="G10" s="121" t="e">
        <f>#REF!</f>
        <v>#REF!</v>
      </c>
      <c r="H10" s="121" t="e">
        <f>#REF!</f>
        <v>#REF!</v>
      </c>
      <c r="I10" s="121" t="e">
        <f>#REF!</f>
        <v>#REF!</v>
      </c>
      <c r="J10" s="125">
        <f>J11+J13</f>
        <v>0</v>
      </c>
    </row>
    <row r="11" spans="1:11" s="124" customFormat="1" ht="32.25" hidden="1" customHeight="1" x14ac:dyDescent="0.25">
      <c r="A11" s="115" t="s">
        <v>554</v>
      </c>
      <c r="B11" s="114" t="s">
        <v>560</v>
      </c>
      <c r="C11" s="113">
        <f>C12</f>
        <v>0</v>
      </c>
      <c r="D11" s="121" t="e">
        <f t="shared" ref="D11:I11" si="1">D12-D14</f>
        <v>#REF!</v>
      </c>
      <c r="E11" s="121" t="e">
        <f t="shared" si="1"/>
        <v>#REF!</v>
      </c>
      <c r="F11" s="121" t="e">
        <f t="shared" si="1"/>
        <v>#REF!</v>
      </c>
      <c r="G11" s="121" t="e">
        <f t="shared" si="1"/>
        <v>#REF!</v>
      </c>
      <c r="H11" s="121" t="e">
        <f t="shared" si="1"/>
        <v>#REF!</v>
      </c>
      <c r="I11" s="121" t="e">
        <f t="shared" si="1"/>
        <v>#REF!</v>
      </c>
      <c r="J11" s="113">
        <f>J12</f>
        <v>0</v>
      </c>
    </row>
    <row r="12" spans="1:11" ht="32.25" hidden="1" customHeight="1" x14ac:dyDescent="0.25">
      <c r="A12" s="115" t="s">
        <v>559</v>
      </c>
      <c r="B12" s="114" t="s">
        <v>551</v>
      </c>
      <c r="C12" s="113"/>
      <c r="D12" s="121" t="e">
        <f t="shared" ref="D12:I12" si="2">D13</f>
        <v>#REF!</v>
      </c>
      <c r="E12" s="121" t="e">
        <f t="shared" si="2"/>
        <v>#REF!</v>
      </c>
      <c r="F12" s="121" t="e">
        <f t="shared" si="2"/>
        <v>#REF!</v>
      </c>
      <c r="G12" s="121" t="e">
        <f t="shared" si="2"/>
        <v>#REF!</v>
      </c>
      <c r="H12" s="121" t="e">
        <f t="shared" si="2"/>
        <v>#REF!</v>
      </c>
      <c r="I12" s="121" t="e">
        <f t="shared" si="2"/>
        <v>#REF!</v>
      </c>
      <c r="J12" s="113"/>
    </row>
    <row r="13" spans="1:11" ht="32.25" hidden="1" customHeight="1" x14ac:dyDescent="0.25">
      <c r="A13" s="115" t="s">
        <v>550</v>
      </c>
      <c r="B13" s="114" t="s">
        <v>549</v>
      </c>
      <c r="C13" s="113">
        <f>C14</f>
        <v>0</v>
      </c>
      <c r="D13" s="121" t="e">
        <f>D15+#REF!+D20-D18-D21</f>
        <v>#REF!</v>
      </c>
      <c r="E13" s="121" t="e">
        <f>E15+#REF!+E20-E18-E21</f>
        <v>#REF!</v>
      </c>
      <c r="F13" s="121" t="e">
        <f>F15+#REF!+F20-F18-F21</f>
        <v>#REF!</v>
      </c>
      <c r="G13" s="121" t="e">
        <f>G15+#REF!+G20-G18-G21</f>
        <v>#REF!</v>
      </c>
      <c r="H13" s="121" t="e">
        <f>H15+#REF!+H20-H18-H21</f>
        <v>#REF!</v>
      </c>
      <c r="I13" s="121" t="e">
        <f>I15+#REF!+I20-I18-I21</f>
        <v>#REF!</v>
      </c>
      <c r="J13" s="113">
        <f>J14</f>
        <v>0</v>
      </c>
    </row>
    <row r="14" spans="1:11" ht="32.25" hidden="1" customHeight="1" x14ac:dyDescent="0.25">
      <c r="A14" s="115" t="s">
        <v>558</v>
      </c>
      <c r="B14" s="114" t="s">
        <v>557</v>
      </c>
      <c r="C14" s="113"/>
      <c r="D14" s="121">
        <f t="shared" ref="D14:I14" si="3">D15</f>
        <v>160000</v>
      </c>
      <c r="E14" s="121">
        <f t="shared" si="3"/>
        <v>160000</v>
      </c>
      <c r="F14" s="121">
        <f t="shared" si="3"/>
        <v>160000</v>
      </c>
      <c r="G14" s="121">
        <f t="shared" si="3"/>
        <v>160000</v>
      </c>
      <c r="H14" s="121">
        <f t="shared" si="3"/>
        <v>160000</v>
      </c>
      <c r="I14" s="121">
        <f t="shared" si="3"/>
        <v>160000</v>
      </c>
      <c r="J14" s="113"/>
    </row>
    <row r="15" spans="1:11" ht="32.25" hidden="1" customHeight="1" x14ac:dyDescent="0.25">
      <c r="A15" s="119" t="s">
        <v>556</v>
      </c>
      <c r="B15" s="118" t="s">
        <v>555</v>
      </c>
      <c r="C15" s="116">
        <f>C16-C18</f>
        <v>0</v>
      </c>
      <c r="D15" s="121">
        <v>160000</v>
      </c>
      <c r="E15" s="121">
        <v>160000</v>
      </c>
      <c r="F15" s="121">
        <v>160000</v>
      </c>
      <c r="G15" s="121">
        <v>160000</v>
      </c>
      <c r="H15" s="121">
        <v>160000</v>
      </c>
      <c r="I15" s="121">
        <v>160000</v>
      </c>
      <c r="J15" s="116">
        <f>J16-J18</f>
        <v>0</v>
      </c>
    </row>
    <row r="16" spans="1:11" s="124" customFormat="1" ht="32.25" hidden="1" customHeight="1" x14ac:dyDescent="0.25">
      <c r="A16" s="115" t="s">
        <v>554</v>
      </c>
      <c r="B16" s="114" t="s">
        <v>553</v>
      </c>
      <c r="C16" s="113">
        <f>C17</f>
        <v>0</v>
      </c>
      <c r="D16" s="121" t="e">
        <f t="shared" ref="D16:I16" si="4">D17-D19</f>
        <v>#REF!</v>
      </c>
      <c r="E16" s="121" t="e">
        <f t="shared" si="4"/>
        <v>#REF!</v>
      </c>
      <c r="F16" s="121" t="e">
        <f t="shared" si="4"/>
        <v>#REF!</v>
      </c>
      <c r="G16" s="121" t="e">
        <f t="shared" si="4"/>
        <v>#REF!</v>
      </c>
      <c r="H16" s="121" t="e">
        <f t="shared" si="4"/>
        <v>#REF!</v>
      </c>
      <c r="I16" s="121" t="e">
        <f t="shared" si="4"/>
        <v>#REF!</v>
      </c>
      <c r="J16" s="113">
        <f>J17</f>
        <v>0</v>
      </c>
    </row>
    <row r="17" spans="1:10" ht="32.25" hidden="1" customHeight="1" x14ac:dyDescent="0.25">
      <c r="A17" s="115" t="s">
        <v>552</v>
      </c>
      <c r="B17" s="114" t="s">
        <v>551</v>
      </c>
      <c r="C17" s="113">
        <v>0</v>
      </c>
      <c r="D17" s="121">
        <f t="shared" ref="D17:I17" si="5">D18</f>
        <v>250000</v>
      </c>
      <c r="E17" s="121">
        <f t="shared" si="5"/>
        <v>250000</v>
      </c>
      <c r="F17" s="121">
        <f t="shared" si="5"/>
        <v>250000</v>
      </c>
      <c r="G17" s="121">
        <f t="shared" si="5"/>
        <v>250000</v>
      </c>
      <c r="H17" s="121">
        <f t="shared" si="5"/>
        <v>250000</v>
      </c>
      <c r="I17" s="121">
        <f t="shared" si="5"/>
        <v>250000</v>
      </c>
      <c r="J17" s="113"/>
    </row>
    <row r="18" spans="1:10" ht="32.25" hidden="1" customHeight="1" x14ac:dyDescent="0.25">
      <c r="A18" s="115" t="s">
        <v>550</v>
      </c>
      <c r="B18" s="114" t="s">
        <v>549</v>
      </c>
      <c r="C18" s="113">
        <f>C19</f>
        <v>0</v>
      </c>
      <c r="D18" s="121">
        <v>250000</v>
      </c>
      <c r="E18" s="121">
        <v>250000</v>
      </c>
      <c r="F18" s="121">
        <v>250000</v>
      </c>
      <c r="G18" s="121">
        <v>250000</v>
      </c>
      <c r="H18" s="121">
        <v>250000</v>
      </c>
      <c r="I18" s="121">
        <v>250000</v>
      </c>
      <c r="J18" s="113">
        <f>J19</f>
        <v>0</v>
      </c>
    </row>
    <row r="19" spans="1:10" ht="32.25" hidden="1" customHeight="1" x14ac:dyDescent="0.25">
      <c r="A19" s="115" t="s">
        <v>548</v>
      </c>
      <c r="B19" s="114" t="s">
        <v>547</v>
      </c>
      <c r="C19" s="113">
        <v>0</v>
      </c>
      <c r="D19" s="121" t="e">
        <f t="shared" ref="D19:I19" si="6">D20</f>
        <v>#REF!</v>
      </c>
      <c r="E19" s="121" t="e">
        <f t="shared" si="6"/>
        <v>#REF!</v>
      </c>
      <c r="F19" s="121" t="e">
        <f t="shared" si="6"/>
        <v>#REF!</v>
      </c>
      <c r="G19" s="121" t="e">
        <f t="shared" si="6"/>
        <v>#REF!</v>
      </c>
      <c r="H19" s="121" t="e">
        <f t="shared" si="6"/>
        <v>#REF!</v>
      </c>
      <c r="I19" s="121" t="e">
        <f t="shared" si="6"/>
        <v>#REF!</v>
      </c>
      <c r="J19" s="113">
        <v>0</v>
      </c>
    </row>
    <row r="20" spans="1:10" ht="32.25" customHeight="1" x14ac:dyDescent="0.25">
      <c r="A20" s="119" t="s">
        <v>546</v>
      </c>
      <c r="B20" s="118" t="s">
        <v>545</v>
      </c>
      <c r="C20" s="116">
        <f t="shared" ref="C20:J20" si="7">C21-(-C24)</f>
        <v>-634</v>
      </c>
      <c r="D20" s="116" t="e">
        <f t="shared" si="7"/>
        <v>#REF!</v>
      </c>
      <c r="E20" s="116" t="e">
        <f t="shared" si="7"/>
        <v>#REF!</v>
      </c>
      <c r="F20" s="116" t="e">
        <f t="shared" si="7"/>
        <v>#REF!</v>
      </c>
      <c r="G20" s="116" t="e">
        <f t="shared" si="7"/>
        <v>#REF!</v>
      </c>
      <c r="H20" s="116" t="e">
        <f t="shared" si="7"/>
        <v>#REF!</v>
      </c>
      <c r="I20" s="116" t="e">
        <f t="shared" si="7"/>
        <v>#REF!</v>
      </c>
      <c r="J20" s="116">
        <f t="shared" si="7"/>
        <v>0</v>
      </c>
    </row>
    <row r="21" spans="1:10" s="124" customFormat="1" ht="57.75" customHeight="1" x14ac:dyDescent="0.25">
      <c r="A21" s="115" t="s">
        <v>544</v>
      </c>
      <c r="B21" s="114" t="s">
        <v>543</v>
      </c>
      <c r="C21" s="113">
        <f>C22</f>
        <v>5000</v>
      </c>
      <c r="D21" s="121" t="e">
        <f>#REF!+D22</f>
        <v>#REF!</v>
      </c>
      <c r="E21" s="121" t="e">
        <f>#REF!+E22</f>
        <v>#REF!</v>
      </c>
      <c r="F21" s="121" t="e">
        <f>#REF!+F22</f>
        <v>#REF!</v>
      </c>
      <c r="G21" s="121" t="e">
        <f>#REF!+G22</f>
        <v>#REF!</v>
      </c>
      <c r="H21" s="121" t="e">
        <f>#REF!+H22</f>
        <v>#REF!</v>
      </c>
      <c r="I21" s="121" t="e">
        <f>#REF!+I22</f>
        <v>#REF!</v>
      </c>
      <c r="J21" s="113">
        <f>J22</f>
        <v>0</v>
      </c>
    </row>
    <row r="22" spans="1:10" ht="66" customHeight="1" x14ac:dyDescent="0.25">
      <c r="A22" s="115" t="s">
        <v>542</v>
      </c>
      <c r="B22" s="114" t="s">
        <v>540</v>
      </c>
      <c r="C22" s="113">
        <v>5000</v>
      </c>
      <c r="D22" s="121" t="e">
        <f>#REF! -#REF!</f>
        <v>#REF!</v>
      </c>
      <c r="E22" s="121" t="e">
        <f>#REF! -#REF!</f>
        <v>#REF!</v>
      </c>
      <c r="F22" s="121" t="e">
        <f>#REF! -#REF!</f>
        <v>#REF!</v>
      </c>
      <c r="G22" s="121" t="e">
        <f>#REF! -#REF!</f>
        <v>#REF!</v>
      </c>
      <c r="H22" s="121" t="e">
        <f>#REF! -#REF!</f>
        <v>#REF!</v>
      </c>
      <c r="I22" s="121" t="e">
        <f>#REF! -#REF!</f>
        <v>#REF!</v>
      </c>
      <c r="J22" s="113">
        <v>0</v>
      </c>
    </row>
    <row r="23" spans="1:10" ht="99" customHeight="1" x14ac:dyDescent="0.25">
      <c r="A23" s="115" t="s">
        <v>541</v>
      </c>
      <c r="B23" s="123" t="s">
        <v>540</v>
      </c>
      <c r="C23" s="122">
        <v>5000</v>
      </c>
      <c r="D23" s="121"/>
      <c r="E23" s="121"/>
      <c r="F23" s="121"/>
      <c r="G23" s="121"/>
      <c r="H23" s="121"/>
      <c r="I23" s="121"/>
      <c r="J23" s="113">
        <v>0</v>
      </c>
    </row>
    <row r="24" spans="1:10" ht="57.75" customHeight="1" x14ac:dyDescent="0.25">
      <c r="A24" s="115" t="s">
        <v>539</v>
      </c>
      <c r="B24" s="114" t="s">
        <v>538</v>
      </c>
      <c r="C24" s="113">
        <f t="shared" ref="C24:J24" si="8">C25</f>
        <v>-5634</v>
      </c>
      <c r="D24" s="113">
        <f t="shared" si="8"/>
        <v>0</v>
      </c>
      <c r="E24" s="113">
        <f t="shared" si="8"/>
        <v>0</v>
      </c>
      <c r="F24" s="113">
        <f t="shared" si="8"/>
        <v>0</v>
      </c>
      <c r="G24" s="113">
        <f t="shared" si="8"/>
        <v>0</v>
      </c>
      <c r="H24" s="113">
        <f t="shared" si="8"/>
        <v>0</v>
      </c>
      <c r="I24" s="113">
        <f t="shared" si="8"/>
        <v>0</v>
      </c>
      <c r="J24" s="113">
        <f t="shared" si="8"/>
        <v>0</v>
      </c>
    </row>
    <row r="25" spans="1:10" ht="58.5" customHeight="1" x14ac:dyDescent="0.25">
      <c r="A25" s="115" t="s">
        <v>537</v>
      </c>
      <c r="B25" s="114" t="s">
        <v>535</v>
      </c>
      <c r="C25" s="113">
        <v>-5634</v>
      </c>
      <c r="D25" s="121"/>
      <c r="E25" s="121"/>
      <c r="F25" s="121"/>
      <c r="G25" s="121"/>
      <c r="H25" s="121"/>
      <c r="I25" s="121"/>
      <c r="J25" s="113">
        <v>0</v>
      </c>
    </row>
    <row r="26" spans="1:10" ht="92.25" customHeight="1" x14ac:dyDescent="0.25">
      <c r="A26" s="115" t="s">
        <v>536</v>
      </c>
      <c r="B26" s="114" t="s">
        <v>535</v>
      </c>
      <c r="C26" s="113">
        <v>-5000</v>
      </c>
      <c r="D26" s="112"/>
      <c r="E26" s="112"/>
      <c r="F26" s="112"/>
      <c r="G26" s="112"/>
      <c r="H26" s="112"/>
      <c r="I26" s="112"/>
      <c r="J26" s="113">
        <v>0</v>
      </c>
    </row>
    <row r="27" spans="1:10" ht="66" hidden="1" customHeight="1" x14ac:dyDescent="0.25">
      <c r="A27" s="115" t="s">
        <v>534</v>
      </c>
      <c r="B27" s="120" t="s">
        <v>533</v>
      </c>
      <c r="C27" s="113"/>
      <c r="D27" s="117"/>
      <c r="E27" s="117"/>
      <c r="F27" s="117"/>
      <c r="G27" s="117"/>
      <c r="H27" s="117"/>
      <c r="I27" s="117"/>
      <c r="J27" s="116"/>
    </row>
    <row r="28" spans="1:10" ht="24.75" customHeight="1" x14ac:dyDescent="0.25">
      <c r="A28" s="119" t="s">
        <v>532</v>
      </c>
      <c r="B28" s="118" t="s">
        <v>531</v>
      </c>
      <c r="C28" s="116">
        <f>C29</f>
        <v>-12898.65711</v>
      </c>
      <c r="D28" s="117"/>
      <c r="E28" s="117"/>
      <c r="F28" s="117"/>
      <c r="G28" s="117"/>
      <c r="H28" s="117"/>
      <c r="I28" s="117"/>
      <c r="J28" s="116">
        <f>J29</f>
        <v>26885.926619999998</v>
      </c>
    </row>
    <row r="29" spans="1:10" ht="37.5" customHeight="1" x14ac:dyDescent="0.25">
      <c r="A29" s="115" t="s">
        <v>530</v>
      </c>
      <c r="B29" s="114" t="s">
        <v>529</v>
      </c>
      <c r="C29" s="113">
        <v>-12898.65711</v>
      </c>
      <c r="D29" s="112"/>
      <c r="E29" s="112"/>
      <c r="F29" s="112"/>
      <c r="G29" s="112"/>
      <c r="H29" s="112"/>
      <c r="I29" s="112"/>
      <c r="J29" s="113">
        <v>26885.926619999998</v>
      </c>
    </row>
    <row r="30" spans="1:10" ht="66" hidden="1" customHeight="1" x14ac:dyDescent="0.25">
      <c r="A30" s="110" t="s">
        <v>528</v>
      </c>
      <c r="B30" s="109" t="s">
        <v>527</v>
      </c>
      <c r="C30" s="111">
        <f>C31</f>
        <v>0</v>
      </c>
      <c r="D30" s="112"/>
      <c r="E30" s="112"/>
      <c r="F30" s="112"/>
      <c r="G30" s="112"/>
      <c r="H30" s="112"/>
      <c r="I30" s="112"/>
      <c r="J30" s="111">
        <f>J31</f>
        <v>0</v>
      </c>
    </row>
    <row r="31" spans="1:10" ht="66" hidden="1" customHeight="1" x14ac:dyDescent="0.25">
      <c r="A31" s="110" t="s">
        <v>526</v>
      </c>
      <c r="B31" s="109" t="s">
        <v>524</v>
      </c>
      <c r="C31" s="111">
        <f>C32</f>
        <v>0</v>
      </c>
      <c r="D31" s="112"/>
      <c r="E31" s="112"/>
      <c r="F31" s="112"/>
      <c r="G31" s="112"/>
      <c r="H31" s="112"/>
      <c r="I31" s="112"/>
      <c r="J31" s="111">
        <f>J32</f>
        <v>0</v>
      </c>
    </row>
    <row r="32" spans="1:10" ht="66" hidden="1" customHeight="1" x14ac:dyDescent="0.25">
      <c r="A32" s="110" t="s">
        <v>525</v>
      </c>
      <c r="B32" s="109" t="s">
        <v>524</v>
      </c>
      <c r="C32" s="111"/>
      <c r="D32" s="112"/>
      <c r="E32" s="112"/>
      <c r="F32" s="112"/>
      <c r="G32" s="112"/>
      <c r="H32" s="112"/>
      <c r="I32" s="112"/>
      <c r="J32" s="111"/>
    </row>
    <row r="33" spans="1:3" ht="66" hidden="1" customHeight="1" x14ac:dyDescent="0.25">
      <c r="A33" s="110" t="s">
        <v>523</v>
      </c>
      <c r="B33" s="109" t="s">
        <v>522</v>
      </c>
      <c r="C33" s="108"/>
    </row>
    <row r="34" spans="1:3" ht="66" customHeight="1" x14ac:dyDescent="0.25">
      <c r="B34" s="106"/>
      <c r="C34" s="107"/>
    </row>
    <row r="35" spans="1:3" ht="66" customHeight="1" x14ac:dyDescent="0.25">
      <c r="B35" s="106"/>
      <c r="C35" s="105"/>
    </row>
    <row r="36" spans="1:3" ht="66" customHeight="1" x14ac:dyDescent="0.25">
      <c r="B36" s="106"/>
      <c r="C36" s="105"/>
    </row>
    <row r="37" spans="1:3" ht="66" customHeight="1" x14ac:dyDescent="0.25">
      <c r="B37" s="106"/>
      <c r="C37" s="105"/>
    </row>
    <row r="38" spans="1:3" ht="66" customHeight="1" x14ac:dyDescent="0.25">
      <c r="B38" s="104"/>
      <c r="C38" s="103"/>
    </row>
    <row r="39" spans="1:3" ht="66" customHeight="1" x14ac:dyDescent="0.25">
      <c r="B39" s="104"/>
      <c r="C39" s="103"/>
    </row>
    <row r="40" spans="1:3" ht="66" customHeight="1" x14ac:dyDescent="0.25">
      <c r="B40" s="104"/>
      <c r="C40" s="103"/>
    </row>
    <row r="41" spans="1:3" ht="66" customHeight="1" x14ac:dyDescent="0.25">
      <c r="C41" s="102"/>
    </row>
    <row r="42" spans="1:3" ht="66" customHeight="1" x14ac:dyDescent="0.25">
      <c r="C42" s="102"/>
    </row>
    <row r="43" spans="1:3" ht="66" customHeight="1" x14ac:dyDescent="0.25">
      <c r="C43" s="102"/>
    </row>
    <row r="44" spans="1:3" ht="66" customHeight="1" x14ac:dyDescent="0.25">
      <c r="C44" s="102"/>
    </row>
    <row r="45" spans="1:3" ht="66" customHeight="1" x14ac:dyDescent="0.25">
      <c r="C45" s="102"/>
    </row>
    <row r="46" spans="1:3" ht="66" customHeight="1" x14ac:dyDescent="0.25">
      <c r="C46" s="102"/>
    </row>
    <row r="47" spans="1:3" ht="66" customHeight="1" x14ac:dyDescent="0.25">
      <c r="C47" s="102"/>
    </row>
    <row r="48" spans="1:3" ht="66" customHeight="1" x14ac:dyDescent="0.25">
      <c r="C48" s="102"/>
    </row>
    <row r="49" spans="3:3" ht="66" customHeight="1" x14ac:dyDescent="0.25">
      <c r="C49" s="102"/>
    </row>
    <row r="50" spans="3:3" ht="66" customHeight="1" x14ac:dyDescent="0.25">
      <c r="C50" s="102"/>
    </row>
    <row r="51" spans="3:3" ht="66" customHeight="1" x14ac:dyDescent="0.25">
      <c r="C51" s="102"/>
    </row>
    <row r="52" spans="3:3" ht="66" customHeight="1" x14ac:dyDescent="0.25">
      <c r="C52" s="102"/>
    </row>
    <row r="53" spans="3:3" ht="66" customHeight="1" x14ac:dyDescent="0.25">
      <c r="C53" s="102"/>
    </row>
    <row r="54" spans="3:3" ht="66" customHeight="1" x14ac:dyDescent="0.25">
      <c r="C54" s="102"/>
    </row>
    <row r="55" spans="3:3" ht="66" customHeight="1" x14ac:dyDescent="0.25">
      <c r="C55" s="102"/>
    </row>
    <row r="56" spans="3:3" ht="66" customHeight="1" x14ac:dyDescent="0.25">
      <c r="C56" s="102"/>
    </row>
    <row r="57" spans="3:3" ht="66" customHeight="1" x14ac:dyDescent="0.25">
      <c r="C57" s="102"/>
    </row>
    <row r="58" spans="3:3" ht="66" customHeight="1" x14ac:dyDescent="0.25">
      <c r="C58" s="102"/>
    </row>
    <row r="59" spans="3:3" ht="66" customHeight="1" x14ac:dyDescent="0.25">
      <c r="C59" s="102"/>
    </row>
    <row r="60" spans="3:3" ht="66" customHeight="1" x14ac:dyDescent="0.25">
      <c r="C60" s="102"/>
    </row>
    <row r="61" spans="3:3" ht="66" customHeight="1" x14ac:dyDescent="0.25">
      <c r="C61" s="102"/>
    </row>
    <row r="62" spans="3:3" ht="66" customHeight="1" x14ac:dyDescent="0.25">
      <c r="C62" s="102"/>
    </row>
    <row r="63" spans="3:3" ht="66" customHeight="1" x14ac:dyDescent="0.25">
      <c r="C63" s="102"/>
    </row>
    <row r="64" spans="3:3" ht="66" customHeight="1" x14ac:dyDescent="0.25">
      <c r="C64" s="102"/>
    </row>
    <row r="65" spans="3:3" ht="66" customHeight="1" x14ac:dyDescent="0.25">
      <c r="C65" s="102"/>
    </row>
    <row r="66" spans="3:3" ht="66" customHeight="1" x14ac:dyDescent="0.25">
      <c r="C66" s="102"/>
    </row>
    <row r="67" spans="3:3" ht="66" customHeight="1" x14ac:dyDescent="0.25">
      <c r="C67" s="102"/>
    </row>
    <row r="68" spans="3:3" ht="66" customHeight="1" x14ac:dyDescent="0.25">
      <c r="C68" s="102"/>
    </row>
    <row r="69" spans="3:3" ht="66" customHeight="1" x14ac:dyDescent="0.25">
      <c r="C69" s="102"/>
    </row>
    <row r="70" spans="3:3" ht="66" customHeight="1" x14ac:dyDescent="0.25">
      <c r="C70" s="102"/>
    </row>
    <row r="71" spans="3:3" ht="66" customHeight="1" x14ac:dyDescent="0.25">
      <c r="C71" s="102"/>
    </row>
    <row r="72" spans="3:3" ht="66" customHeight="1" x14ac:dyDescent="0.25">
      <c r="C72" s="102"/>
    </row>
    <row r="73" spans="3:3" ht="66" customHeight="1" x14ac:dyDescent="0.25">
      <c r="C73" s="102"/>
    </row>
    <row r="74" spans="3:3" ht="66" customHeight="1" x14ac:dyDescent="0.25">
      <c r="C74" s="102"/>
    </row>
    <row r="75" spans="3:3" ht="66" customHeight="1" x14ac:dyDescent="0.25">
      <c r="C75" s="102"/>
    </row>
    <row r="76" spans="3:3" ht="66" customHeight="1" x14ac:dyDescent="0.25">
      <c r="C76" s="102"/>
    </row>
    <row r="77" spans="3:3" ht="66" customHeight="1" x14ac:dyDescent="0.25">
      <c r="C77" s="102"/>
    </row>
    <row r="78" spans="3:3" ht="66" customHeight="1" x14ac:dyDescent="0.25">
      <c r="C78" s="102"/>
    </row>
    <row r="79" spans="3:3" ht="66" customHeight="1" x14ac:dyDescent="0.25">
      <c r="C79" s="102"/>
    </row>
    <row r="80" spans="3:3" ht="66" customHeight="1" x14ac:dyDescent="0.25">
      <c r="C80" s="102"/>
    </row>
    <row r="81" spans="3:3" ht="66" customHeight="1" x14ac:dyDescent="0.25">
      <c r="C81" s="102"/>
    </row>
    <row r="82" spans="3:3" ht="66" customHeight="1" x14ac:dyDescent="0.25">
      <c r="C82" s="102"/>
    </row>
    <row r="83" spans="3:3" ht="66" customHeight="1" x14ac:dyDescent="0.25">
      <c r="C83" s="102"/>
    </row>
    <row r="84" spans="3:3" ht="66" customHeight="1" x14ac:dyDescent="0.25">
      <c r="C84" s="102"/>
    </row>
    <row r="85" spans="3:3" ht="66" customHeight="1" x14ac:dyDescent="0.25">
      <c r="C85" s="102"/>
    </row>
    <row r="86" spans="3:3" ht="66" customHeight="1" x14ac:dyDescent="0.25">
      <c r="C86" s="102"/>
    </row>
    <row r="87" spans="3:3" ht="66" customHeight="1" x14ac:dyDescent="0.25">
      <c r="C87" s="102"/>
    </row>
    <row r="88" spans="3:3" ht="66" customHeight="1" x14ac:dyDescent="0.25">
      <c r="C88" s="102"/>
    </row>
    <row r="89" spans="3:3" ht="66" customHeight="1" x14ac:dyDescent="0.25">
      <c r="C89" s="102"/>
    </row>
    <row r="90" spans="3:3" ht="66" customHeight="1" x14ac:dyDescent="0.25">
      <c r="C90" s="102"/>
    </row>
    <row r="91" spans="3:3" ht="66" customHeight="1" x14ac:dyDescent="0.25">
      <c r="C91" s="102"/>
    </row>
    <row r="92" spans="3:3" ht="66" customHeight="1" x14ac:dyDescent="0.25">
      <c r="C92" s="102"/>
    </row>
    <row r="93" spans="3:3" ht="66" customHeight="1" x14ac:dyDescent="0.25">
      <c r="C93" s="102"/>
    </row>
    <row r="94" spans="3:3" ht="66" customHeight="1" x14ac:dyDescent="0.25">
      <c r="C94" s="102"/>
    </row>
    <row r="95" spans="3:3" ht="66" customHeight="1" x14ac:dyDescent="0.25">
      <c r="C95" s="102"/>
    </row>
    <row r="96" spans="3:3" ht="66" customHeight="1" x14ac:dyDescent="0.25">
      <c r="C96" s="102"/>
    </row>
    <row r="97" spans="3:3" ht="66" customHeight="1" x14ac:dyDescent="0.25">
      <c r="C97" s="102"/>
    </row>
    <row r="98" spans="3:3" ht="66" customHeight="1" x14ac:dyDescent="0.25">
      <c r="C98" s="102"/>
    </row>
    <row r="99" spans="3:3" ht="66" customHeight="1" x14ac:dyDescent="0.25">
      <c r="C99" s="102"/>
    </row>
    <row r="100" spans="3:3" ht="66" customHeight="1" x14ac:dyDescent="0.25">
      <c r="C100" s="102"/>
    </row>
    <row r="101" spans="3:3" ht="66" customHeight="1" x14ac:dyDescent="0.25">
      <c r="C101" s="102"/>
    </row>
    <row r="102" spans="3:3" ht="66" customHeight="1" x14ac:dyDescent="0.25">
      <c r="C102" s="102"/>
    </row>
    <row r="103" spans="3:3" ht="66" customHeight="1" x14ac:dyDescent="0.25">
      <c r="C103" s="102"/>
    </row>
    <row r="104" spans="3:3" ht="66" customHeight="1" x14ac:dyDescent="0.25">
      <c r="C104" s="102"/>
    </row>
    <row r="105" spans="3:3" ht="66" customHeight="1" x14ac:dyDescent="0.25">
      <c r="C105" s="102"/>
    </row>
    <row r="106" spans="3:3" ht="66" customHeight="1" x14ac:dyDescent="0.25">
      <c r="C106" s="102"/>
    </row>
    <row r="107" spans="3:3" ht="66" customHeight="1" x14ac:dyDescent="0.25">
      <c r="C107" s="102"/>
    </row>
    <row r="108" spans="3:3" ht="66" customHeight="1" x14ac:dyDescent="0.25">
      <c r="C108" s="102"/>
    </row>
    <row r="109" spans="3:3" ht="66" customHeight="1" x14ac:dyDescent="0.25">
      <c r="C109" s="102"/>
    </row>
    <row r="110" spans="3:3" ht="66" customHeight="1" x14ac:dyDescent="0.25">
      <c r="C110" s="102"/>
    </row>
    <row r="111" spans="3:3" ht="66" customHeight="1" x14ac:dyDescent="0.25">
      <c r="C111" s="102"/>
    </row>
    <row r="112" spans="3:3" ht="66" customHeight="1" x14ac:dyDescent="0.25">
      <c r="C112" s="102"/>
    </row>
    <row r="113" spans="3:3" ht="66" customHeight="1" x14ac:dyDescent="0.25">
      <c r="C113" s="102"/>
    </row>
    <row r="114" spans="3:3" ht="66" customHeight="1" x14ac:dyDescent="0.25">
      <c r="C114" s="102"/>
    </row>
    <row r="115" spans="3:3" ht="66" customHeight="1" x14ac:dyDescent="0.25">
      <c r="C115" s="102"/>
    </row>
    <row r="116" spans="3:3" ht="66" customHeight="1" x14ac:dyDescent="0.25">
      <c r="C116" s="102"/>
    </row>
    <row r="117" spans="3:3" ht="66" customHeight="1" x14ac:dyDescent="0.25">
      <c r="C117" s="102"/>
    </row>
    <row r="118" spans="3:3" ht="66" customHeight="1" x14ac:dyDescent="0.25">
      <c r="C118" s="102"/>
    </row>
    <row r="119" spans="3:3" ht="66" customHeight="1" x14ac:dyDescent="0.25">
      <c r="C119" s="102"/>
    </row>
    <row r="120" spans="3:3" ht="66" customHeight="1" x14ac:dyDescent="0.25">
      <c r="C120" s="102"/>
    </row>
    <row r="121" spans="3:3" ht="66" customHeight="1" x14ac:dyDescent="0.25">
      <c r="C121" s="102"/>
    </row>
    <row r="122" spans="3:3" ht="66" customHeight="1" x14ac:dyDescent="0.25">
      <c r="C122" s="102"/>
    </row>
    <row r="123" spans="3:3" ht="66" customHeight="1" x14ac:dyDescent="0.25">
      <c r="C123" s="102"/>
    </row>
    <row r="124" spans="3:3" ht="66" customHeight="1" x14ac:dyDescent="0.25">
      <c r="C124" s="102"/>
    </row>
    <row r="125" spans="3:3" ht="66" customHeight="1" x14ac:dyDescent="0.25">
      <c r="C125" s="102"/>
    </row>
    <row r="126" spans="3:3" ht="66" customHeight="1" x14ac:dyDescent="0.25">
      <c r="C126" s="102"/>
    </row>
    <row r="127" spans="3:3" ht="66" customHeight="1" x14ac:dyDescent="0.25">
      <c r="C127" s="102"/>
    </row>
    <row r="128" spans="3:3" ht="66" customHeight="1" x14ac:dyDescent="0.25">
      <c r="C128" s="102"/>
    </row>
    <row r="129" spans="3:3" ht="66" customHeight="1" x14ac:dyDescent="0.25">
      <c r="C129" s="102"/>
    </row>
    <row r="130" spans="3:3" ht="66" customHeight="1" x14ac:dyDescent="0.25">
      <c r="C130" s="102"/>
    </row>
    <row r="131" spans="3:3" ht="66" customHeight="1" x14ac:dyDescent="0.25">
      <c r="C131" s="102"/>
    </row>
    <row r="132" spans="3:3" ht="66" customHeight="1" x14ac:dyDescent="0.25">
      <c r="C132" s="102"/>
    </row>
    <row r="133" spans="3:3" ht="66" customHeight="1" x14ac:dyDescent="0.25">
      <c r="C133" s="102"/>
    </row>
    <row r="134" spans="3:3" ht="66" customHeight="1" x14ac:dyDescent="0.25">
      <c r="C134" s="102"/>
    </row>
    <row r="135" spans="3:3" ht="66" customHeight="1" x14ac:dyDescent="0.25">
      <c r="C135" s="102"/>
    </row>
    <row r="136" spans="3:3" ht="66" customHeight="1" x14ac:dyDescent="0.25">
      <c r="C136" s="102"/>
    </row>
    <row r="137" spans="3:3" ht="66" customHeight="1" x14ac:dyDescent="0.25">
      <c r="C137" s="102"/>
    </row>
    <row r="138" spans="3:3" ht="66" customHeight="1" x14ac:dyDescent="0.25">
      <c r="C138" s="102"/>
    </row>
    <row r="139" spans="3:3" ht="66" customHeight="1" x14ac:dyDescent="0.25">
      <c r="C139" s="102"/>
    </row>
    <row r="140" spans="3:3" ht="66" customHeight="1" x14ac:dyDescent="0.25">
      <c r="C140" s="102"/>
    </row>
    <row r="141" spans="3:3" ht="66" customHeight="1" x14ac:dyDescent="0.25">
      <c r="C141" s="102"/>
    </row>
    <row r="142" spans="3:3" ht="66" customHeight="1" x14ac:dyDescent="0.25">
      <c r="C142" s="102"/>
    </row>
    <row r="143" spans="3:3" ht="66" customHeight="1" x14ac:dyDescent="0.25">
      <c r="C143" s="102"/>
    </row>
    <row r="144" spans="3:3" ht="66" customHeight="1" x14ac:dyDescent="0.25">
      <c r="C144" s="102"/>
    </row>
    <row r="145" spans="3:3" ht="66" customHeight="1" x14ac:dyDescent="0.25">
      <c r="C145" s="102"/>
    </row>
    <row r="146" spans="3:3" ht="66" customHeight="1" x14ac:dyDescent="0.25">
      <c r="C146" s="102"/>
    </row>
    <row r="147" spans="3:3" ht="66" customHeight="1" x14ac:dyDescent="0.25">
      <c r="C147" s="102"/>
    </row>
    <row r="148" spans="3:3" ht="66" customHeight="1" x14ac:dyDescent="0.25">
      <c r="C148" s="102"/>
    </row>
    <row r="149" spans="3:3" ht="66" customHeight="1" x14ac:dyDescent="0.25">
      <c r="C149" s="102"/>
    </row>
    <row r="150" spans="3:3" ht="66" customHeight="1" x14ac:dyDescent="0.25">
      <c r="C150" s="102"/>
    </row>
  </sheetData>
  <mergeCells count="8">
    <mergeCell ref="C1:J1"/>
    <mergeCell ref="C2:J2"/>
    <mergeCell ref="A4:J4"/>
    <mergeCell ref="A5:J5"/>
    <mergeCell ref="A6:A7"/>
    <mergeCell ref="B6:B7"/>
    <mergeCell ref="C6:C7"/>
    <mergeCell ref="J6:J7"/>
  </mergeCells>
  <pageMargins left="0.9055118110236221" right="0.11811023622047245" top="0.74803149606299213" bottom="0.35433070866141736" header="0.31496062992125984" footer="0.31496062992125984"/>
  <pageSetup paperSize="9" scale="6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8"/>
  <sheetViews>
    <sheetView view="pageBreakPreview" zoomScaleNormal="100" zoomScaleSheetLayoutView="100" workbookViewId="0">
      <selection activeCell="C2" sqref="C2:E2"/>
    </sheetView>
  </sheetViews>
  <sheetFormatPr defaultRowHeight="15.75" x14ac:dyDescent="0.25"/>
  <cols>
    <col min="1" max="1" width="33.140625" style="137" customWidth="1"/>
    <col min="2" max="2" width="58" style="136" customWidth="1"/>
    <col min="3" max="3" width="27" style="135" customWidth="1"/>
    <col min="4" max="4" width="20.7109375" style="134" customWidth="1"/>
    <col min="5" max="5" width="20.42578125" style="133" customWidth="1"/>
    <col min="6" max="6" width="19" style="132" bestFit="1" customWidth="1"/>
    <col min="7" max="247" width="9.140625" style="132"/>
    <col min="248" max="248" width="33.140625" style="132" customWidth="1"/>
    <col min="249" max="249" width="50.42578125" style="132" customWidth="1"/>
    <col min="250" max="250" width="0" style="132" hidden="1" customWidth="1"/>
    <col min="251" max="251" width="16.7109375" style="132" customWidth="1"/>
    <col min="252" max="252" width="19.85546875" style="132" customWidth="1"/>
    <col min="253" max="253" width="21.140625" style="132" customWidth="1"/>
    <col min="254" max="259" width="0" style="132" hidden="1" customWidth="1"/>
    <col min="260" max="260" width="14.85546875" style="132" bestFit="1" customWidth="1"/>
    <col min="261" max="261" width="16.28515625" style="132" customWidth="1"/>
    <col min="262" max="503" width="9.140625" style="132"/>
    <col min="504" max="504" width="33.140625" style="132" customWidth="1"/>
    <col min="505" max="505" width="50.42578125" style="132" customWidth="1"/>
    <col min="506" max="506" width="0" style="132" hidden="1" customWidth="1"/>
    <col min="507" max="507" width="16.7109375" style="132" customWidth="1"/>
    <col min="508" max="508" width="19.85546875" style="132" customWidth="1"/>
    <col min="509" max="509" width="21.140625" style="132" customWidth="1"/>
    <col min="510" max="515" width="0" style="132" hidden="1" customWidth="1"/>
    <col min="516" max="516" width="14.85546875" style="132" bestFit="1" customWidth="1"/>
    <col min="517" max="517" width="16.28515625" style="132" customWidth="1"/>
    <col min="518" max="759" width="9.140625" style="132"/>
    <col min="760" max="760" width="33.140625" style="132" customWidth="1"/>
    <col min="761" max="761" width="50.42578125" style="132" customWidth="1"/>
    <col min="762" max="762" width="0" style="132" hidden="1" customWidth="1"/>
    <col min="763" max="763" width="16.7109375" style="132" customWidth="1"/>
    <col min="764" max="764" width="19.85546875" style="132" customWidth="1"/>
    <col min="765" max="765" width="21.140625" style="132" customWidth="1"/>
    <col min="766" max="771" width="0" style="132" hidden="1" customWidth="1"/>
    <col min="772" max="772" width="14.85546875" style="132" bestFit="1" customWidth="1"/>
    <col min="773" max="773" width="16.28515625" style="132" customWidth="1"/>
    <col min="774" max="1015" width="9.140625" style="132"/>
    <col min="1016" max="1016" width="33.140625" style="132" customWidth="1"/>
    <col min="1017" max="1017" width="50.42578125" style="132" customWidth="1"/>
    <col min="1018" max="1018" width="0" style="132" hidden="1" customWidth="1"/>
    <col min="1019" max="1019" width="16.7109375" style="132" customWidth="1"/>
    <col min="1020" max="1020" width="19.85546875" style="132" customWidth="1"/>
    <col min="1021" max="1021" width="21.140625" style="132" customWidth="1"/>
    <col min="1022" max="1027" width="0" style="132" hidden="1" customWidth="1"/>
    <col min="1028" max="1028" width="14.85546875" style="132" bestFit="1" customWidth="1"/>
    <col min="1029" max="1029" width="16.28515625" style="132" customWidth="1"/>
    <col min="1030" max="1271" width="9.140625" style="132"/>
    <col min="1272" max="1272" width="33.140625" style="132" customWidth="1"/>
    <col min="1273" max="1273" width="50.42578125" style="132" customWidth="1"/>
    <col min="1274" max="1274" width="0" style="132" hidden="1" customWidth="1"/>
    <col min="1275" max="1275" width="16.7109375" style="132" customWidth="1"/>
    <col min="1276" max="1276" width="19.85546875" style="132" customWidth="1"/>
    <col min="1277" max="1277" width="21.140625" style="132" customWidth="1"/>
    <col min="1278" max="1283" width="0" style="132" hidden="1" customWidth="1"/>
    <col min="1284" max="1284" width="14.85546875" style="132" bestFit="1" customWidth="1"/>
    <col min="1285" max="1285" width="16.28515625" style="132" customWidth="1"/>
    <col min="1286" max="1527" width="9.140625" style="132"/>
    <col min="1528" max="1528" width="33.140625" style="132" customWidth="1"/>
    <col min="1529" max="1529" width="50.42578125" style="132" customWidth="1"/>
    <col min="1530" max="1530" width="0" style="132" hidden="1" customWidth="1"/>
    <col min="1531" max="1531" width="16.7109375" style="132" customWidth="1"/>
    <col min="1532" max="1532" width="19.85546875" style="132" customWidth="1"/>
    <col min="1533" max="1533" width="21.140625" style="132" customWidth="1"/>
    <col min="1534" max="1539" width="0" style="132" hidden="1" customWidth="1"/>
    <col min="1540" max="1540" width="14.85546875" style="132" bestFit="1" customWidth="1"/>
    <col min="1541" max="1541" width="16.28515625" style="132" customWidth="1"/>
    <col min="1542" max="1783" width="9.140625" style="132"/>
    <col min="1784" max="1784" width="33.140625" style="132" customWidth="1"/>
    <col min="1785" max="1785" width="50.42578125" style="132" customWidth="1"/>
    <col min="1786" max="1786" width="0" style="132" hidden="1" customWidth="1"/>
    <col min="1787" max="1787" width="16.7109375" style="132" customWidth="1"/>
    <col min="1788" max="1788" width="19.85546875" style="132" customWidth="1"/>
    <col min="1789" max="1789" width="21.140625" style="132" customWidth="1"/>
    <col min="1790" max="1795" width="0" style="132" hidden="1" customWidth="1"/>
    <col min="1796" max="1796" width="14.85546875" style="132" bestFit="1" customWidth="1"/>
    <col min="1797" max="1797" width="16.28515625" style="132" customWidth="1"/>
    <col min="1798" max="2039" width="9.140625" style="132"/>
    <col min="2040" max="2040" width="33.140625" style="132" customWidth="1"/>
    <col min="2041" max="2041" width="50.42578125" style="132" customWidth="1"/>
    <col min="2042" max="2042" width="0" style="132" hidden="1" customWidth="1"/>
    <col min="2043" max="2043" width="16.7109375" style="132" customWidth="1"/>
    <col min="2044" max="2044" width="19.85546875" style="132" customWidth="1"/>
    <col min="2045" max="2045" width="21.140625" style="132" customWidth="1"/>
    <col min="2046" max="2051" width="0" style="132" hidden="1" customWidth="1"/>
    <col min="2052" max="2052" width="14.85546875" style="132" bestFit="1" customWidth="1"/>
    <col min="2053" max="2053" width="16.28515625" style="132" customWidth="1"/>
    <col min="2054" max="2295" width="9.140625" style="132"/>
    <col min="2296" max="2296" width="33.140625" style="132" customWidth="1"/>
    <col min="2297" max="2297" width="50.42578125" style="132" customWidth="1"/>
    <col min="2298" max="2298" width="0" style="132" hidden="1" customWidth="1"/>
    <col min="2299" max="2299" width="16.7109375" style="132" customWidth="1"/>
    <col min="2300" max="2300" width="19.85546875" style="132" customWidth="1"/>
    <col min="2301" max="2301" width="21.140625" style="132" customWidth="1"/>
    <col min="2302" max="2307" width="0" style="132" hidden="1" customWidth="1"/>
    <col min="2308" max="2308" width="14.85546875" style="132" bestFit="1" customWidth="1"/>
    <col min="2309" max="2309" width="16.28515625" style="132" customWidth="1"/>
    <col min="2310" max="2551" width="9.140625" style="132"/>
    <col min="2552" max="2552" width="33.140625" style="132" customWidth="1"/>
    <col min="2553" max="2553" width="50.42578125" style="132" customWidth="1"/>
    <col min="2554" max="2554" width="0" style="132" hidden="1" customWidth="1"/>
    <col min="2555" max="2555" width="16.7109375" style="132" customWidth="1"/>
    <col min="2556" max="2556" width="19.85546875" style="132" customWidth="1"/>
    <col min="2557" max="2557" width="21.140625" style="132" customWidth="1"/>
    <col min="2558" max="2563" width="0" style="132" hidden="1" customWidth="1"/>
    <col min="2564" max="2564" width="14.85546875" style="132" bestFit="1" customWidth="1"/>
    <col min="2565" max="2565" width="16.28515625" style="132" customWidth="1"/>
    <col min="2566" max="2807" width="9.140625" style="132"/>
    <col min="2808" max="2808" width="33.140625" style="132" customWidth="1"/>
    <col min="2809" max="2809" width="50.42578125" style="132" customWidth="1"/>
    <col min="2810" max="2810" width="0" style="132" hidden="1" customWidth="1"/>
    <col min="2811" max="2811" width="16.7109375" style="132" customWidth="1"/>
    <col min="2812" max="2812" width="19.85546875" style="132" customWidth="1"/>
    <col min="2813" max="2813" width="21.140625" style="132" customWidth="1"/>
    <col min="2814" max="2819" width="0" style="132" hidden="1" customWidth="1"/>
    <col min="2820" max="2820" width="14.85546875" style="132" bestFit="1" customWidth="1"/>
    <col min="2821" max="2821" width="16.28515625" style="132" customWidth="1"/>
    <col min="2822" max="3063" width="9.140625" style="132"/>
    <col min="3064" max="3064" width="33.140625" style="132" customWidth="1"/>
    <col min="3065" max="3065" width="50.42578125" style="132" customWidth="1"/>
    <col min="3066" max="3066" width="0" style="132" hidden="1" customWidth="1"/>
    <col min="3067" max="3067" width="16.7109375" style="132" customWidth="1"/>
    <col min="3068" max="3068" width="19.85546875" style="132" customWidth="1"/>
    <col min="3069" max="3069" width="21.140625" style="132" customWidth="1"/>
    <col min="3070" max="3075" width="0" style="132" hidden="1" customWidth="1"/>
    <col min="3076" max="3076" width="14.85546875" style="132" bestFit="1" customWidth="1"/>
    <col min="3077" max="3077" width="16.28515625" style="132" customWidth="1"/>
    <col min="3078" max="3319" width="9.140625" style="132"/>
    <col min="3320" max="3320" width="33.140625" style="132" customWidth="1"/>
    <col min="3321" max="3321" width="50.42578125" style="132" customWidth="1"/>
    <col min="3322" max="3322" width="0" style="132" hidden="1" customWidth="1"/>
    <col min="3323" max="3323" width="16.7109375" style="132" customWidth="1"/>
    <col min="3324" max="3324" width="19.85546875" style="132" customWidth="1"/>
    <col min="3325" max="3325" width="21.140625" style="132" customWidth="1"/>
    <col min="3326" max="3331" width="0" style="132" hidden="1" customWidth="1"/>
    <col min="3332" max="3332" width="14.85546875" style="132" bestFit="1" customWidth="1"/>
    <col min="3333" max="3333" width="16.28515625" style="132" customWidth="1"/>
    <col min="3334" max="3575" width="9.140625" style="132"/>
    <col min="3576" max="3576" width="33.140625" style="132" customWidth="1"/>
    <col min="3577" max="3577" width="50.42578125" style="132" customWidth="1"/>
    <col min="3578" max="3578" width="0" style="132" hidden="1" customWidth="1"/>
    <col min="3579" max="3579" width="16.7109375" style="132" customWidth="1"/>
    <col min="3580" max="3580" width="19.85546875" style="132" customWidth="1"/>
    <col min="3581" max="3581" width="21.140625" style="132" customWidth="1"/>
    <col min="3582" max="3587" width="0" style="132" hidden="1" customWidth="1"/>
    <col min="3588" max="3588" width="14.85546875" style="132" bestFit="1" customWidth="1"/>
    <col min="3589" max="3589" width="16.28515625" style="132" customWidth="1"/>
    <col min="3590" max="3831" width="9.140625" style="132"/>
    <col min="3832" max="3832" width="33.140625" style="132" customWidth="1"/>
    <col min="3833" max="3833" width="50.42578125" style="132" customWidth="1"/>
    <col min="3834" max="3834" width="0" style="132" hidden="1" customWidth="1"/>
    <col min="3835" max="3835" width="16.7109375" style="132" customWidth="1"/>
    <col min="3836" max="3836" width="19.85546875" style="132" customWidth="1"/>
    <col min="3837" max="3837" width="21.140625" style="132" customWidth="1"/>
    <col min="3838" max="3843" width="0" style="132" hidden="1" customWidth="1"/>
    <col min="3844" max="3844" width="14.85546875" style="132" bestFit="1" customWidth="1"/>
    <col min="3845" max="3845" width="16.28515625" style="132" customWidth="1"/>
    <col min="3846" max="4087" width="9.140625" style="132"/>
    <col min="4088" max="4088" width="33.140625" style="132" customWidth="1"/>
    <col min="4089" max="4089" width="50.42578125" style="132" customWidth="1"/>
    <col min="4090" max="4090" width="0" style="132" hidden="1" customWidth="1"/>
    <col min="4091" max="4091" width="16.7109375" style="132" customWidth="1"/>
    <col min="4092" max="4092" width="19.85546875" style="132" customWidth="1"/>
    <col min="4093" max="4093" width="21.140625" style="132" customWidth="1"/>
    <col min="4094" max="4099" width="0" style="132" hidden="1" customWidth="1"/>
    <col min="4100" max="4100" width="14.85546875" style="132" bestFit="1" customWidth="1"/>
    <col min="4101" max="4101" width="16.28515625" style="132" customWidth="1"/>
    <col min="4102" max="4343" width="9.140625" style="132"/>
    <col min="4344" max="4344" width="33.140625" style="132" customWidth="1"/>
    <col min="4345" max="4345" width="50.42578125" style="132" customWidth="1"/>
    <col min="4346" max="4346" width="0" style="132" hidden="1" customWidth="1"/>
    <col min="4347" max="4347" width="16.7109375" style="132" customWidth="1"/>
    <col min="4348" max="4348" width="19.85546875" style="132" customWidth="1"/>
    <col min="4349" max="4349" width="21.140625" style="132" customWidth="1"/>
    <col min="4350" max="4355" width="0" style="132" hidden="1" customWidth="1"/>
    <col min="4356" max="4356" width="14.85546875" style="132" bestFit="1" customWidth="1"/>
    <col min="4357" max="4357" width="16.28515625" style="132" customWidth="1"/>
    <col min="4358" max="4599" width="9.140625" style="132"/>
    <col min="4600" max="4600" width="33.140625" style="132" customWidth="1"/>
    <col min="4601" max="4601" width="50.42578125" style="132" customWidth="1"/>
    <col min="4602" max="4602" width="0" style="132" hidden="1" customWidth="1"/>
    <col min="4603" max="4603" width="16.7109375" style="132" customWidth="1"/>
    <col min="4604" max="4604" width="19.85546875" style="132" customWidth="1"/>
    <col min="4605" max="4605" width="21.140625" style="132" customWidth="1"/>
    <col min="4606" max="4611" width="0" style="132" hidden="1" customWidth="1"/>
    <col min="4612" max="4612" width="14.85546875" style="132" bestFit="1" customWidth="1"/>
    <col min="4613" max="4613" width="16.28515625" style="132" customWidth="1"/>
    <col min="4614" max="4855" width="9.140625" style="132"/>
    <col min="4856" max="4856" width="33.140625" style="132" customWidth="1"/>
    <col min="4857" max="4857" width="50.42578125" style="132" customWidth="1"/>
    <col min="4858" max="4858" width="0" style="132" hidden="1" customWidth="1"/>
    <col min="4859" max="4859" width="16.7109375" style="132" customWidth="1"/>
    <col min="4860" max="4860" width="19.85546875" style="132" customWidth="1"/>
    <col min="4861" max="4861" width="21.140625" style="132" customWidth="1"/>
    <col min="4862" max="4867" width="0" style="132" hidden="1" customWidth="1"/>
    <col min="4868" max="4868" width="14.85546875" style="132" bestFit="1" customWidth="1"/>
    <col min="4869" max="4869" width="16.28515625" style="132" customWidth="1"/>
    <col min="4870" max="5111" width="9.140625" style="132"/>
    <col min="5112" max="5112" width="33.140625" style="132" customWidth="1"/>
    <col min="5113" max="5113" width="50.42578125" style="132" customWidth="1"/>
    <col min="5114" max="5114" width="0" style="132" hidden="1" customWidth="1"/>
    <col min="5115" max="5115" width="16.7109375" style="132" customWidth="1"/>
    <col min="5116" max="5116" width="19.85546875" style="132" customWidth="1"/>
    <col min="5117" max="5117" width="21.140625" style="132" customWidth="1"/>
    <col min="5118" max="5123" width="0" style="132" hidden="1" customWidth="1"/>
    <col min="5124" max="5124" width="14.85546875" style="132" bestFit="1" customWidth="1"/>
    <col min="5125" max="5125" width="16.28515625" style="132" customWidth="1"/>
    <col min="5126" max="5367" width="9.140625" style="132"/>
    <col min="5368" max="5368" width="33.140625" style="132" customWidth="1"/>
    <col min="5369" max="5369" width="50.42578125" style="132" customWidth="1"/>
    <col min="5370" max="5370" width="0" style="132" hidden="1" customWidth="1"/>
    <col min="5371" max="5371" width="16.7109375" style="132" customWidth="1"/>
    <col min="5372" max="5372" width="19.85546875" style="132" customWidth="1"/>
    <col min="5373" max="5373" width="21.140625" style="132" customWidth="1"/>
    <col min="5374" max="5379" width="0" style="132" hidden="1" customWidth="1"/>
    <col min="5380" max="5380" width="14.85546875" style="132" bestFit="1" customWidth="1"/>
    <col min="5381" max="5381" width="16.28515625" style="132" customWidth="1"/>
    <col min="5382" max="5623" width="9.140625" style="132"/>
    <col min="5624" max="5624" width="33.140625" style="132" customWidth="1"/>
    <col min="5625" max="5625" width="50.42578125" style="132" customWidth="1"/>
    <col min="5626" max="5626" width="0" style="132" hidden="1" customWidth="1"/>
    <col min="5627" max="5627" width="16.7109375" style="132" customWidth="1"/>
    <col min="5628" max="5628" width="19.85546875" style="132" customWidth="1"/>
    <col min="5629" max="5629" width="21.140625" style="132" customWidth="1"/>
    <col min="5630" max="5635" width="0" style="132" hidden="1" customWidth="1"/>
    <col min="5636" max="5636" width="14.85546875" style="132" bestFit="1" customWidth="1"/>
    <col min="5637" max="5637" width="16.28515625" style="132" customWidth="1"/>
    <col min="5638" max="5879" width="9.140625" style="132"/>
    <col min="5880" max="5880" width="33.140625" style="132" customWidth="1"/>
    <col min="5881" max="5881" width="50.42578125" style="132" customWidth="1"/>
    <col min="5882" max="5882" width="0" style="132" hidden="1" customWidth="1"/>
    <col min="5883" max="5883" width="16.7109375" style="132" customWidth="1"/>
    <col min="5884" max="5884" width="19.85546875" style="132" customWidth="1"/>
    <col min="5885" max="5885" width="21.140625" style="132" customWidth="1"/>
    <col min="5886" max="5891" width="0" style="132" hidden="1" customWidth="1"/>
    <col min="5892" max="5892" width="14.85546875" style="132" bestFit="1" customWidth="1"/>
    <col min="5893" max="5893" width="16.28515625" style="132" customWidth="1"/>
    <col min="5894" max="6135" width="9.140625" style="132"/>
    <col min="6136" max="6136" width="33.140625" style="132" customWidth="1"/>
    <col min="6137" max="6137" width="50.42578125" style="132" customWidth="1"/>
    <col min="6138" max="6138" width="0" style="132" hidden="1" customWidth="1"/>
    <col min="6139" max="6139" width="16.7109375" style="132" customWidth="1"/>
    <col min="6140" max="6140" width="19.85546875" style="132" customWidth="1"/>
    <col min="6141" max="6141" width="21.140625" style="132" customWidth="1"/>
    <col min="6142" max="6147" width="0" style="132" hidden="1" customWidth="1"/>
    <col min="6148" max="6148" width="14.85546875" style="132" bestFit="1" customWidth="1"/>
    <col min="6149" max="6149" width="16.28515625" style="132" customWidth="1"/>
    <col min="6150" max="6391" width="9.140625" style="132"/>
    <col min="6392" max="6392" width="33.140625" style="132" customWidth="1"/>
    <col min="6393" max="6393" width="50.42578125" style="132" customWidth="1"/>
    <col min="6394" max="6394" width="0" style="132" hidden="1" customWidth="1"/>
    <col min="6395" max="6395" width="16.7109375" style="132" customWidth="1"/>
    <col min="6396" max="6396" width="19.85546875" style="132" customWidth="1"/>
    <col min="6397" max="6397" width="21.140625" style="132" customWidth="1"/>
    <col min="6398" max="6403" width="0" style="132" hidden="1" customWidth="1"/>
    <col min="6404" max="6404" width="14.85546875" style="132" bestFit="1" customWidth="1"/>
    <col min="6405" max="6405" width="16.28515625" style="132" customWidth="1"/>
    <col min="6406" max="6647" width="9.140625" style="132"/>
    <col min="6648" max="6648" width="33.140625" style="132" customWidth="1"/>
    <col min="6649" max="6649" width="50.42578125" style="132" customWidth="1"/>
    <col min="6650" max="6650" width="0" style="132" hidden="1" customWidth="1"/>
    <col min="6651" max="6651" width="16.7109375" style="132" customWidth="1"/>
    <col min="6652" max="6652" width="19.85546875" style="132" customWidth="1"/>
    <col min="6653" max="6653" width="21.140625" style="132" customWidth="1"/>
    <col min="6654" max="6659" width="0" style="132" hidden="1" customWidth="1"/>
    <col min="6660" max="6660" width="14.85546875" style="132" bestFit="1" customWidth="1"/>
    <col min="6661" max="6661" width="16.28515625" style="132" customWidth="1"/>
    <col min="6662" max="6903" width="9.140625" style="132"/>
    <col min="6904" max="6904" width="33.140625" style="132" customWidth="1"/>
    <col min="6905" max="6905" width="50.42578125" style="132" customWidth="1"/>
    <col min="6906" max="6906" width="0" style="132" hidden="1" customWidth="1"/>
    <col min="6907" max="6907" width="16.7109375" style="132" customWidth="1"/>
    <col min="6908" max="6908" width="19.85546875" style="132" customWidth="1"/>
    <col min="6909" max="6909" width="21.140625" style="132" customWidth="1"/>
    <col min="6910" max="6915" width="0" style="132" hidden="1" customWidth="1"/>
    <col min="6916" max="6916" width="14.85546875" style="132" bestFit="1" customWidth="1"/>
    <col min="6917" max="6917" width="16.28515625" style="132" customWidth="1"/>
    <col min="6918" max="7159" width="9.140625" style="132"/>
    <col min="7160" max="7160" width="33.140625" style="132" customWidth="1"/>
    <col min="7161" max="7161" width="50.42578125" style="132" customWidth="1"/>
    <col min="7162" max="7162" width="0" style="132" hidden="1" customWidth="1"/>
    <col min="7163" max="7163" width="16.7109375" style="132" customWidth="1"/>
    <col min="7164" max="7164" width="19.85546875" style="132" customWidth="1"/>
    <col min="7165" max="7165" width="21.140625" style="132" customWidth="1"/>
    <col min="7166" max="7171" width="0" style="132" hidden="1" customWidth="1"/>
    <col min="7172" max="7172" width="14.85546875" style="132" bestFit="1" customWidth="1"/>
    <col min="7173" max="7173" width="16.28515625" style="132" customWidth="1"/>
    <col min="7174" max="7415" width="9.140625" style="132"/>
    <col min="7416" max="7416" width="33.140625" style="132" customWidth="1"/>
    <col min="7417" max="7417" width="50.42578125" style="132" customWidth="1"/>
    <col min="7418" max="7418" width="0" style="132" hidden="1" customWidth="1"/>
    <col min="7419" max="7419" width="16.7109375" style="132" customWidth="1"/>
    <col min="7420" max="7420" width="19.85546875" style="132" customWidth="1"/>
    <col min="7421" max="7421" width="21.140625" style="132" customWidth="1"/>
    <col min="7422" max="7427" width="0" style="132" hidden="1" customWidth="1"/>
    <col min="7428" max="7428" width="14.85546875" style="132" bestFit="1" customWidth="1"/>
    <col min="7429" max="7429" width="16.28515625" style="132" customWidth="1"/>
    <col min="7430" max="7671" width="9.140625" style="132"/>
    <col min="7672" max="7672" width="33.140625" style="132" customWidth="1"/>
    <col min="7673" max="7673" width="50.42578125" style="132" customWidth="1"/>
    <col min="7674" max="7674" width="0" style="132" hidden="1" customWidth="1"/>
    <col min="7675" max="7675" width="16.7109375" style="132" customWidth="1"/>
    <col min="7676" max="7676" width="19.85546875" style="132" customWidth="1"/>
    <col min="7677" max="7677" width="21.140625" style="132" customWidth="1"/>
    <col min="7678" max="7683" width="0" style="132" hidden="1" customWidth="1"/>
    <col min="7684" max="7684" width="14.85546875" style="132" bestFit="1" customWidth="1"/>
    <col min="7685" max="7685" width="16.28515625" style="132" customWidth="1"/>
    <col min="7686" max="7927" width="9.140625" style="132"/>
    <col min="7928" max="7928" width="33.140625" style="132" customWidth="1"/>
    <col min="7929" max="7929" width="50.42578125" style="132" customWidth="1"/>
    <col min="7930" max="7930" width="0" style="132" hidden="1" customWidth="1"/>
    <col min="7931" max="7931" width="16.7109375" style="132" customWidth="1"/>
    <col min="7932" max="7932" width="19.85546875" style="132" customWidth="1"/>
    <col min="7933" max="7933" width="21.140625" style="132" customWidth="1"/>
    <col min="7934" max="7939" width="0" style="132" hidden="1" customWidth="1"/>
    <col min="7940" max="7940" width="14.85546875" style="132" bestFit="1" customWidth="1"/>
    <col min="7941" max="7941" width="16.28515625" style="132" customWidth="1"/>
    <col min="7942" max="8183" width="9.140625" style="132"/>
    <col min="8184" max="8184" width="33.140625" style="132" customWidth="1"/>
    <col min="8185" max="8185" width="50.42578125" style="132" customWidth="1"/>
    <col min="8186" max="8186" width="0" style="132" hidden="1" customWidth="1"/>
    <col min="8187" max="8187" width="16.7109375" style="132" customWidth="1"/>
    <col min="8188" max="8188" width="19.85546875" style="132" customWidth="1"/>
    <col min="8189" max="8189" width="21.140625" style="132" customWidth="1"/>
    <col min="8190" max="8195" width="0" style="132" hidden="1" customWidth="1"/>
    <col min="8196" max="8196" width="14.85546875" style="132" bestFit="1" customWidth="1"/>
    <col min="8197" max="8197" width="16.28515625" style="132" customWidth="1"/>
    <col min="8198" max="8439" width="9.140625" style="132"/>
    <col min="8440" max="8440" width="33.140625" style="132" customWidth="1"/>
    <col min="8441" max="8441" width="50.42578125" style="132" customWidth="1"/>
    <col min="8442" max="8442" width="0" style="132" hidden="1" customWidth="1"/>
    <col min="8443" max="8443" width="16.7109375" style="132" customWidth="1"/>
    <col min="8444" max="8444" width="19.85546875" style="132" customWidth="1"/>
    <col min="8445" max="8445" width="21.140625" style="132" customWidth="1"/>
    <col min="8446" max="8451" width="0" style="132" hidden="1" customWidth="1"/>
    <col min="8452" max="8452" width="14.85546875" style="132" bestFit="1" customWidth="1"/>
    <col min="8453" max="8453" width="16.28515625" style="132" customWidth="1"/>
    <col min="8454" max="8695" width="9.140625" style="132"/>
    <col min="8696" max="8696" width="33.140625" style="132" customWidth="1"/>
    <col min="8697" max="8697" width="50.42578125" style="132" customWidth="1"/>
    <col min="8698" max="8698" width="0" style="132" hidden="1" customWidth="1"/>
    <col min="8699" max="8699" width="16.7109375" style="132" customWidth="1"/>
    <col min="8700" max="8700" width="19.85546875" style="132" customWidth="1"/>
    <col min="8701" max="8701" width="21.140625" style="132" customWidth="1"/>
    <col min="8702" max="8707" width="0" style="132" hidden="1" customWidth="1"/>
    <col min="8708" max="8708" width="14.85546875" style="132" bestFit="1" customWidth="1"/>
    <col min="8709" max="8709" width="16.28515625" style="132" customWidth="1"/>
    <col min="8710" max="8951" width="9.140625" style="132"/>
    <col min="8952" max="8952" width="33.140625" style="132" customWidth="1"/>
    <col min="8953" max="8953" width="50.42578125" style="132" customWidth="1"/>
    <col min="8954" max="8954" width="0" style="132" hidden="1" customWidth="1"/>
    <col min="8955" max="8955" width="16.7109375" style="132" customWidth="1"/>
    <col min="8956" max="8956" width="19.85546875" style="132" customWidth="1"/>
    <col min="8957" max="8957" width="21.140625" style="132" customWidth="1"/>
    <col min="8958" max="8963" width="0" style="132" hidden="1" customWidth="1"/>
    <col min="8964" max="8964" width="14.85546875" style="132" bestFit="1" customWidth="1"/>
    <col min="8965" max="8965" width="16.28515625" style="132" customWidth="1"/>
    <col min="8966" max="9207" width="9.140625" style="132"/>
    <col min="9208" max="9208" width="33.140625" style="132" customWidth="1"/>
    <col min="9209" max="9209" width="50.42578125" style="132" customWidth="1"/>
    <col min="9210" max="9210" width="0" style="132" hidden="1" customWidth="1"/>
    <col min="9211" max="9211" width="16.7109375" style="132" customWidth="1"/>
    <col min="9212" max="9212" width="19.85546875" style="132" customWidth="1"/>
    <col min="9213" max="9213" width="21.140625" style="132" customWidth="1"/>
    <col min="9214" max="9219" width="0" style="132" hidden="1" customWidth="1"/>
    <col min="9220" max="9220" width="14.85546875" style="132" bestFit="1" customWidth="1"/>
    <col min="9221" max="9221" width="16.28515625" style="132" customWidth="1"/>
    <col min="9222" max="9463" width="9.140625" style="132"/>
    <col min="9464" max="9464" width="33.140625" style="132" customWidth="1"/>
    <col min="9465" max="9465" width="50.42578125" style="132" customWidth="1"/>
    <col min="9466" max="9466" width="0" style="132" hidden="1" customWidth="1"/>
    <col min="9467" max="9467" width="16.7109375" style="132" customWidth="1"/>
    <col min="9468" max="9468" width="19.85546875" style="132" customWidth="1"/>
    <col min="9469" max="9469" width="21.140625" style="132" customWidth="1"/>
    <col min="9470" max="9475" width="0" style="132" hidden="1" customWidth="1"/>
    <col min="9476" max="9476" width="14.85546875" style="132" bestFit="1" customWidth="1"/>
    <col min="9477" max="9477" width="16.28515625" style="132" customWidth="1"/>
    <col min="9478" max="9719" width="9.140625" style="132"/>
    <col min="9720" max="9720" width="33.140625" style="132" customWidth="1"/>
    <col min="9721" max="9721" width="50.42578125" style="132" customWidth="1"/>
    <col min="9722" max="9722" width="0" style="132" hidden="1" customWidth="1"/>
    <col min="9723" max="9723" width="16.7109375" style="132" customWidth="1"/>
    <col min="9724" max="9724" width="19.85546875" style="132" customWidth="1"/>
    <col min="9725" max="9725" width="21.140625" style="132" customWidth="1"/>
    <col min="9726" max="9731" width="0" style="132" hidden="1" customWidth="1"/>
    <col min="9732" max="9732" width="14.85546875" style="132" bestFit="1" customWidth="1"/>
    <col min="9733" max="9733" width="16.28515625" style="132" customWidth="1"/>
    <col min="9734" max="9975" width="9.140625" style="132"/>
    <col min="9976" max="9976" width="33.140625" style="132" customWidth="1"/>
    <col min="9977" max="9977" width="50.42578125" style="132" customWidth="1"/>
    <col min="9978" max="9978" width="0" style="132" hidden="1" customWidth="1"/>
    <col min="9979" max="9979" width="16.7109375" style="132" customWidth="1"/>
    <col min="9980" max="9980" width="19.85546875" style="132" customWidth="1"/>
    <col min="9981" max="9981" width="21.140625" style="132" customWidth="1"/>
    <col min="9982" max="9987" width="0" style="132" hidden="1" customWidth="1"/>
    <col min="9988" max="9988" width="14.85546875" style="132" bestFit="1" customWidth="1"/>
    <col min="9989" max="9989" width="16.28515625" style="132" customWidth="1"/>
    <col min="9990" max="10231" width="9.140625" style="132"/>
    <col min="10232" max="10232" width="33.140625" style="132" customWidth="1"/>
    <col min="10233" max="10233" width="50.42578125" style="132" customWidth="1"/>
    <col min="10234" max="10234" width="0" style="132" hidden="1" customWidth="1"/>
    <col min="10235" max="10235" width="16.7109375" style="132" customWidth="1"/>
    <col min="10236" max="10236" width="19.85546875" style="132" customWidth="1"/>
    <col min="10237" max="10237" width="21.140625" style="132" customWidth="1"/>
    <col min="10238" max="10243" width="0" style="132" hidden="1" customWidth="1"/>
    <col min="10244" max="10244" width="14.85546875" style="132" bestFit="1" customWidth="1"/>
    <col min="10245" max="10245" width="16.28515625" style="132" customWidth="1"/>
    <col min="10246" max="10487" width="9.140625" style="132"/>
    <col min="10488" max="10488" width="33.140625" style="132" customWidth="1"/>
    <col min="10489" max="10489" width="50.42578125" style="132" customWidth="1"/>
    <col min="10490" max="10490" width="0" style="132" hidden="1" customWidth="1"/>
    <col min="10491" max="10491" width="16.7109375" style="132" customWidth="1"/>
    <col min="10492" max="10492" width="19.85546875" style="132" customWidth="1"/>
    <col min="10493" max="10493" width="21.140625" style="132" customWidth="1"/>
    <col min="10494" max="10499" width="0" style="132" hidden="1" customWidth="1"/>
    <col min="10500" max="10500" width="14.85546875" style="132" bestFit="1" customWidth="1"/>
    <col min="10501" max="10501" width="16.28515625" style="132" customWidth="1"/>
    <col min="10502" max="10743" width="9.140625" style="132"/>
    <col min="10744" max="10744" width="33.140625" style="132" customWidth="1"/>
    <col min="10745" max="10745" width="50.42578125" style="132" customWidth="1"/>
    <col min="10746" max="10746" width="0" style="132" hidden="1" customWidth="1"/>
    <col min="10747" max="10747" width="16.7109375" style="132" customWidth="1"/>
    <col min="10748" max="10748" width="19.85546875" style="132" customWidth="1"/>
    <col min="10749" max="10749" width="21.140625" style="132" customWidth="1"/>
    <col min="10750" max="10755" width="0" style="132" hidden="1" customWidth="1"/>
    <col min="10756" max="10756" width="14.85546875" style="132" bestFit="1" customWidth="1"/>
    <col min="10757" max="10757" width="16.28515625" style="132" customWidth="1"/>
    <col min="10758" max="10999" width="9.140625" style="132"/>
    <col min="11000" max="11000" width="33.140625" style="132" customWidth="1"/>
    <col min="11001" max="11001" width="50.42578125" style="132" customWidth="1"/>
    <col min="11002" max="11002" width="0" style="132" hidden="1" customWidth="1"/>
    <col min="11003" max="11003" width="16.7109375" style="132" customWidth="1"/>
    <col min="11004" max="11004" width="19.85546875" style="132" customWidth="1"/>
    <col min="11005" max="11005" width="21.140625" style="132" customWidth="1"/>
    <col min="11006" max="11011" width="0" style="132" hidden="1" customWidth="1"/>
    <col min="11012" max="11012" width="14.85546875" style="132" bestFit="1" customWidth="1"/>
    <col min="11013" max="11013" width="16.28515625" style="132" customWidth="1"/>
    <col min="11014" max="11255" width="9.140625" style="132"/>
    <col min="11256" max="11256" width="33.140625" style="132" customWidth="1"/>
    <col min="11257" max="11257" width="50.42578125" style="132" customWidth="1"/>
    <col min="11258" max="11258" width="0" style="132" hidden="1" customWidth="1"/>
    <col min="11259" max="11259" width="16.7109375" style="132" customWidth="1"/>
    <col min="11260" max="11260" width="19.85546875" style="132" customWidth="1"/>
    <col min="11261" max="11261" width="21.140625" style="132" customWidth="1"/>
    <col min="11262" max="11267" width="0" style="132" hidden="1" customWidth="1"/>
    <col min="11268" max="11268" width="14.85546875" style="132" bestFit="1" customWidth="1"/>
    <col min="11269" max="11269" width="16.28515625" style="132" customWidth="1"/>
    <col min="11270" max="11511" width="9.140625" style="132"/>
    <col min="11512" max="11512" width="33.140625" style="132" customWidth="1"/>
    <col min="11513" max="11513" width="50.42578125" style="132" customWidth="1"/>
    <col min="11514" max="11514" width="0" style="132" hidden="1" customWidth="1"/>
    <col min="11515" max="11515" width="16.7109375" style="132" customWidth="1"/>
    <col min="11516" max="11516" width="19.85546875" style="132" customWidth="1"/>
    <col min="11517" max="11517" width="21.140625" style="132" customWidth="1"/>
    <col min="11518" max="11523" width="0" style="132" hidden="1" customWidth="1"/>
    <col min="11524" max="11524" width="14.85546875" style="132" bestFit="1" customWidth="1"/>
    <col min="11525" max="11525" width="16.28515625" style="132" customWidth="1"/>
    <col min="11526" max="11767" width="9.140625" style="132"/>
    <col min="11768" max="11768" width="33.140625" style="132" customWidth="1"/>
    <col min="11769" max="11769" width="50.42578125" style="132" customWidth="1"/>
    <col min="11770" max="11770" width="0" style="132" hidden="1" customWidth="1"/>
    <col min="11771" max="11771" width="16.7109375" style="132" customWidth="1"/>
    <col min="11772" max="11772" width="19.85546875" style="132" customWidth="1"/>
    <col min="11773" max="11773" width="21.140625" style="132" customWidth="1"/>
    <col min="11774" max="11779" width="0" style="132" hidden="1" customWidth="1"/>
    <col min="11780" max="11780" width="14.85546875" style="132" bestFit="1" customWidth="1"/>
    <col min="11781" max="11781" width="16.28515625" style="132" customWidth="1"/>
    <col min="11782" max="12023" width="9.140625" style="132"/>
    <col min="12024" max="12024" width="33.140625" style="132" customWidth="1"/>
    <col min="12025" max="12025" width="50.42578125" style="132" customWidth="1"/>
    <col min="12026" max="12026" width="0" style="132" hidden="1" customWidth="1"/>
    <col min="12027" max="12027" width="16.7109375" style="132" customWidth="1"/>
    <col min="12028" max="12028" width="19.85546875" style="132" customWidth="1"/>
    <col min="12029" max="12029" width="21.140625" style="132" customWidth="1"/>
    <col min="12030" max="12035" width="0" style="132" hidden="1" customWidth="1"/>
    <col min="12036" max="12036" width="14.85546875" style="132" bestFit="1" customWidth="1"/>
    <col min="12037" max="12037" width="16.28515625" style="132" customWidth="1"/>
    <col min="12038" max="12279" width="9.140625" style="132"/>
    <col min="12280" max="12280" width="33.140625" style="132" customWidth="1"/>
    <col min="12281" max="12281" width="50.42578125" style="132" customWidth="1"/>
    <col min="12282" max="12282" width="0" style="132" hidden="1" customWidth="1"/>
    <col min="12283" max="12283" width="16.7109375" style="132" customWidth="1"/>
    <col min="12284" max="12284" width="19.85546875" style="132" customWidth="1"/>
    <col min="12285" max="12285" width="21.140625" style="132" customWidth="1"/>
    <col min="12286" max="12291" width="0" style="132" hidden="1" customWidth="1"/>
    <col min="12292" max="12292" width="14.85546875" style="132" bestFit="1" customWidth="1"/>
    <col min="12293" max="12293" width="16.28515625" style="132" customWidth="1"/>
    <col min="12294" max="12535" width="9.140625" style="132"/>
    <col min="12536" max="12536" width="33.140625" style="132" customWidth="1"/>
    <col min="12537" max="12537" width="50.42578125" style="132" customWidth="1"/>
    <col min="12538" max="12538" width="0" style="132" hidden="1" customWidth="1"/>
    <col min="12539" max="12539" width="16.7109375" style="132" customWidth="1"/>
    <col min="12540" max="12540" width="19.85546875" style="132" customWidth="1"/>
    <col min="12541" max="12541" width="21.140625" style="132" customWidth="1"/>
    <col min="12542" max="12547" width="0" style="132" hidden="1" customWidth="1"/>
    <col min="12548" max="12548" width="14.85546875" style="132" bestFit="1" customWidth="1"/>
    <col min="12549" max="12549" width="16.28515625" style="132" customWidth="1"/>
    <col min="12550" max="12791" width="9.140625" style="132"/>
    <col min="12792" max="12792" width="33.140625" style="132" customWidth="1"/>
    <col min="12793" max="12793" width="50.42578125" style="132" customWidth="1"/>
    <col min="12794" max="12794" width="0" style="132" hidden="1" customWidth="1"/>
    <col min="12795" max="12795" width="16.7109375" style="132" customWidth="1"/>
    <col min="12796" max="12796" width="19.85546875" style="132" customWidth="1"/>
    <col min="12797" max="12797" width="21.140625" style="132" customWidth="1"/>
    <col min="12798" max="12803" width="0" style="132" hidden="1" customWidth="1"/>
    <col min="12804" max="12804" width="14.85546875" style="132" bestFit="1" customWidth="1"/>
    <col min="12805" max="12805" width="16.28515625" style="132" customWidth="1"/>
    <col min="12806" max="13047" width="9.140625" style="132"/>
    <col min="13048" max="13048" width="33.140625" style="132" customWidth="1"/>
    <col min="13049" max="13049" width="50.42578125" style="132" customWidth="1"/>
    <col min="13050" max="13050" width="0" style="132" hidden="1" customWidth="1"/>
    <col min="13051" max="13051" width="16.7109375" style="132" customWidth="1"/>
    <col min="13052" max="13052" width="19.85546875" style="132" customWidth="1"/>
    <col min="13053" max="13053" width="21.140625" style="132" customWidth="1"/>
    <col min="13054" max="13059" width="0" style="132" hidden="1" customWidth="1"/>
    <col min="13060" max="13060" width="14.85546875" style="132" bestFit="1" customWidth="1"/>
    <col min="13061" max="13061" width="16.28515625" style="132" customWidth="1"/>
    <col min="13062" max="13303" width="9.140625" style="132"/>
    <col min="13304" max="13304" width="33.140625" style="132" customWidth="1"/>
    <col min="13305" max="13305" width="50.42578125" style="132" customWidth="1"/>
    <col min="13306" max="13306" width="0" style="132" hidden="1" customWidth="1"/>
    <col min="13307" max="13307" width="16.7109375" style="132" customWidth="1"/>
    <col min="13308" max="13308" width="19.85546875" style="132" customWidth="1"/>
    <col min="13309" max="13309" width="21.140625" style="132" customWidth="1"/>
    <col min="13310" max="13315" width="0" style="132" hidden="1" customWidth="1"/>
    <col min="13316" max="13316" width="14.85546875" style="132" bestFit="1" customWidth="1"/>
    <col min="13317" max="13317" width="16.28515625" style="132" customWidth="1"/>
    <col min="13318" max="13559" width="9.140625" style="132"/>
    <col min="13560" max="13560" width="33.140625" style="132" customWidth="1"/>
    <col min="13561" max="13561" width="50.42578125" style="132" customWidth="1"/>
    <col min="13562" max="13562" width="0" style="132" hidden="1" customWidth="1"/>
    <col min="13563" max="13563" width="16.7109375" style="132" customWidth="1"/>
    <col min="13564" max="13564" width="19.85546875" style="132" customWidth="1"/>
    <col min="13565" max="13565" width="21.140625" style="132" customWidth="1"/>
    <col min="13566" max="13571" width="0" style="132" hidden="1" customWidth="1"/>
    <col min="13572" max="13572" width="14.85546875" style="132" bestFit="1" customWidth="1"/>
    <col min="13573" max="13573" width="16.28515625" style="132" customWidth="1"/>
    <col min="13574" max="13815" width="9.140625" style="132"/>
    <col min="13816" max="13816" width="33.140625" style="132" customWidth="1"/>
    <col min="13817" max="13817" width="50.42578125" style="132" customWidth="1"/>
    <col min="13818" max="13818" width="0" style="132" hidden="1" customWidth="1"/>
    <col min="13819" max="13819" width="16.7109375" style="132" customWidth="1"/>
    <col min="13820" max="13820" width="19.85546875" style="132" customWidth="1"/>
    <col min="13821" max="13821" width="21.140625" style="132" customWidth="1"/>
    <col min="13822" max="13827" width="0" style="132" hidden="1" customWidth="1"/>
    <col min="13828" max="13828" width="14.85546875" style="132" bestFit="1" customWidth="1"/>
    <col min="13829" max="13829" width="16.28515625" style="132" customWidth="1"/>
    <col min="13830" max="14071" width="9.140625" style="132"/>
    <col min="14072" max="14072" width="33.140625" style="132" customWidth="1"/>
    <col min="14073" max="14073" width="50.42578125" style="132" customWidth="1"/>
    <col min="14074" max="14074" width="0" style="132" hidden="1" customWidth="1"/>
    <col min="14075" max="14075" width="16.7109375" style="132" customWidth="1"/>
    <col min="14076" max="14076" width="19.85546875" style="132" customWidth="1"/>
    <col min="14077" max="14077" width="21.140625" style="132" customWidth="1"/>
    <col min="14078" max="14083" width="0" style="132" hidden="1" customWidth="1"/>
    <col min="14084" max="14084" width="14.85546875" style="132" bestFit="1" customWidth="1"/>
    <col min="14085" max="14085" width="16.28515625" style="132" customWidth="1"/>
    <col min="14086" max="14327" width="9.140625" style="132"/>
    <col min="14328" max="14328" width="33.140625" style="132" customWidth="1"/>
    <col min="14329" max="14329" width="50.42578125" style="132" customWidth="1"/>
    <col min="14330" max="14330" width="0" style="132" hidden="1" customWidth="1"/>
    <col min="14331" max="14331" width="16.7109375" style="132" customWidth="1"/>
    <col min="14332" max="14332" width="19.85546875" style="132" customWidth="1"/>
    <col min="14333" max="14333" width="21.140625" style="132" customWidth="1"/>
    <col min="14334" max="14339" width="0" style="132" hidden="1" customWidth="1"/>
    <col min="14340" max="14340" width="14.85546875" style="132" bestFit="1" customWidth="1"/>
    <col min="14341" max="14341" width="16.28515625" style="132" customWidth="1"/>
    <col min="14342" max="14583" width="9.140625" style="132"/>
    <col min="14584" max="14584" width="33.140625" style="132" customWidth="1"/>
    <col min="14585" max="14585" width="50.42578125" style="132" customWidth="1"/>
    <col min="14586" max="14586" width="0" style="132" hidden="1" customWidth="1"/>
    <col min="14587" max="14587" width="16.7109375" style="132" customWidth="1"/>
    <col min="14588" max="14588" width="19.85546875" style="132" customWidth="1"/>
    <col min="14589" max="14589" width="21.140625" style="132" customWidth="1"/>
    <col min="14590" max="14595" width="0" style="132" hidden="1" customWidth="1"/>
    <col min="14596" max="14596" width="14.85546875" style="132" bestFit="1" customWidth="1"/>
    <col min="14597" max="14597" width="16.28515625" style="132" customWidth="1"/>
    <col min="14598" max="14839" width="9.140625" style="132"/>
    <col min="14840" max="14840" width="33.140625" style="132" customWidth="1"/>
    <col min="14841" max="14841" width="50.42578125" style="132" customWidth="1"/>
    <col min="14842" max="14842" width="0" style="132" hidden="1" customWidth="1"/>
    <col min="14843" max="14843" width="16.7109375" style="132" customWidth="1"/>
    <col min="14844" max="14844" width="19.85546875" style="132" customWidth="1"/>
    <col min="14845" max="14845" width="21.140625" style="132" customWidth="1"/>
    <col min="14846" max="14851" width="0" style="132" hidden="1" customWidth="1"/>
    <col min="14852" max="14852" width="14.85546875" style="132" bestFit="1" customWidth="1"/>
    <col min="14853" max="14853" width="16.28515625" style="132" customWidth="1"/>
    <col min="14854" max="15095" width="9.140625" style="132"/>
    <col min="15096" max="15096" width="33.140625" style="132" customWidth="1"/>
    <col min="15097" max="15097" width="50.42578125" style="132" customWidth="1"/>
    <col min="15098" max="15098" width="0" style="132" hidden="1" customWidth="1"/>
    <col min="15099" max="15099" width="16.7109375" style="132" customWidth="1"/>
    <col min="15100" max="15100" width="19.85546875" style="132" customWidth="1"/>
    <col min="15101" max="15101" width="21.140625" style="132" customWidth="1"/>
    <col min="15102" max="15107" width="0" style="132" hidden="1" customWidth="1"/>
    <col min="15108" max="15108" width="14.85546875" style="132" bestFit="1" customWidth="1"/>
    <col min="15109" max="15109" width="16.28515625" style="132" customWidth="1"/>
    <col min="15110" max="15351" width="9.140625" style="132"/>
    <col min="15352" max="15352" width="33.140625" style="132" customWidth="1"/>
    <col min="15353" max="15353" width="50.42578125" style="132" customWidth="1"/>
    <col min="15354" max="15354" width="0" style="132" hidden="1" customWidth="1"/>
    <col min="15355" max="15355" width="16.7109375" style="132" customWidth="1"/>
    <col min="15356" max="15356" width="19.85546875" style="132" customWidth="1"/>
    <col min="15357" max="15357" width="21.140625" style="132" customWidth="1"/>
    <col min="15358" max="15363" width="0" style="132" hidden="1" customWidth="1"/>
    <col min="15364" max="15364" width="14.85546875" style="132" bestFit="1" customWidth="1"/>
    <col min="15365" max="15365" width="16.28515625" style="132" customWidth="1"/>
    <col min="15366" max="15607" width="9.140625" style="132"/>
    <col min="15608" max="15608" width="33.140625" style="132" customWidth="1"/>
    <col min="15609" max="15609" width="50.42578125" style="132" customWidth="1"/>
    <col min="15610" max="15610" width="0" style="132" hidden="1" customWidth="1"/>
    <col min="15611" max="15611" width="16.7109375" style="132" customWidth="1"/>
    <col min="15612" max="15612" width="19.85546875" style="132" customWidth="1"/>
    <col min="15613" max="15613" width="21.140625" style="132" customWidth="1"/>
    <col min="15614" max="15619" width="0" style="132" hidden="1" customWidth="1"/>
    <col min="15620" max="15620" width="14.85546875" style="132" bestFit="1" customWidth="1"/>
    <col min="15621" max="15621" width="16.28515625" style="132" customWidth="1"/>
    <col min="15622" max="15863" width="9.140625" style="132"/>
    <col min="15864" max="15864" width="33.140625" style="132" customWidth="1"/>
    <col min="15865" max="15865" width="50.42578125" style="132" customWidth="1"/>
    <col min="15866" max="15866" width="0" style="132" hidden="1" customWidth="1"/>
    <col min="15867" max="15867" width="16.7109375" style="132" customWidth="1"/>
    <col min="15868" max="15868" width="19.85546875" style="132" customWidth="1"/>
    <col min="15869" max="15869" width="21.140625" style="132" customWidth="1"/>
    <col min="15870" max="15875" width="0" style="132" hidden="1" customWidth="1"/>
    <col min="15876" max="15876" width="14.85546875" style="132" bestFit="1" customWidth="1"/>
    <col min="15877" max="15877" width="16.28515625" style="132" customWidth="1"/>
    <col min="15878" max="16119" width="9.140625" style="132"/>
    <col min="16120" max="16120" width="33.140625" style="132" customWidth="1"/>
    <col min="16121" max="16121" width="50.42578125" style="132" customWidth="1"/>
    <col min="16122" max="16122" width="0" style="132" hidden="1" customWidth="1"/>
    <col min="16123" max="16123" width="16.7109375" style="132" customWidth="1"/>
    <col min="16124" max="16124" width="19.85546875" style="132" customWidth="1"/>
    <col min="16125" max="16125" width="21.140625" style="132" customWidth="1"/>
    <col min="16126" max="16131" width="0" style="132" hidden="1" customWidth="1"/>
    <col min="16132" max="16132" width="14.85546875" style="132" bestFit="1" customWidth="1"/>
    <col min="16133" max="16133" width="16.28515625" style="132" customWidth="1"/>
    <col min="16134" max="16384" width="9.140625" style="132"/>
  </cols>
  <sheetData>
    <row r="1" spans="1:6" x14ac:dyDescent="0.25">
      <c r="A1" s="200"/>
      <c r="B1" s="198"/>
      <c r="C1" s="199"/>
      <c r="E1" s="133" t="s">
        <v>970</v>
      </c>
    </row>
    <row r="2" spans="1:6" ht="54.75" customHeight="1" x14ac:dyDescent="0.25">
      <c r="A2" s="197"/>
      <c r="B2" s="198"/>
      <c r="C2" s="241" t="s">
        <v>974</v>
      </c>
      <c r="D2" s="241"/>
      <c r="E2" s="241"/>
    </row>
    <row r="3" spans="1:6" ht="15.75" customHeight="1" x14ac:dyDescent="0.25">
      <c r="A3" s="197"/>
      <c r="B3" s="196" t="s">
        <v>519</v>
      </c>
      <c r="D3" s="195"/>
      <c r="E3" s="194"/>
    </row>
    <row r="4" spans="1:6" ht="32.25" customHeight="1" x14ac:dyDescent="0.25">
      <c r="A4" s="210" t="s">
        <v>969</v>
      </c>
      <c r="B4" s="210"/>
      <c r="C4" s="210"/>
      <c r="D4" s="210"/>
      <c r="E4" s="210"/>
    </row>
    <row r="5" spans="1:6" ht="21.75" customHeight="1" x14ac:dyDescent="0.25">
      <c r="A5" s="193"/>
      <c r="B5" s="193"/>
      <c r="C5" s="192"/>
      <c r="D5" s="192"/>
      <c r="E5" s="191" t="s">
        <v>968</v>
      </c>
    </row>
    <row r="6" spans="1:6" s="186" customFormat="1" ht="36.75" customHeight="1" x14ac:dyDescent="0.25">
      <c r="A6" s="190" t="s">
        <v>566</v>
      </c>
      <c r="B6" s="189" t="s">
        <v>207</v>
      </c>
      <c r="C6" s="187" t="s">
        <v>565</v>
      </c>
      <c r="D6" s="188" t="s">
        <v>967</v>
      </c>
      <c r="E6" s="187" t="s">
        <v>966</v>
      </c>
    </row>
    <row r="7" spans="1:6" s="184" customFormat="1" x14ac:dyDescent="0.25">
      <c r="A7" s="185">
        <v>1</v>
      </c>
      <c r="B7" s="185">
        <v>2</v>
      </c>
      <c r="C7" s="185">
        <v>3</v>
      </c>
      <c r="D7" s="185">
        <v>4</v>
      </c>
      <c r="E7" s="185">
        <v>5</v>
      </c>
    </row>
    <row r="8" spans="1:6" x14ac:dyDescent="0.25">
      <c r="A8" s="145" t="s">
        <v>965</v>
      </c>
      <c r="B8" s="140" t="s">
        <v>964</v>
      </c>
      <c r="C8" s="142">
        <f>C9+C117</f>
        <v>655878.24356999993</v>
      </c>
      <c r="D8" s="146">
        <f>D9+D117</f>
        <v>142606.79785999999</v>
      </c>
      <c r="E8" s="138">
        <f t="shared" ref="E8:E15" si="0">D8/C8*100</f>
        <v>21.742876708911595</v>
      </c>
      <c r="F8" s="160">
        <f>C8-655878.24357</f>
        <v>0</v>
      </c>
    </row>
    <row r="9" spans="1:6" x14ac:dyDescent="0.25">
      <c r="A9" s="145" t="s">
        <v>963</v>
      </c>
      <c r="B9" s="140" t="s">
        <v>962</v>
      </c>
      <c r="C9" s="142">
        <f>C10+C53</f>
        <v>111500.06539000002</v>
      </c>
      <c r="D9" s="146">
        <f>D10+D53</f>
        <v>22894.837140000003</v>
      </c>
      <c r="E9" s="138">
        <f t="shared" si="0"/>
        <v>20.533474182207385</v>
      </c>
    </row>
    <row r="10" spans="1:6" ht="15" customHeight="1" x14ac:dyDescent="0.25">
      <c r="A10" s="145"/>
      <c r="B10" s="140" t="s">
        <v>961</v>
      </c>
      <c r="C10" s="142">
        <f>C11+C23+C39+C43+C46+C17</f>
        <v>106077.05539000002</v>
      </c>
      <c r="D10" s="146">
        <f>D11+D17+D23+D39+D43+D46</f>
        <v>20736.513470000002</v>
      </c>
      <c r="E10" s="138">
        <f t="shared" si="0"/>
        <v>19.548537988503451</v>
      </c>
    </row>
    <row r="11" spans="1:6" x14ac:dyDescent="0.25">
      <c r="A11" s="145" t="s">
        <v>960</v>
      </c>
      <c r="B11" s="140" t="s">
        <v>959</v>
      </c>
      <c r="C11" s="142">
        <f>C12</f>
        <v>52267.3</v>
      </c>
      <c r="D11" s="146">
        <f>D12</f>
        <v>9874.0182100000002</v>
      </c>
      <c r="E11" s="138">
        <f t="shared" si="0"/>
        <v>18.891387559717067</v>
      </c>
    </row>
    <row r="12" spans="1:6" ht="21" customHeight="1" x14ac:dyDescent="0.25">
      <c r="A12" s="145" t="s">
        <v>958</v>
      </c>
      <c r="B12" s="140" t="s">
        <v>957</v>
      </c>
      <c r="C12" s="142">
        <f>SUM(C13:C16)</f>
        <v>52267.3</v>
      </c>
      <c r="D12" s="142">
        <f>SUM(D13:D16)</f>
        <v>9874.0182100000002</v>
      </c>
      <c r="E12" s="138">
        <f t="shared" si="0"/>
        <v>18.891387559717067</v>
      </c>
    </row>
    <row r="13" spans="1:6" ht="84.75" customHeight="1" x14ac:dyDescent="0.25">
      <c r="A13" s="145" t="s">
        <v>956</v>
      </c>
      <c r="B13" s="140" t="s">
        <v>955</v>
      </c>
      <c r="C13" s="142">
        <v>51263.23</v>
      </c>
      <c r="D13" s="146">
        <v>9856.5209599999998</v>
      </c>
      <c r="E13" s="138">
        <f t="shared" si="0"/>
        <v>19.227272569442071</v>
      </c>
    </row>
    <row r="14" spans="1:6" ht="127.5" customHeight="1" x14ac:dyDescent="0.25">
      <c r="A14" s="145" t="s">
        <v>954</v>
      </c>
      <c r="B14" s="140" t="s">
        <v>953</v>
      </c>
      <c r="C14" s="142">
        <v>157.19999999999999</v>
      </c>
      <c r="D14" s="146">
        <v>3.2801399999999998</v>
      </c>
      <c r="E14" s="138">
        <f t="shared" si="0"/>
        <v>2.0866030534351143</v>
      </c>
    </row>
    <row r="15" spans="1:6" ht="50.25" customHeight="1" x14ac:dyDescent="0.25">
      <c r="A15" s="145" t="s">
        <v>952</v>
      </c>
      <c r="B15" s="140" t="s">
        <v>951</v>
      </c>
      <c r="C15" s="142">
        <v>846.87</v>
      </c>
      <c r="D15" s="146">
        <v>16.485240000000001</v>
      </c>
      <c r="E15" s="138">
        <f t="shared" si="0"/>
        <v>1.9466080980551914</v>
      </c>
    </row>
    <row r="16" spans="1:6" ht="63" x14ac:dyDescent="0.25">
      <c r="A16" s="145" t="s">
        <v>950</v>
      </c>
      <c r="B16" s="140" t="s">
        <v>949</v>
      </c>
      <c r="C16" s="142"/>
      <c r="D16" s="146">
        <v>-2.2681300000000002</v>
      </c>
      <c r="E16" s="138"/>
    </row>
    <row r="17" spans="1:5" ht="47.25" x14ac:dyDescent="0.25">
      <c r="A17" s="145" t="s">
        <v>948</v>
      </c>
      <c r="B17" s="140" t="s">
        <v>947</v>
      </c>
      <c r="C17" s="147">
        <f>C18</f>
        <v>5444.8</v>
      </c>
      <c r="D17" s="146">
        <f>D18</f>
        <v>1411.8824300000001</v>
      </c>
      <c r="E17" s="138">
        <f>D17/C17*100</f>
        <v>25.930840985894797</v>
      </c>
    </row>
    <row r="18" spans="1:5" ht="31.5" x14ac:dyDescent="0.25">
      <c r="A18" s="145" t="s">
        <v>946</v>
      </c>
      <c r="B18" s="140" t="s">
        <v>945</v>
      </c>
      <c r="C18" s="142">
        <f>C19+C20+C21</f>
        <v>5444.8</v>
      </c>
      <c r="D18" s="142">
        <f>D19+D20+D21+D22</f>
        <v>1411.8824300000001</v>
      </c>
      <c r="E18" s="138">
        <f>D18/C18*100</f>
        <v>25.930840985894797</v>
      </c>
    </row>
    <row r="19" spans="1:5" ht="94.5" x14ac:dyDescent="0.25">
      <c r="A19" s="145" t="s">
        <v>944</v>
      </c>
      <c r="B19" s="140" t="s">
        <v>943</v>
      </c>
      <c r="C19" s="142">
        <v>2260.8000000000002</v>
      </c>
      <c r="D19" s="146">
        <v>620.22986000000003</v>
      </c>
      <c r="E19" s="138">
        <f>D19/C19*100</f>
        <v>27.434087933474878</v>
      </c>
    </row>
    <row r="20" spans="1:5" ht="110.25" x14ac:dyDescent="0.25">
      <c r="A20" s="145" t="s">
        <v>942</v>
      </c>
      <c r="B20" s="140" t="s">
        <v>941</v>
      </c>
      <c r="C20" s="142">
        <v>30</v>
      </c>
      <c r="D20" s="146">
        <v>4.3335600000000003</v>
      </c>
      <c r="E20" s="138">
        <f>D20/C20*100</f>
        <v>14.4452</v>
      </c>
    </row>
    <row r="21" spans="1:5" ht="82.5" customHeight="1" x14ac:dyDescent="0.25">
      <c r="A21" s="145" t="s">
        <v>940</v>
      </c>
      <c r="B21" s="140" t="s">
        <v>939</v>
      </c>
      <c r="C21" s="142">
        <v>3154</v>
      </c>
      <c r="D21" s="146">
        <v>909.38496999999995</v>
      </c>
      <c r="E21" s="138">
        <f>D21/C21*100</f>
        <v>28.832751109701967</v>
      </c>
    </row>
    <row r="22" spans="1:5" ht="78" customHeight="1" x14ac:dyDescent="0.25">
      <c r="A22" s="145" t="s">
        <v>938</v>
      </c>
      <c r="B22" s="140" t="s">
        <v>937</v>
      </c>
      <c r="C22" s="142"/>
      <c r="D22" s="146">
        <v>-122.06596</v>
      </c>
      <c r="E22" s="138"/>
    </row>
    <row r="23" spans="1:5" s="143" customFormat="1" x14ac:dyDescent="0.25">
      <c r="A23" s="145" t="s">
        <v>936</v>
      </c>
      <c r="B23" s="140" t="s">
        <v>935</v>
      </c>
      <c r="C23" s="142">
        <f>C24+C32+C35+C37</f>
        <v>18222.02</v>
      </c>
      <c r="D23" s="144">
        <f>D24+D32+D35+D37</f>
        <v>3730.9814899999997</v>
      </c>
      <c r="E23" s="138">
        <f>D23/C23*100</f>
        <v>20.475125644687033</v>
      </c>
    </row>
    <row r="24" spans="1:5" ht="31.5" x14ac:dyDescent="0.25">
      <c r="A24" s="145" t="s">
        <v>934</v>
      </c>
      <c r="B24" s="140" t="s">
        <v>933</v>
      </c>
      <c r="C24" s="142">
        <f>C25+C28</f>
        <v>10933.2</v>
      </c>
      <c r="D24" s="142">
        <f>D25+D28+D31</f>
        <v>1737.0423600000001</v>
      </c>
      <c r="E24" s="138">
        <f>D24/C24*100</f>
        <v>15.887776314345297</v>
      </c>
    </row>
    <row r="25" spans="1:5" ht="31.5" x14ac:dyDescent="0.25">
      <c r="A25" s="145" t="s">
        <v>932</v>
      </c>
      <c r="B25" s="140" t="s">
        <v>931</v>
      </c>
      <c r="C25" s="142">
        <f>C26</f>
        <v>7224.1</v>
      </c>
      <c r="D25" s="146">
        <f>D26+D27</f>
        <v>936.51017000000002</v>
      </c>
      <c r="E25" s="138">
        <f>D25/C25*100</f>
        <v>12.963693332041363</v>
      </c>
    </row>
    <row r="26" spans="1:5" ht="44.25" customHeight="1" x14ac:dyDescent="0.25">
      <c r="A26" s="145" t="s">
        <v>930</v>
      </c>
      <c r="B26" s="140" t="s">
        <v>928</v>
      </c>
      <c r="C26" s="142">
        <v>7224.1</v>
      </c>
      <c r="D26" s="146">
        <v>936.51017000000002</v>
      </c>
      <c r="E26" s="138">
        <f>D26/C26*100</f>
        <v>12.963693332041363</v>
      </c>
    </row>
    <row r="27" spans="1:5" ht="47.25" hidden="1" x14ac:dyDescent="0.25">
      <c r="A27" s="145" t="s">
        <v>929</v>
      </c>
      <c r="B27" s="140" t="s">
        <v>928</v>
      </c>
      <c r="C27" s="142"/>
      <c r="D27" s="146"/>
      <c r="E27" s="138"/>
    </row>
    <row r="28" spans="1:5" ht="54" customHeight="1" x14ac:dyDescent="0.25">
      <c r="A28" s="145" t="s">
        <v>927</v>
      </c>
      <c r="B28" s="140" t="s">
        <v>926</v>
      </c>
      <c r="C28" s="142">
        <f>C29</f>
        <v>3709.1</v>
      </c>
      <c r="D28" s="146">
        <f>D29+D30</f>
        <v>800.52403000000004</v>
      </c>
      <c r="E28" s="138">
        <f>D28/C28*100</f>
        <v>21.582702812002914</v>
      </c>
    </row>
    <row r="29" spans="1:5" ht="81.75" customHeight="1" x14ac:dyDescent="0.25">
      <c r="A29" s="145" t="s">
        <v>925</v>
      </c>
      <c r="B29" s="140" t="s">
        <v>924</v>
      </c>
      <c r="C29" s="142">
        <v>3709.1</v>
      </c>
      <c r="D29" s="146">
        <v>800.52403000000004</v>
      </c>
      <c r="E29" s="138">
        <f>D29/C29*100</f>
        <v>21.582702812002914</v>
      </c>
    </row>
    <row r="30" spans="1:5" ht="63" hidden="1" x14ac:dyDescent="0.25">
      <c r="A30" s="145" t="s">
        <v>923</v>
      </c>
      <c r="B30" s="140" t="s">
        <v>922</v>
      </c>
      <c r="C30" s="142"/>
      <c r="D30" s="146"/>
      <c r="E30" s="138"/>
    </row>
    <row r="31" spans="1:5" ht="31.5" x14ac:dyDescent="0.25">
      <c r="A31" s="145" t="s">
        <v>921</v>
      </c>
      <c r="B31" s="140" t="s">
        <v>920</v>
      </c>
      <c r="C31" s="142"/>
      <c r="D31" s="146">
        <v>8.1600000000000006E-3</v>
      </c>
      <c r="E31" s="138"/>
    </row>
    <row r="32" spans="1:5" ht="31.5" x14ac:dyDescent="0.25">
      <c r="A32" s="145" t="s">
        <v>919</v>
      </c>
      <c r="B32" s="140" t="s">
        <v>917</v>
      </c>
      <c r="C32" s="142">
        <f>C33</f>
        <v>6254.82</v>
      </c>
      <c r="D32" s="146">
        <f>D33+D34</f>
        <v>1629.3808999999999</v>
      </c>
      <c r="E32" s="138">
        <f>D32/C32*100</f>
        <v>26.05000463642439</v>
      </c>
    </row>
    <row r="33" spans="1:5" ht="30.75" customHeight="1" x14ac:dyDescent="0.25">
      <c r="A33" s="145" t="s">
        <v>918</v>
      </c>
      <c r="B33" s="140" t="s">
        <v>917</v>
      </c>
      <c r="C33" s="142">
        <v>6254.82</v>
      </c>
      <c r="D33" s="146">
        <v>1629.38086</v>
      </c>
      <c r="E33" s="138">
        <f>D33/C33*100</f>
        <v>26.050003996917575</v>
      </c>
    </row>
    <row r="34" spans="1:5" ht="47.25" hidden="1" x14ac:dyDescent="0.25">
      <c r="A34" s="145" t="s">
        <v>916</v>
      </c>
      <c r="B34" s="140" t="s">
        <v>915</v>
      </c>
      <c r="C34" s="142"/>
      <c r="D34" s="146">
        <v>4.0000000000000003E-5</v>
      </c>
      <c r="E34" s="138"/>
    </row>
    <row r="35" spans="1:5" x14ac:dyDescent="0.25">
      <c r="A35" s="145" t="s">
        <v>914</v>
      </c>
      <c r="B35" s="140" t="s">
        <v>912</v>
      </c>
      <c r="C35" s="142">
        <f>C36</f>
        <v>991</v>
      </c>
      <c r="D35" s="146">
        <f>D36</f>
        <v>360.69044000000002</v>
      </c>
      <c r="E35" s="138">
        <f t="shared" ref="E35:E57" si="1">D35/C35*100</f>
        <v>36.396613521695258</v>
      </c>
    </row>
    <row r="36" spans="1:5" x14ac:dyDescent="0.25">
      <c r="A36" s="145" t="s">
        <v>913</v>
      </c>
      <c r="B36" s="140" t="s">
        <v>912</v>
      </c>
      <c r="C36" s="142">
        <v>991</v>
      </c>
      <c r="D36" s="146">
        <v>360.69044000000002</v>
      </c>
      <c r="E36" s="138">
        <f t="shared" si="1"/>
        <v>36.396613521695258</v>
      </c>
    </row>
    <row r="37" spans="1:5" ht="31.5" x14ac:dyDescent="0.25">
      <c r="A37" s="145" t="s">
        <v>911</v>
      </c>
      <c r="B37" s="140" t="s">
        <v>910</v>
      </c>
      <c r="C37" s="142">
        <f>C38</f>
        <v>43</v>
      </c>
      <c r="D37" s="146">
        <f>D38</f>
        <v>3.8677899999999998</v>
      </c>
      <c r="E37" s="138">
        <f t="shared" si="1"/>
        <v>8.9948604651162789</v>
      </c>
    </row>
    <row r="38" spans="1:5" ht="47.25" x14ac:dyDescent="0.25">
      <c r="A38" s="145" t="s">
        <v>909</v>
      </c>
      <c r="B38" s="140" t="s">
        <v>908</v>
      </c>
      <c r="C38" s="147">
        <v>43</v>
      </c>
      <c r="D38" s="146">
        <v>3.8677899999999998</v>
      </c>
      <c r="E38" s="138">
        <f t="shared" si="1"/>
        <v>8.9948604651162789</v>
      </c>
    </row>
    <row r="39" spans="1:5" s="143" customFormat="1" x14ac:dyDescent="0.25">
      <c r="A39" s="145" t="s">
        <v>907</v>
      </c>
      <c r="B39" s="140" t="s">
        <v>906</v>
      </c>
      <c r="C39" s="142">
        <f>C40</f>
        <v>28699.8</v>
      </c>
      <c r="D39" s="144">
        <f>D40</f>
        <v>5400.2245700000003</v>
      </c>
      <c r="E39" s="138">
        <f t="shared" si="1"/>
        <v>18.816244607976365</v>
      </c>
    </row>
    <row r="40" spans="1:5" s="143" customFormat="1" x14ac:dyDescent="0.25">
      <c r="A40" s="145" t="s">
        <v>905</v>
      </c>
      <c r="B40" s="140" t="s">
        <v>904</v>
      </c>
      <c r="C40" s="142">
        <f>C41+C42</f>
        <v>28699.8</v>
      </c>
      <c r="D40" s="144">
        <f>D42</f>
        <v>5400.2245700000003</v>
      </c>
      <c r="E40" s="138">
        <f t="shared" si="1"/>
        <v>18.816244607976365</v>
      </c>
    </row>
    <row r="41" spans="1:5" ht="31.5" hidden="1" x14ac:dyDescent="0.25">
      <c r="A41" s="145" t="s">
        <v>903</v>
      </c>
      <c r="B41" s="140" t="s">
        <v>902</v>
      </c>
      <c r="C41" s="142"/>
      <c r="D41" s="146"/>
      <c r="E41" s="138" t="e">
        <f t="shared" si="1"/>
        <v>#DIV/0!</v>
      </c>
    </row>
    <row r="42" spans="1:5" ht="31.5" x14ac:dyDescent="0.25">
      <c r="A42" s="145" t="s">
        <v>903</v>
      </c>
      <c r="B42" s="140" t="s">
        <v>902</v>
      </c>
      <c r="C42" s="142">
        <v>28699.8</v>
      </c>
      <c r="D42" s="146">
        <v>5400.2245700000003</v>
      </c>
      <c r="E42" s="138">
        <f t="shared" si="1"/>
        <v>18.816244607976365</v>
      </c>
    </row>
    <row r="43" spans="1:5" ht="31.5" x14ac:dyDescent="0.25">
      <c r="A43" s="145" t="s">
        <v>901</v>
      </c>
      <c r="B43" s="140" t="s">
        <v>900</v>
      </c>
      <c r="C43" s="142">
        <f>C44</f>
        <v>21.27</v>
      </c>
      <c r="D43" s="146">
        <f>D44</f>
        <v>6.95</v>
      </c>
      <c r="E43" s="138">
        <f t="shared" si="1"/>
        <v>32.675129290079923</v>
      </c>
    </row>
    <row r="44" spans="1:5" x14ac:dyDescent="0.25">
      <c r="A44" s="145" t="s">
        <v>899</v>
      </c>
      <c r="B44" s="140" t="s">
        <v>898</v>
      </c>
      <c r="C44" s="142">
        <f>C45</f>
        <v>21.27</v>
      </c>
      <c r="D44" s="146">
        <f>D45</f>
        <v>6.95</v>
      </c>
      <c r="E44" s="138">
        <f t="shared" si="1"/>
        <v>32.675129290079923</v>
      </c>
    </row>
    <row r="45" spans="1:5" ht="31.5" x14ac:dyDescent="0.25">
      <c r="A45" s="145" t="s">
        <v>897</v>
      </c>
      <c r="B45" s="140" t="s">
        <v>896</v>
      </c>
      <c r="C45" s="142">
        <v>21.27</v>
      </c>
      <c r="D45" s="146">
        <v>6.95</v>
      </c>
      <c r="E45" s="138">
        <f t="shared" si="1"/>
        <v>32.675129290079923</v>
      </c>
    </row>
    <row r="46" spans="1:5" x14ac:dyDescent="0.25">
      <c r="A46" s="145" t="s">
        <v>895</v>
      </c>
      <c r="B46" s="140" t="s">
        <v>894</v>
      </c>
      <c r="C46" s="142">
        <f>C47+C49</f>
        <v>1421.8653899999999</v>
      </c>
      <c r="D46" s="146">
        <f>D47+D49</f>
        <v>312.45677000000001</v>
      </c>
      <c r="E46" s="138">
        <f t="shared" si="1"/>
        <v>21.975130149275245</v>
      </c>
    </row>
    <row r="47" spans="1:5" ht="31.5" x14ac:dyDescent="0.25">
      <c r="A47" s="145" t="s">
        <v>893</v>
      </c>
      <c r="B47" s="140" t="s">
        <v>892</v>
      </c>
      <c r="C47" s="142">
        <f>C48</f>
        <v>1286.8653899999999</v>
      </c>
      <c r="D47" s="146">
        <f>D48</f>
        <v>312.45677000000001</v>
      </c>
      <c r="E47" s="138">
        <f t="shared" si="1"/>
        <v>24.280454850060114</v>
      </c>
    </row>
    <row r="48" spans="1:5" ht="48.75" customHeight="1" x14ac:dyDescent="0.25">
      <c r="A48" s="145" t="s">
        <v>891</v>
      </c>
      <c r="B48" s="140" t="s">
        <v>890</v>
      </c>
      <c r="C48" s="147">
        <v>1286.8653899999999</v>
      </c>
      <c r="D48" s="146">
        <v>312.45677000000001</v>
      </c>
      <c r="E48" s="138">
        <f t="shared" si="1"/>
        <v>24.280454850060114</v>
      </c>
    </row>
    <row r="49" spans="1:5" ht="47.25" x14ac:dyDescent="0.25">
      <c r="A49" s="145" t="s">
        <v>889</v>
      </c>
      <c r="B49" s="140" t="s">
        <v>888</v>
      </c>
      <c r="C49" s="142">
        <f>C50+C52</f>
        <v>135</v>
      </c>
      <c r="D49" s="146">
        <f>D50+D52</f>
        <v>0</v>
      </c>
      <c r="E49" s="138">
        <f t="shared" si="1"/>
        <v>0</v>
      </c>
    </row>
    <row r="50" spans="1:5" ht="69" customHeight="1" x14ac:dyDescent="0.25">
      <c r="A50" s="145" t="s">
        <v>887</v>
      </c>
      <c r="B50" s="140" t="s">
        <v>886</v>
      </c>
      <c r="C50" s="142">
        <f>C51</f>
        <v>130</v>
      </c>
      <c r="D50" s="146">
        <f>D51</f>
        <v>0</v>
      </c>
      <c r="E50" s="138">
        <f t="shared" si="1"/>
        <v>0</v>
      </c>
    </row>
    <row r="51" spans="1:5" ht="87" customHeight="1" x14ac:dyDescent="0.25">
      <c r="A51" s="145" t="s">
        <v>885</v>
      </c>
      <c r="B51" s="140" t="s">
        <v>884</v>
      </c>
      <c r="C51" s="182">
        <v>130</v>
      </c>
      <c r="D51" s="146"/>
      <c r="E51" s="138">
        <f t="shared" si="1"/>
        <v>0</v>
      </c>
    </row>
    <row r="52" spans="1:5" ht="31.5" x14ac:dyDescent="0.25">
      <c r="A52" s="145" t="s">
        <v>883</v>
      </c>
      <c r="B52" s="140" t="s">
        <v>882</v>
      </c>
      <c r="C52" s="142">
        <v>5</v>
      </c>
      <c r="D52" s="146"/>
      <c r="E52" s="138">
        <f t="shared" si="1"/>
        <v>0</v>
      </c>
    </row>
    <row r="53" spans="1:5" s="150" customFormat="1" ht="20.25" customHeight="1" x14ac:dyDescent="0.25">
      <c r="A53" s="152"/>
      <c r="B53" s="183" t="s">
        <v>881</v>
      </c>
      <c r="C53" s="182">
        <f>C54+C63+C75+C80+C92+C114</f>
        <v>5423.01</v>
      </c>
      <c r="D53" s="182">
        <f>D54+D63+D75+D80+D92+D114+D89</f>
        <v>2158.3236700000002</v>
      </c>
      <c r="E53" s="138">
        <f t="shared" si="1"/>
        <v>39.799367325525864</v>
      </c>
    </row>
    <row r="54" spans="1:5" ht="47.25" x14ac:dyDescent="0.25">
      <c r="A54" s="145" t="s">
        <v>880</v>
      </c>
      <c r="B54" s="140" t="s">
        <v>879</v>
      </c>
      <c r="C54" s="142">
        <f>C55+C57</f>
        <v>2212.0100000000002</v>
      </c>
      <c r="D54" s="142">
        <f>D55+D57</f>
        <v>652.95601000000011</v>
      </c>
      <c r="E54" s="138">
        <f t="shared" si="1"/>
        <v>29.518673514134207</v>
      </c>
    </row>
    <row r="55" spans="1:5" ht="31.5" hidden="1" x14ac:dyDescent="0.25">
      <c r="A55" s="145" t="s">
        <v>878</v>
      </c>
      <c r="B55" s="140" t="s">
        <v>877</v>
      </c>
      <c r="C55" s="142">
        <f>C56</f>
        <v>0</v>
      </c>
      <c r="D55" s="146"/>
      <c r="E55" s="138" t="e">
        <f t="shared" si="1"/>
        <v>#DIV/0!</v>
      </c>
    </row>
    <row r="56" spans="1:5" ht="47.25" hidden="1" x14ac:dyDescent="0.25">
      <c r="A56" s="145" t="s">
        <v>876</v>
      </c>
      <c r="B56" s="140" t="s">
        <v>875</v>
      </c>
      <c r="C56" s="142"/>
      <c r="D56" s="146"/>
      <c r="E56" s="138" t="e">
        <f t="shared" si="1"/>
        <v>#DIV/0!</v>
      </c>
    </row>
    <row r="57" spans="1:5" ht="102" customHeight="1" x14ac:dyDescent="0.25">
      <c r="A57" s="145" t="s">
        <v>874</v>
      </c>
      <c r="B57" s="140" t="s">
        <v>873</v>
      </c>
      <c r="C57" s="142">
        <f>C60+C61</f>
        <v>2212.0100000000002</v>
      </c>
      <c r="D57" s="146">
        <f>D58+D59+D61</f>
        <v>652.95601000000011</v>
      </c>
      <c r="E57" s="138">
        <f t="shared" si="1"/>
        <v>29.518673514134207</v>
      </c>
    </row>
    <row r="58" spans="1:5" ht="94.5" x14ac:dyDescent="0.25">
      <c r="A58" s="145" t="s">
        <v>872</v>
      </c>
      <c r="B58" s="140" t="s">
        <v>871</v>
      </c>
      <c r="C58" s="142"/>
      <c r="D58" s="146">
        <v>235.68322000000001</v>
      </c>
      <c r="E58" s="138"/>
    </row>
    <row r="59" spans="1:5" ht="94.5" x14ac:dyDescent="0.25">
      <c r="A59" s="145" t="s">
        <v>870</v>
      </c>
      <c r="B59" s="140" t="s">
        <v>869</v>
      </c>
      <c r="C59" s="142">
        <f>C60</f>
        <v>1827.45</v>
      </c>
      <c r="D59" s="146">
        <f>D60</f>
        <v>343.51316000000003</v>
      </c>
      <c r="E59" s="138">
        <f t="shared" ref="E59:E75" si="2">D59/C59*100</f>
        <v>18.797404032942076</v>
      </c>
    </row>
    <row r="60" spans="1:5" ht="94.5" x14ac:dyDescent="0.25">
      <c r="A60" s="145" t="s">
        <v>868</v>
      </c>
      <c r="B60" s="140" t="s">
        <v>867</v>
      </c>
      <c r="C60" s="142">
        <v>1827.45</v>
      </c>
      <c r="D60" s="146">
        <v>343.51316000000003</v>
      </c>
      <c r="E60" s="138">
        <f t="shared" si="2"/>
        <v>18.797404032942076</v>
      </c>
    </row>
    <row r="61" spans="1:5" ht="94.5" x14ac:dyDescent="0.25">
      <c r="A61" s="145" t="s">
        <v>866</v>
      </c>
      <c r="B61" s="140" t="s">
        <v>865</v>
      </c>
      <c r="C61" s="142">
        <f>C62</f>
        <v>384.56</v>
      </c>
      <c r="D61" s="146">
        <f>D62</f>
        <v>73.759630000000001</v>
      </c>
      <c r="E61" s="138">
        <f t="shared" si="2"/>
        <v>19.18026575826919</v>
      </c>
    </row>
    <row r="62" spans="1:5" ht="78.75" x14ac:dyDescent="0.25">
      <c r="A62" s="145" t="s">
        <v>864</v>
      </c>
      <c r="B62" s="140" t="s">
        <v>863</v>
      </c>
      <c r="C62" s="142">
        <v>384.56</v>
      </c>
      <c r="D62" s="146">
        <v>73.759630000000001</v>
      </c>
      <c r="E62" s="138">
        <f t="shared" si="2"/>
        <v>19.18026575826919</v>
      </c>
    </row>
    <row r="63" spans="1:5" ht="31.5" x14ac:dyDescent="0.25">
      <c r="A63" s="145" t="s">
        <v>862</v>
      </c>
      <c r="B63" s="140" t="s">
        <v>861</v>
      </c>
      <c r="C63" s="142">
        <f>C64</f>
        <v>161</v>
      </c>
      <c r="D63" s="142">
        <f>D64</f>
        <v>129.39921000000001</v>
      </c>
      <c r="E63" s="138">
        <f t="shared" si="2"/>
        <v>80.372180124223618</v>
      </c>
    </row>
    <row r="64" spans="1:5" ht="21" customHeight="1" x14ac:dyDescent="0.25">
      <c r="A64" s="145" t="s">
        <v>860</v>
      </c>
      <c r="B64" s="140" t="s">
        <v>859</v>
      </c>
      <c r="C64" s="142">
        <f>SUM(C65:C68)</f>
        <v>161</v>
      </c>
      <c r="D64" s="142">
        <f>SUM(D65:D68)</f>
        <v>129.39921000000001</v>
      </c>
      <c r="E64" s="138">
        <f t="shared" si="2"/>
        <v>80.372180124223618</v>
      </c>
    </row>
    <row r="65" spans="1:5" ht="31.5" x14ac:dyDescent="0.25">
      <c r="A65" s="145" t="s">
        <v>858</v>
      </c>
      <c r="B65" s="140" t="s">
        <v>857</v>
      </c>
      <c r="C65" s="142">
        <v>25</v>
      </c>
      <c r="D65" s="146">
        <v>15.294219999999999</v>
      </c>
      <c r="E65" s="138">
        <f t="shared" si="2"/>
        <v>61.176879999999997</v>
      </c>
    </row>
    <row r="66" spans="1:5" ht="31.5" hidden="1" x14ac:dyDescent="0.25">
      <c r="A66" s="145" t="s">
        <v>856</v>
      </c>
      <c r="B66" s="140" t="s">
        <v>855</v>
      </c>
      <c r="C66" s="142"/>
      <c r="D66" s="146"/>
      <c r="E66" s="138" t="e">
        <f t="shared" si="2"/>
        <v>#DIV/0!</v>
      </c>
    </row>
    <row r="67" spans="1:5" ht="31.5" hidden="1" x14ac:dyDescent="0.25">
      <c r="A67" s="145" t="s">
        <v>854</v>
      </c>
      <c r="B67" s="140" t="s">
        <v>853</v>
      </c>
      <c r="C67" s="142"/>
      <c r="D67" s="146"/>
      <c r="E67" s="138" t="e">
        <f t="shared" si="2"/>
        <v>#DIV/0!</v>
      </c>
    </row>
    <row r="68" spans="1:5" ht="21.75" customHeight="1" x14ac:dyDescent="0.25">
      <c r="A68" s="145" t="s">
        <v>852</v>
      </c>
      <c r="B68" s="140" t="s">
        <v>851</v>
      </c>
      <c r="C68" s="142">
        <v>136</v>
      </c>
      <c r="D68" s="146">
        <v>114.10499</v>
      </c>
      <c r="E68" s="138">
        <f t="shared" si="2"/>
        <v>83.90072794117647</v>
      </c>
    </row>
    <row r="69" spans="1:5" ht="36.75" hidden="1" customHeight="1" x14ac:dyDescent="0.25">
      <c r="A69" s="145" t="s">
        <v>843</v>
      </c>
      <c r="B69" s="140" t="s">
        <v>842</v>
      </c>
      <c r="C69" s="142">
        <f>C70</f>
        <v>0</v>
      </c>
      <c r="D69" s="146"/>
      <c r="E69" s="138" t="e">
        <f t="shared" si="2"/>
        <v>#DIV/0!</v>
      </c>
    </row>
    <row r="70" spans="1:5" hidden="1" x14ac:dyDescent="0.25">
      <c r="A70" s="145" t="s">
        <v>841</v>
      </c>
      <c r="B70" s="140" t="s">
        <v>850</v>
      </c>
      <c r="C70" s="142">
        <f>C72</f>
        <v>0</v>
      </c>
      <c r="D70" s="146"/>
      <c r="E70" s="138" t="e">
        <f t="shared" si="2"/>
        <v>#DIV/0!</v>
      </c>
    </row>
    <row r="71" spans="1:5" hidden="1" x14ac:dyDescent="0.25">
      <c r="A71" s="145" t="s">
        <v>849</v>
      </c>
      <c r="B71" s="140" t="s">
        <v>848</v>
      </c>
      <c r="C71" s="142">
        <f>C72</f>
        <v>0</v>
      </c>
      <c r="D71" s="146"/>
      <c r="E71" s="138" t="e">
        <f t="shared" si="2"/>
        <v>#DIV/0!</v>
      </c>
    </row>
    <row r="72" spans="1:5" ht="47.25" hidden="1" x14ac:dyDescent="0.25">
      <c r="A72" s="145" t="s">
        <v>847</v>
      </c>
      <c r="B72" s="140" t="s">
        <v>840</v>
      </c>
      <c r="C72" s="142">
        <v>0</v>
      </c>
      <c r="D72" s="146"/>
      <c r="E72" s="138" t="e">
        <f t="shared" si="2"/>
        <v>#DIV/0!</v>
      </c>
    </row>
    <row r="73" spans="1:5" hidden="1" x14ac:dyDescent="0.25">
      <c r="A73" s="145" t="s">
        <v>846</v>
      </c>
      <c r="B73" s="140" t="s">
        <v>845</v>
      </c>
      <c r="C73" s="142"/>
      <c r="D73" s="146"/>
      <c r="E73" s="138" t="e">
        <f t="shared" si="2"/>
        <v>#DIV/0!</v>
      </c>
    </row>
    <row r="74" spans="1:5" ht="31.5" hidden="1" x14ac:dyDescent="0.25">
      <c r="A74" s="145" t="s">
        <v>844</v>
      </c>
      <c r="B74" s="140" t="s">
        <v>834</v>
      </c>
      <c r="C74" s="142"/>
      <c r="E74" s="138" t="e">
        <f t="shared" si="2"/>
        <v>#DIV/0!</v>
      </c>
    </row>
    <row r="75" spans="1:5" s="143" customFormat="1" ht="38.25" hidden="1" customHeight="1" x14ac:dyDescent="0.25">
      <c r="A75" s="145" t="s">
        <v>843</v>
      </c>
      <c r="B75" s="140" t="s">
        <v>842</v>
      </c>
      <c r="C75" s="142">
        <f>C76+C78</f>
        <v>0</v>
      </c>
      <c r="D75" s="144">
        <f>D76+D78</f>
        <v>0</v>
      </c>
      <c r="E75" s="138" t="e">
        <f t="shared" si="2"/>
        <v>#DIV/0!</v>
      </c>
    </row>
    <row r="76" spans="1:5" s="143" customFormat="1" ht="35.25" hidden="1" customHeight="1" x14ac:dyDescent="0.25">
      <c r="A76" s="145" t="s">
        <v>841</v>
      </c>
      <c r="B76" s="140" t="s">
        <v>840</v>
      </c>
      <c r="C76" s="142">
        <f>C77</f>
        <v>0</v>
      </c>
      <c r="D76" s="144">
        <f>D77</f>
        <v>0</v>
      </c>
      <c r="E76" s="138"/>
    </row>
    <row r="77" spans="1:5" s="143" customFormat="1" ht="47.25" hidden="1" x14ac:dyDescent="0.25">
      <c r="A77" s="145" t="s">
        <v>839</v>
      </c>
      <c r="B77" s="140" t="s">
        <v>838</v>
      </c>
      <c r="C77" s="142"/>
      <c r="D77" s="144"/>
      <c r="E77" s="138"/>
    </row>
    <row r="78" spans="1:5" s="143" customFormat="1" ht="13.5" hidden="1" customHeight="1" x14ac:dyDescent="0.25">
      <c r="A78" s="145" t="s">
        <v>837</v>
      </c>
      <c r="B78" s="140" t="s">
        <v>836</v>
      </c>
      <c r="C78" s="142">
        <f>C79</f>
        <v>0</v>
      </c>
      <c r="D78" s="144">
        <f>D79</f>
        <v>0</v>
      </c>
      <c r="E78" s="138"/>
    </row>
    <row r="79" spans="1:5" s="143" customFormat="1" ht="31.5" hidden="1" x14ac:dyDescent="0.25">
      <c r="A79" s="145" t="s">
        <v>835</v>
      </c>
      <c r="B79" s="140" t="s">
        <v>834</v>
      </c>
      <c r="C79" s="142"/>
      <c r="D79" s="144"/>
      <c r="E79" s="138" t="e">
        <f t="shared" ref="E79:E84" si="3">D79/C79*100</f>
        <v>#DIV/0!</v>
      </c>
    </row>
    <row r="80" spans="1:5" ht="29.25" customHeight="1" x14ac:dyDescent="0.25">
      <c r="A80" s="145" t="s">
        <v>833</v>
      </c>
      <c r="B80" s="140" t="s">
        <v>832</v>
      </c>
      <c r="C80" s="142">
        <f>C84+C81</f>
        <v>1200</v>
      </c>
      <c r="D80" s="142">
        <f>D84+D81</f>
        <v>569.54789000000005</v>
      </c>
      <c r="E80" s="138">
        <f t="shared" si="3"/>
        <v>47.462324166666669</v>
      </c>
    </row>
    <row r="81" spans="1:5" ht="60" customHeight="1" x14ac:dyDescent="0.25">
      <c r="A81" s="145" t="s">
        <v>831</v>
      </c>
      <c r="B81" s="140" t="s">
        <v>830</v>
      </c>
      <c r="C81" s="142">
        <f>C82</f>
        <v>400</v>
      </c>
      <c r="D81" s="146">
        <f>D82</f>
        <v>20.695</v>
      </c>
      <c r="E81" s="138">
        <f t="shared" si="3"/>
        <v>5.1737500000000001</v>
      </c>
    </row>
    <row r="82" spans="1:5" ht="110.25" x14ac:dyDescent="0.25">
      <c r="A82" s="145" t="s">
        <v>829</v>
      </c>
      <c r="B82" s="140" t="s">
        <v>828</v>
      </c>
      <c r="C82" s="142">
        <f>C83</f>
        <v>400</v>
      </c>
      <c r="D82" s="146">
        <f>D83</f>
        <v>20.695</v>
      </c>
      <c r="E82" s="138">
        <f t="shared" si="3"/>
        <v>5.1737500000000001</v>
      </c>
    </row>
    <row r="83" spans="1:5" ht="94.5" x14ac:dyDescent="0.25">
      <c r="A83" s="145" t="s">
        <v>827</v>
      </c>
      <c r="B83" s="140" t="s">
        <v>826</v>
      </c>
      <c r="C83" s="142">
        <v>400</v>
      </c>
      <c r="D83" s="146">
        <v>20.695</v>
      </c>
      <c r="E83" s="138">
        <f t="shared" si="3"/>
        <v>5.1737500000000001</v>
      </c>
    </row>
    <row r="84" spans="1:5" ht="69.75" customHeight="1" x14ac:dyDescent="0.25">
      <c r="A84" s="145" t="s">
        <v>825</v>
      </c>
      <c r="B84" s="140" t="s">
        <v>824</v>
      </c>
      <c r="C84" s="142">
        <f>C85+C87</f>
        <v>800</v>
      </c>
      <c r="D84" s="146">
        <f>D85+D87</f>
        <v>548.85289</v>
      </c>
      <c r="E84" s="138">
        <f t="shared" si="3"/>
        <v>68.60661125</v>
      </c>
    </row>
    <row r="85" spans="1:5" ht="51.75" customHeight="1" x14ac:dyDescent="0.25">
      <c r="A85" s="145" t="s">
        <v>823</v>
      </c>
      <c r="B85" s="140" t="s">
        <v>822</v>
      </c>
      <c r="C85" s="142">
        <f>C86</f>
        <v>0</v>
      </c>
      <c r="D85" s="146">
        <f>D86</f>
        <v>219.61653000000001</v>
      </c>
      <c r="E85" s="138"/>
    </row>
    <row r="86" spans="1:5" ht="67.5" customHeight="1" x14ac:dyDescent="0.25">
      <c r="A86" s="145" t="s">
        <v>821</v>
      </c>
      <c r="B86" s="140" t="s">
        <v>820</v>
      </c>
      <c r="C86" s="142">
        <v>0</v>
      </c>
      <c r="D86" s="146">
        <v>219.61653000000001</v>
      </c>
      <c r="E86" s="138"/>
    </row>
    <row r="87" spans="1:5" ht="67.5" customHeight="1" x14ac:dyDescent="0.25">
      <c r="A87" s="145" t="s">
        <v>819</v>
      </c>
      <c r="B87" s="140" t="s">
        <v>818</v>
      </c>
      <c r="C87" s="142">
        <f>C88</f>
        <v>800</v>
      </c>
      <c r="D87" s="146">
        <f>D88</f>
        <v>329.23635999999999</v>
      </c>
      <c r="E87" s="138">
        <f>D87/C87*100</f>
        <v>41.154544999999999</v>
      </c>
    </row>
    <row r="88" spans="1:5" ht="68.25" customHeight="1" x14ac:dyDescent="0.25">
      <c r="A88" s="145" t="s">
        <v>817</v>
      </c>
      <c r="B88" s="140" t="s">
        <v>816</v>
      </c>
      <c r="C88" s="142">
        <v>800</v>
      </c>
      <c r="D88" s="146">
        <v>329.23635999999999</v>
      </c>
      <c r="E88" s="138">
        <f>D88/C88*100</f>
        <v>41.154544999999999</v>
      </c>
    </row>
    <row r="89" spans="1:5" ht="25.5" customHeight="1" x14ac:dyDescent="0.25">
      <c r="A89" s="145" t="s">
        <v>815</v>
      </c>
      <c r="B89" s="140" t="s">
        <v>814</v>
      </c>
      <c r="C89" s="142">
        <f>C90</f>
        <v>0</v>
      </c>
      <c r="D89" s="146">
        <f>D90</f>
        <v>0.25</v>
      </c>
      <c r="E89" s="138"/>
    </row>
    <row r="90" spans="1:5" ht="28.5" customHeight="1" x14ac:dyDescent="0.25">
      <c r="A90" s="145" t="s">
        <v>813</v>
      </c>
      <c r="B90" s="140" t="s">
        <v>812</v>
      </c>
      <c r="C90" s="142">
        <f>C91</f>
        <v>0</v>
      </c>
      <c r="D90" s="146">
        <f>D91</f>
        <v>0.25</v>
      </c>
      <c r="E90" s="138"/>
    </row>
    <row r="91" spans="1:5" ht="32.25" customHeight="1" x14ac:dyDescent="0.25">
      <c r="A91" s="145" t="s">
        <v>811</v>
      </c>
      <c r="B91" s="140" t="s">
        <v>810</v>
      </c>
      <c r="C91" s="142"/>
      <c r="D91" s="146">
        <v>0.25</v>
      </c>
      <c r="E91" s="138"/>
    </row>
    <row r="92" spans="1:5" x14ac:dyDescent="0.25">
      <c r="A92" s="145" t="s">
        <v>809</v>
      </c>
      <c r="B92" s="181" t="s">
        <v>808</v>
      </c>
      <c r="C92" s="142">
        <f>C93+C96+C98+C101+C110+C111+C106+C109</f>
        <v>1850</v>
      </c>
      <c r="D92" s="142">
        <f>D93+D98+D101+D106+D107+D108+D109+D110+D111</f>
        <v>758.89993000000004</v>
      </c>
      <c r="E92" s="138">
        <f>D92/C92*100</f>
        <v>41.021617837837844</v>
      </c>
    </row>
    <row r="93" spans="1:5" ht="31.5" x14ac:dyDescent="0.25">
      <c r="A93" s="145" t="s">
        <v>807</v>
      </c>
      <c r="B93" s="180" t="s">
        <v>806</v>
      </c>
      <c r="C93" s="142">
        <f>C94+C95</f>
        <v>36</v>
      </c>
      <c r="D93" s="146">
        <f>D94+D95</f>
        <v>7.2468599999999999</v>
      </c>
      <c r="E93" s="138">
        <f>D93/C93*100</f>
        <v>20.130166666666664</v>
      </c>
    </row>
    <row r="94" spans="1:5" ht="78.75" x14ac:dyDescent="0.25">
      <c r="A94" s="145" t="s">
        <v>805</v>
      </c>
      <c r="B94" s="180" t="s">
        <v>804</v>
      </c>
      <c r="C94" s="142">
        <v>28</v>
      </c>
      <c r="D94" s="146">
        <v>5.03</v>
      </c>
      <c r="E94" s="138">
        <f>D94/C94*100</f>
        <v>17.964285714285715</v>
      </c>
    </row>
    <row r="95" spans="1:5" ht="61.5" customHeight="1" x14ac:dyDescent="0.25">
      <c r="A95" s="145" t="s">
        <v>803</v>
      </c>
      <c r="B95" s="180" t="s">
        <v>802</v>
      </c>
      <c r="C95" s="142">
        <v>8</v>
      </c>
      <c r="D95" s="146">
        <v>2.2168600000000001</v>
      </c>
      <c r="E95" s="138">
        <f>D95/C95*100</f>
        <v>27.710750000000001</v>
      </c>
    </row>
    <row r="96" spans="1:5" ht="63" hidden="1" x14ac:dyDescent="0.25">
      <c r="A96" s="145" t="s">
        <v>801</v>
      </c>
      <c r="B96" s="180" t="s">
        <v>802</v>
      </c>
      <c r="C96" s="142"/>
      <c r="D96" s="146"/>
      <c r="E96" s="138" t="e">
        <f>D96/C96*100</f>
        <v>#DIV/0!</v>
      </c>
    </row>
    <row r="97" spans="1:5" ht="78.75" hidden="1" x14ac:dyDescent="0.25">
      <c r="A97" s="145" t="s">
        <v>801</v>
      </c>
      <c r="B97" s="180" t="s">
        <v>800</v>
      </c>
      <c r="C97" s="142"/>
      <c r="D97" s="146"/>
      <c r="E97" s="138"/>
    </row>
    <row r="98" spans="1:5" ht="61.5" customHeight="1" x14ac:dyDescent="0.25">
      <c r="A98" s="145" t="s">
        <v>799</v>
      </c>
      <c r="B98" s="180" t="s">
        <v>798</v>
      </c>
      <c r="C98" s="142">
        <f>C100+C99</f>
        <v>34</v>
      </c>
      <c r="D98" s="146">
        <f>D99+D100</f>
        <v>45</v>
      </c>
      <c r="E98" s="138">
        <f>D98/C98*100</f>
        <v>132.35294117647058</v>
      </c>
    </row>
    <row r="99" spans="1:5" ht="63" x14ac:dyDescent="0.25">
      <c r="A99" s="145" t="s">
        <v>797</v>
      </c>
      <c r="B99" s="180" t="s">
        <v>796</v>
      </c>
      <c r="C99" s="142">
        <v>30</v>
      </c>
      <c r="D99" s="146">
        <v>45</v>
      </c>
      <c r="E99" s="138">
        <f>D99/C99*100</f>
        <v>150</v>
      </c>
    </row>
    <row r="100" spans="1:5" ht="63" x14ac:dyDescent="0.25">
      <c r="A100" s="145" t="s">
        <v>795</v>
      </c>
      <c r="B100" s="180" t="s">
        <v>794</v>
      </c>
      <c r="C100" s="142">
        <v>4</v>
      </c>
      <c r="D100" s="146"/>
      <c r="E100" s="138">
        <f>D100/C100*100</f>
        <v>0</v>
      </c>
    </row>
    <row r="101" spans="1:5" ht="126" x14ac:dyDescent="0.25">
      <c r="A101" s="145" t="s">
        <v>793</v>
      </c>
      <c r="B101" s="180" t="s">
        <v>792</v>
      </c>
      <c r="C101" s="142">
        <f>C102+C104+C105</f>
        <v>0</v>
      </c>
      <c r="D101" s="142">
        <f>D102+D104+D105+D103</f>
        <v>48</v>
      </c>
      <c r="E101" s="138"/>
    </row>
    <row r="102" spans="1:5" ht="33.75" hidden="1" customHeight="1" x14ac:dyDescent="0.25">
      <c r="A102" s="145" t="s">
        <v>791</v>
      </c>
      <c r="B102" s="180" t="s">
        <v>790</v>
      </c>
      <c r="C102" s="147"/>
      <c r="D102" s="146"/>
      <c r="E102" s="138"/>
    </row>
    <row r="103" spans="1:5" ht="53.25" customHeight="1" x14ac:dyDescent="0.25">
      <c r="A103" s="145" t="s">
        <v>789</v>
      </c>
      <c r="B103" s="180" t="s">
        <v>788</v>
      </c>
      <c r="C103" s="147"/>
      <c r="D103" s="146">
        <v>48</v>
      </c>
      <c r="E103" s="138"/>
    </row>
    <row r="104" spans="1:5" ht="32.25" hidden="1" customHeight="1" x14ac:dyDescent="0.25">
      <c r="A104" s="145" t="s">
        <v>787</v>
      </c>
      <c r="B104" s="180" t="s">
        <v>786</v>
      </c>
      <c r="C104" s="142"/>
      <c r="D104" s="146"/>
      <c r="E104" s="138" t="e">
        <f>D104/C104*100</f>
        <v>#DIV/0!</v>
      </c>
    </row>
    <row r="105" spans="1:5" ht="33" hidden="1" customHeight="1" x14ac:dyDescent="0.25">
      <c r="A105" s="145" t="s">
        <v>785</v>
      </c>
      <c r="B105" s="180" t="s">
        <v>784</v>
      </c>
      <c r="C105" s="142"/>
      <c r="D105" s="146"/>
      <c r="E105" s="138" t="e">
        <f>D105/C105*100</f>
        <v>#DIV/0!</v>
      </c>
    </row>
    <row r="106" spans="1:5" ht="63" x14ac:dyDescent="0.25">
      <c r="A106" s="145" t="s">
        <v>783</v>
      </c>
      <c r="B106" s="180" t="s">
        <v>782</v>
      </c>
      <c r="C106" s="142">
        <v>468</v>
      </c>
      <c r="D106" s="146">
        <v>88.5</v>
      </c>
      <c r="E106" s="138">
        <f>D106/C106*100</f>
        <v>18.910256410256409</v>
      </c>
    </row>
    <row r="107" spans="1:5" ht="31.5" x14ac:dyDescent="0.25">
      <c r="A107" s="145" t="s">
        <v>781</v>
      </c>
      <c r="B107" s="180" t="s">
        <v>780</v>
      </c>
      <c r="C107" s="142"/>
      <c r="D107" s="146">
        <v>5</v>
      </c>
      <c r="E107" s="138"/>
    </row>
    <row r="108" spans="1:5" ht="81" customHeight="1" x14ac:dyDescent="0.25">
      <c r="A108" s="145" t="s">
        <v>779</v>
      </c>
      <c r="B108" s="180" t="s">
        <v>778</v>
      </c>
      <c r="C108" s="142"/>
      <c r="D108" s="146">
        <v>6</v>
      </c>
      <c r="E108" s="138"/>
    </row>
    <row r="109" spans="1:5" ht="47.25" x14ac:dyDescent="0.25">
      <c r="A109" s="145" t="s">
        <v>777</v>
      </c>
      <c r="B109" s="180" t="s">
        <v>776</v>
      </c>
      <c r="C109" s="142">
        <v>2</v>
      </c>
      <c r="D109" s="146">
        <v>327.33226999999999</v>
      </c>
      <c r="E109" s="138"/>
    </row>
    <row r="110" spans="1:5" ht="78.75" x14ac:dyDescent="0.25">
      <c r="A110" s="145" t="s">
        <v>775</v>
      </c>
      <c r="B110" s="180" t="s">
        <v>774</v>
      </c>
      <c r="C110" s="142">
        <v>129</v>
      </c>
      <c r="D110" s="146">
        <v>27.948239999999998</v>
      </c>
      <c r="E110" s="138">
        <f>D110/C110*100</f>
        <v>21.665302325581397</v>
      </c>
    </row>
    <row r="111" spans="1:5" ht="49.5" customHeight="1" x14ac:dyDescent="0.25">
      <c r="A111" s="145" t="s">
        <v>773</v>
      </c>
      <c r="B111" s="180" t="s">
        <v>772</v>
      </c>
      <c r="C111" s="142">
        <v>1181</v>
      </c>
      <c r="D111" s="146">
        <v>203.87255999999999</v>
      </c>
      <c r="E111" s="138">
        <f>D111/C111*100</f>
        <v>17.262706181202368</v>
      </c>
    </row>
    <row r="112" spans="1:5" ht="30" hidden="1" customHeight="1" x14ac:dyDescent="0.25">
      <c r="A112" s="145" t="s">
        <v>770</v>
      </c>
      <c r="B112" s="140" t="s">
        <v>771</v>
      </c>
      <c r="C112" s="142">
        <f>C113</f>
        <v>0</v>
      </c>
      <c r="D112" s="146"/>
      <c r="E112" s="138" t="e">
        <f>D112/C112*100</f>
        <v>#DIV/0!</v>
      </c>
    </row>
    <row r="113" spans="1:7" ht="30" hidden="1" customHeight="1" x14ac:dyDescent="0.25">
      <c r="A113" s="145" t="s">
        <v>766</v>
      </c>
      <c r="B113" s="140" t="s">
        <v>765</v>
      </c>
      <c r="C113" s="142"/>
      <c r="D113" s="146"/>
      <c r="E113" s="138" t="e">
        <f>D113/C113*100</f>
        <v>#DIV/0!</v>
      </c>
    </row>
    <row r="114" spans="1:7" ht="20.25" customHeight="1" x14ac:dyDescent="0.25">
      <c r="A114" s="145" t="s">
        <v>770</v>
      </c>
      <c r="B114" s="140" t="s">
        <v>769</v>
      </c>
      <c r="C114" s="142">
        <f>C116</f>
        <v>0</v>
      </c>
      <c r="D114" s="146">
        <f>D115+D116</f>
        <v>47.270629999999997</v>
      </c>
      <c r="E114" s="138"/>
    </row>
    <row r="115" spans="1:7" ht="21" customHeight="1" x14ac:dyDescent="0.25">
      <c r="A115" s="145" t="s">
        <v>768</v>
      </c>
      <c r="B115" s="140" t="s">
        <v>767</v>
      </c>
      <c r="C115" s="142"/>
      <c r="D115" s="146">
        <v>47.270629999999997</v>
      </c>
      <c r="E115" s="138"/>
    </row>
    <row r="116" spans="1:7" ht="30" hidden="1" customHeight="1" x14ac:dyDescent="0.25">
      <c r="A116" s="145" t="s">
        <v>766</v>
      </c>
      <c r="B116" s="140" t="s">
        <v>765</v>
      </c>
      <c r="C116" s="142"/>
      <c r="D116" s="146"/>
      <c r="E116" s="138" t="e">
        <f t="shared" ref="E116:E133" si="4">D116/C116*100</f>
        <v>#DIV/0!</v>
      </c>
    </row>
    <row r="117" spans="1:7" x14ac:dyDescent="0.25">
      <c r="A117" s="145" t="s">
        <v>764</v>
      </c>
      <c r="B117" s="140" t="s">
        <v>763</v>
      </c>
      <c r="C117" s="142">
        <f>C118+C212+C217</f>
        <v>544378.17817999993</v>
      </c>
      <c r="D117" s="142">
        <f>D118+D217+D212+D207</f>
        <v>119711.96072</v>
      </c>
      <c r="E117" s="138">
        <f t="shared" si="4"/>
        <v>21.990587705081918</v>
      </c>
      <c r="F117" s="160">
        <f>C117-544378.17818</f>
        <v>0</v>
      </c>
    </row>
    <row r="118" spans="1:7" ht="47.25" x14ac:dyDescent="0.25">
      <c r="A118" s="145" t="s">
        <v>762</v>
      </c>
      <c r="B118" s="140" t="s">
        <v>761</v>
      </c>
      <c r="C118" s="142">
        <f>C119+C126+C168+C207</f>
        <v>544409.77010999992</v>
      </c>
      <c r="D118" s="142">
        <f>D119+D126+D168+D207</f>
        <v>118212.88779000001</v>
      </c>
      <c r="E118" s="138">
        <f t="shared" si="4"/>
        <v>21.713954135340863</v>
      </c>
      <c r="F118" s="160"/>
    </row>
    <row r="119" spans="1:7" ht="31.5" x14ac:dyDescent="0.25">
      <c r="A119" s="145" t="s">
        <v>760</v>
      </c>
      <c r="B119" s="140" t="s">
        <v>759</v>
      </c>
      <c r="C119" s="142">
        <f>C120+C122+C124</f>
        <v>148730.1</v>
      </c>
      <c r="D119" s="142">
        <f>D120+D122</f>
        <v>39687.760000000002</v>
      </c>
      <c r="E119" s="138">
        <f t="shared" si="4"/>
        <v>26.684416940484812</v>
      </c>
    </row>
    <row r="120" spans="1:7" ht="18" customHeight="1" x14ac:dyDescent="0.25">
      <c r="A120" s="145" t="s">
        <v>758</v>
      </c>
      <c r="B120" s="140" t="s">
        <v>757</v>
      </c>
      <c r="C120" s="142">
        <f>C121</f>
        <v>148694.1</v>
      </c>
      <c r="D120" s="142">
        <f>D121</f>
        <v>39651.760000000002</v>
      </c>
      <c r="E120" s="138">
        <f t="shared" si="4"/>
        <v>26.666666666666668</v>
      </c>
    </row>
    <row r="121" spans="1:7" ht="36" customHeight="1" x14ac:dyDescent="0.25">
      <c r="A121" s="145" t="s">
        <v>756</v>
      </c>
      <c r="B121" s="140" t="s">
        <v>755</v>
      </c>
      <c r="C121" s="147">
        <v>148694.1</v>
      </c>
      <c r="D121" s="142">
        <v>39651.760000000002</v>
      </c>
      <c r="E121" s="138">
        <f t="shared" si="4"/>
        <v>26.666666666666668</v>
      </c>
      <c r="F121" s="162"/>
      <c r="G121" s="162"/>
    </row>
    <row r="122" spans="1:7" ht="33.75" customHeight="1" x14ac:dyDescent="0.25">
      <c r="A122" s="145" t="s">
        <v>754</v>
      </c>
      <c r="B122" s="140" t="s">
        <v>753</v>
      </c>
      <c r="C122" s="147">
        <f>C123</f>
        <v>36</v>
      </c>
      <c r="D122" s="142">
        <f>D123</f>
        <v>36</v>
      </c>
      <c r="E122" s="138">
        <f t="shared" si="4"/>
        <v>100</v>
      </c>
      <c r="F122" s="162"/>
      <c r="G122" s="162"/>
    </row>
    <row r="123" spans="1:7" ht="45" customHeight="1" x14ac:dyDescent="0.25">
      <c r="A123" s="145" t="s">
        <v>752</v>
      </c>
      <c r="B123" s="140" t="s">
        <v>751</v>
      </c>
      <c r="C123" s="147">
        <v>36</v>
      </c>
      <c r="D123" s="142">
        <v>36</v>
      </c>
      <c r="E123" s="138">
        <f t="shared" si="4"/>
        <v>100</v>
      </c>
      <c r="F123" s="162"/>
      <c r="G123" s="162"/>
    </row>
    <row r="124" spans="1:7" ht="44.25" hidden="1" customHeight="1" x14ac:dyDescent="0.25">
      <c r="A124" s="145" t="s">
        <v>750</v>
      </c>
      <c r="B124" s="140" t="s">
        <v>749</v>
      </c>
      <c r="C124" s="147">
        <f>SUM(C125)</f>
        <v>0</v>
      </c>
      <c r="D124" s="142"/>
      <c r="E124" s="138" t="e">
        <f t="shared" si="4"/>
        <v>#DIV/0!</v>
      </c>
      <c r="F124" s="162"/>
      <c r="G124" s="162"/>
    </row>
    <row r="125" spans="1:7" ht="45" hidden="1" customHeight="1" x14ac:dyDescent="0.25">
      <c r="A125" s="145" t="s">
        <v>748</v>
      </c>
      <c r="B125" s="140" t="s">
        <v>747</v>
      </c>
      <c r="C125" s="147"/>
      <c r="D125" s="142"/>
      <c r="E125" s="138" t="e">
        <f t="shared" si="4"/>
        <v>#DIV/0!</v>
      </c>
      <c r="F125" s="162"/>
      <c r="G125" s="162"/>
    </row>
    <row r="126" spans="1:7" ht="28.5" customHeight="1" x14ac:dyDescent="0.25">
      <c r="A126" s="145" t="s">
        <v>746</v>
      </c>
      <c r="B126" s="140" t="s">
        <v>745</v>
      </c>
      <c r="C126" s="151">
        <f>C130+C132+C136+C142+C144+C148+C138+C140+C146+C134</f>
        <v>183102.47010999999</v>
      </c>
      <c r="D126" s="142">
        <f>D130+D132+D136+D142+D144+D148</f>
        <v>21737.866360000004</v>
      </c>
      <c r="E126" s="138">
        <f t="shared" si="4"/>
        <v>11.871967836884362</v>
      </c>
      <c r="F126" s="162"/>
      <c r="G126" s="162"/>
    </row>
    <row r="127" spans="1:7" ht="31.5" hidden="1" x14ac:dyDescent="0.25">
      <c r="A127" s="145" t="s">
        <v>744</v>
      </c>
      <c r="B127" s="140" t="s">
        <v>743</v>
      </c>
      <c r="C127" s="142">
        <f>SUM(C128)</f>
        <v>0</v>
      </c>
      <c r="D127" s="142">
        <f>D128</f>
        <v>0</v>
      </c>
      <c r="E127" s="138" t="e">
        <f t="shared" si="4"/>
        <v>#DIV/0!</v>
      </c>
      <c r="F127" s="162"/>
      <c r="G127" s="162"/>
    </row>
    <row r="128" spans="1:7" ht="31.5" hidden="1" x14ac:dyDescent="0.25">
      <c r="A128" s="145" t="s">
        <v>742</v>
      </c>
      <c r="B128" s="140" t="s">
        <v>741</v>
      </c>
      <c r="C128" s="142">
        <f>C129</f>
        <v>0</v>
      </c>
      <c r="D128" s="142">
        <f>D129</f>
        <v>0</v>
      </c>
      <c r="E128" s="138" t="e">
        <f t="shared" si="4"/>
        <v>#DIV/0!</v>
      </c>
      <c r="F128" s="162"/>
      <c r="G128" s="162"/>
    </row>
    <row r="129" spans="1:7" ht="108.75" hidden="1" customHeight="1" x14ac:dyDescent="0.25">
      <c r="A129" s="145"/>
      <c r="B129" s="179" t="s">
        <v>740</v>
      </c>
      <c r="C129" s="142"/>
      <c r="D129" s="142"/>
      <c r="E129" s="138" t="e">
        <f t="shared" si="4"/>
        <v>#DIV/0!</v>
      </c>
      <c r="F129" s="162"/>
      <c r="G129" s="162"/>
    </row>
    <row r="130" spans="1:7" ht="78.75" hidden="1" customHeight="1" x14ac:dyDescent="0.25">
      <c r="A130" s="145" t="s">
        <v>739</v>
      </c>
      <c r="B130" s="140" t="s">
        <v>738</v>
      </c>
      <c r="C130" s="142">
        <f>SUM(C131)</f>
        <v>0</v>
      </c>
      <c r="D130" s="142">
        <f>D131</f>
        <v>0</v>
      </c>
      <c r="E130" s="138" t="e">
        <f t="shared" si="4"/>
        <v>#DIV/0!</v>
      </c>
      <c r="F130" s="162"/>
      <c r="G130" s="162"/>
    </row>
    <row r="131" spans="1:7" ht="68.25" hidden="1" customHeight="1" x14ac:dyDescent="0.25">
      <c r="A131" s="145" t="s">
        <v>737</v>
      </c>
      <c r="B131" s="140" t="s">
        <v>736</v>
      </c>
      <c r="C131" s="142"/>
      <c r="D131" s="142"/>
      <c r="E131" s="138" t="e">
        <f t="shared" si="4"/>
        <v>#DIV/0!</v>
      </c>
      <c r="F131" s="162"/>
      <c r="G131" s="162"/>
    </row>
    <row r="132" spans="1:7" ht="46.5" customHeight="1" x14ac:dyDescent="0.25">
      <c r="A132" s="145" t="s">
        <v>735</v>
      </c>
      <c r="B132" s="140" t="s">
        <v>734</v>
      </c>
      <c r="C132" s="142">
        <f>C133</f>
        <v>4736.8789500000003</v>
      </c>
      <c r="D132" s="142">
        <f>D133</f>
        <v>0</v>
      </c>
      <c r="E132" s="138">
        <f t="shared" si="4"/>
        <v>0</v>
      </c>
      <c r="F132" s="162"/>
      <c r="G132" s="162"/>
    </row>
    <row r="133" spans="1:7" ht="71.25" customHeight="1" x14ac:dyDescent="0.25">
      <c r="A133" s="145" t="s">
        <v>733</v>
      </c>
      <c r="B133" s="140" t="s">
        <v>732</v>
      </c>
      <c r="C133" s="142">
        <v>4736.8789500000003</v>
      </c>
      <c r="D133" s="142"/>
      <c r="E133" s="138">
        <f t="shared" si="4"/>
        <v>0</v>
      </c>
      <c r="F133" s="162"/>
      <c r="G133" s="162"/>
    </row>
    <row r="134" spans="1:7" ht="79.5" customHeight="1" x14ac:dyDescent="0.25">
      <c r="A134" s="145" t="s">
        <v>731</v>
      </c>
      <c r="B134" s="140" t="s">
        <v>730</v>
      </c>
      <c r="C134" s="142">
        <f>C135</f>
        <v>87522.2</v>
      </c>
      <c r="D134" s="142"/>
      <c r="E134" s="138"/>
      <c r="F134" s="162"/>
      <c r="G134" s="162"/>
    </row>
    <row r="135" spans="1:7" ht="81" customHeight="1" x14ac:dyDescent="0.25">
      <c r="A135" s="145" t="s">
        <v>729</v>
      </c>
      <c r="B135" s="140" t="s">
        <v>728</v>
      </c>
      <c r="C135" s="142">
        <v>87522.2</v>
      </c>
      <c r="D135" s="142"/>
      <c r="E135" s="138"/>
      <c r="F135" s="162"/>
      <c r="G135" s="162"/>
    </row>
    <row r="136" spans="1:7" ht="63.75" customHeight="1" x14ac:dyDescent="0.25">
      <c r="A136" s="145" t="s">
        <v>727</v>
      </c>
      <c r="B136" s="140" t="s">
        <v>726</v>
      </c>
      <c r="C136" s="142">
        <f>C137</f>
        <v>1707.9</v>
      </c>
      <c r="D136" s="142">
        <f>D137</f>
        <v>0</v>
      </c>
      <c r="E136" s="138">
        <f>D136/C136*100</f>
        <v>0</v>
      </c>
      <c r="F136" s="162"/>
      <c r="G136" s="162"/>
    </row>
    <row r="137" spans="1:7" ht="61.5" customHeight="1" x14ac:dyDescent="0.25">
      <c r="A137" s="145" t="s">
        <v>725</v>
      </c>
      <c r="B137" s="140" t="s">
        <v>724</v>
      </c>
      <c r="C137" s="142">
        <v>1707.9</v>
      </c>
      <c r="D137" s="142"/>
      <c r="E137" s="138">
        <f>D137/C137*100</f>
        <v>0</v>
      </c>
      <c r="F137" s="162"/>
      <c r="G137" s="162"/>
    </row>
    <row r="138" spans="1:7" ht="36.75" customHeight="1" x14ac:dyDescent="0.25">
      <c r="A138" s="145" t="s">
        <v>723</v>
      </c>
      <c r="B138" s="140" t="s">
        <v>722</v>
      </c>
      <c r="C138" s="142">
        <f>C139</f>
        <v>455.32799999999997</v>
      </c>
      <c r="D138" s="142"/>
      <c r="E138" s="138"/>
      <c r="F138" s="162"/>
      <c r="G138" s="162"/>
    </row>
    <row r="139" spans="1:7" ht="48" customHeight="1" x14ac:dyDescent="0.25">
      <c r="A139" s="145" t="s">
        <v>721</v>
      </c>
      <c r="B139" s="140" t="s">
        <v>720</v>
      </c>
      <c r="C139" s="142">
        <v>455.32799999999997</v>
      </c>
      <c r="D139" s="142"/>
      <c r="E139" s="138"/>
      <c r="F139" s="162"/>
      <c r="G139" s="162"/>
    </row>
    <row r="140" spans="1:7" ht="48" customHeight="1" x14ac:dyDescent="0.25">
      <c r="A140" s="145" t="s">
        <v>719</v>
      </c>
      <c r="B140" s="140" t="s">
        <v>718</v>
      </c>
      <c r="C140" s="142">
        <f>C141</f>
        <v>2247.1999999999998</v>
      </c>
      <c r="D140" s="142"/>
      <c r="E140" s="138"/>
      <c r="F140" s="162"/>
      <c r="G140" s="162"/>
    </row>
    <row r="141" spans="1:7" ht="48" customHeight="1" x14ac:dyDescent="0.25">
      <c r="A141" s="145" t="s">
        <v>717</v>
      </c>
      <c r="B141" s="140" t="s">
        <v>716</v>
      </c>
      <c r="C141" s="142">
        <v>2247.1999999999998</v>
      </c>
      <c r="D141" s="142"/>
      <c r="E141" s="138"/>
      <c r="F141" s="162"/>
      <c r="G141" s="162"/>
    </row>
    <row r="142" spans="1:7" ht="47.25" customHeight="1" x14ac:dyDescent="0.25">
      <c r="A142" s="145" t="s">
        <v>715</v>
      </c>
      <c r="B142" s="140" t="s">
        <v>714</v>
      </c>
      <c r="C142" s="142">
        <f>C143</f>
        <v>7038.2631600000004</v>
      </c>
      <c r="D142" s="142">
        <f>D143</f>
        <v>0</v>
      </c>
      <c r="E142" s="138">
        <f>D142/C142*100</f>
        <v>0</v>
      </c>
      <c r="F142" s="162"/>
      <c r="G142" s="162"/>
    </row>
    <row r="143" spans="1:7" ht="64.5" customHeight="1" x14ac:dyDescent="0.25">
      <c r="A143" s="145" t="s">
        <v>713</v>
      </c>
      <c r="B143" s="140" t="s">
        <v>712</v>
      </c>
      <c r="C143" s="142">
        <v>7038.2631600000004</v>
      </c>
      <c r="D143" s="142"/>
      <c r="E143" s="138">
        <f>D143/C143*100</f>
        <v>0</v>
      </c>
      <c r="F143" s="162"/>
      <c r="G143" s="162"/>
    </row>
    <row r="144" spans="1:7" ht="53.25" customHeight="1" x14ac:dyDescent="0.25">
      <c r="A144" s="145" t="s">
        <v>711</v>
      </c>
      <c r="B144" s="140" t="s">
        <v>710</v>
      </c>
      <c r="C144" s="142">
        <f>C145</f>
        <v>3850</v>
      </c>
      <c r="D144" s="142">
        <f>D145</f>
        <v>0</v>
      </c>
      <c r="E144" s="138">
        <f>D144/C144*100</f>
        <v>0</v>
      </c>
      <c r="F144" s="162"/>
      <c r="G144" s="162"/>
    </row>
    <row r="145" spans="1:7" ht="28.5" customHeight="1" x14ac:dyDescent="0.25">
      <c r="A145" s="145" t="s">
        <v>709</v>
      </c>
      <c r="B145" s="140" t="s">
        <v>708</v>
      </c>
      <c r="C145" s="142">
        <v>3850</v>
      </c>
      <c r="D145" s="142"/>
      <c r="E145" s="138">
        <f>D145/C145*100</f>
        <v>0</v>
      </c>
      <c r="F145" s="162"/>
      <c r="G145" s="162"/>
    </row>
    <row r="146" spans="1:7" ht="61.5" customHeight="1" x14ac:dyDescent="0.25">
      <c r="A146" s="145" t="s">
        <v>707</v>
      </c>
      <c r="B146" s="140" t="s">
        <v>706</v>
      </c>
      <c r="C146" s="142">
        <f>C147</f>
        <v>7368.4</v>
      </c>
      <c r="D146" s="142"/>
      <c r="E146" s="138"/>
      <c r="F146" s="162"/>
      <c r="G146" s="162"/>
    </row>
    <row r="147" spans="1:7" ht="78.75" customHeight="1" x14ac:dyDescent="0.25">
      <c r="A147" s="145" t="s">
        <v>705</v>
      </c>
      <c r="B147" s="140" t="s">
        <v>704</v>
      </c>
      <c r="C147" s="142">
        <v>7368.4</v>
      </c>
      <c r="D147" s="142"/>
      <c r="E147" s="138"/>
      <c r="F147" s="162"/>
      <c r="G147" s="162"/>
    </row>
    <row r="148" spans="1:7" s="149" customFormat="1" x14ac:dyDescent="0.25">
      <c r="A148" s="141" t="s">
        <v>703</v>
      </c>
      <c r="B148" s="148" t="s">
        <v>702</v>
      </c>
      <c r="C148" s="147">
        <f>C149</f>
        <v>68176.3</v>
      </c>
      <c r="D148" s="147">
        <f>D149</f>
        <v>21737.866360000004</v>
      </c>
      <c r="E148" s="154">
        <f t="shared" ref="E148:E156" si="5">D148/C148*100</f>
        <v>31.884784536561828</v>
      </c>
      <c r="F148" s="178"/>
      <c r="G148" s="166"/>
    </row>
    <row r="149" spans="1:7" ht="14.25" customHeight="1" x14ac:dyDescent="0.25">
      <c r="A149" s="145" t="s">
        <v>701</v>
      </c>
      <c r="B149" s="140" t="s">
        <v>700</v>
      </c>
      <c r="C149" s="147">
        <f>C150+C153+C154+C156+C159+C160+C157+C161</f>
        <v>68176.3</v>
      </c>
      <c r="D149" s="142">
        <f>D153+D154+D156</f>
        <v>21737.866360000004</v>
      </c>
      <c r="E149" s="138">
        <f t="shared" si="5"/>
        <v>31.884784536561828</v>
      </c>
      <c r="F149" s="144"/>
      <c r="G149" s="162"/>
    </row>
    <row r="150" spans="1:7" ht="84" customHeight="1" x14ac:dyDescent="0.25">
      <c r="A150" s="157" t="s">
        <v>699</v>
      </c>
      <c r="B150" s="176" t="s">
        <v>698</v>
      </c>
      <c r="C150" s="147">
        <v>30</v>
      </c>
      <c r="D150" s="147"/>
      <c r="E150" s="154">
        <f t="shared" si="5"/>
        <v>0</v>
      </c>
      <c r="F150" s="177"/>
      <c r="G150" s="162"/>
    </row>
    <row r="151" spans="1:7" ht="61.5" hidden="1" customHeight="1" x14ac:dyDescent="0.25">
      <c r="A151" s="157"/>
      <c r="B151" s="176" t="s">
        <v>697</v>
      </c>
      <c r="C151" s="147"/>
      <c r="D151" s="147"/>
      <c r="E151" s="154" t="e">
        <f t="shared" si="5"/>
        <v>#DIV/0!</v>
      </c>
      <c r="F151" s="162"/>
      <c r="G151" s="162"/>
    </row>
    <row r="152" spans="1:7" ht="76.5" hidden="1" customHeight="1" x14ac:dyDescent="0.25">
      <c r="A152" s="157"/>
      <c r="B152" s="176" t="s">
        <v>696</v>
      </c>
      <c r="C152" s="147"/>
      <c r="D152" s="147"/>
      <c r="E152" s="154" t="e">
        <f t="shared" si="5"/>
        <v>#DIV/0!</v>
      </c>
      <c r="F152" s="162"/>
      <c r="G152" s="162"/>
    </row>
    <row r="153" spans="1:7" ht="78" customHeight="1" x14ac:dyDescent="0.25">
      <c r="A153" s="157" t="s">
        <v>695</v>
      </c>
      <c r="B153" s="176" t="s">
        <v>694</v>
      </c>
      <c r="C153" s="147">
        <v>61680.1</v>
      </c>
      <c r="D153" s="147">
        <v>20560.033360000001</v>
      </c>
      <c r="E153" s="154">
        <f t="shared" si="5"/>
        <v>33.333333376567161</v>
      </c>
      <c r="F153" s="162"/>
      <c r="G153" s="162"/>
    </row>
    <row r="154" spans="1:7" ht="87.75" customHeight="1" x14ac:dyDescent="0.25">
      <c r="A154" s="157" t="s">
        <v>693</v>
      </c>
      <c r="B154" s="175" t="s">
        <v>692</v>
      </c>
      <c r="C154" s="147">
        <v>2746.9</v>
      </c>
      <c r="D154" s="147">
        <v>915.63300000000004</v>
      </c>
      <c r="E154" s="154">
        <f t="shared" si="5"/>
        <v>33.33332119844188</v>
      </c>
      <c r="F154" s="162"/>
      <c r="G154" s="162"/>
    </row>
    <row r="155" spans="1:7" ht="94.5" hidden="1" x14ac:dyDescent="0.25">
      <c r="A155" s="157"/>
      <c r="B155" s="175" t="s">
        <v>691</v>
      </c>
      <c r="C155" s="147"/>
      <c r="D155" s="147"/>
      <c r="E155" s="154" t="e">
        <f t="shared" si="5"/>
        <v>#DIV/0!</v>
      </c>
      <c r="F155" s="162"/>
      <c r="G155" s="162"/>
    </row>
    <row r="156" spans="1:7" ht="77.25" customHeight="1" x14ac:dyDescent="0.25">
      <c r="A156" s="157" t="s">
        <v>690</v>
      </c>
      <c r="B156" s="175" t="s">
        <v>689</v>
      </c>
      <c r="C156" s="147">
        <v>1104.3</v>
      </c>
      <c r="D156" s="147">
        <v>262.2</v>
      </c>
      <c r="E156" s="154">
        <f t="shared" si="5"/>
        <v>23.743547948926921</v>
      </c>
      <c r="F156" s="162"/>
      <c r="G156" s="162"/>
    </row>
    <row r="157" spans="1:7" ht="79.5" customHeight="1" x14ac:dyDescent="0.25">
      <c r="A157" s="157" t="s">
        <v>688</v>
      </c>
      <c r="B157" s="175" t="s">
        <v>687</v>
      </c>
      <c r="C157" s="147">
        <v>420</v>
      </c>
      <c r="D157" s="147"/>
      <c r="E157" s="154"/>
      <c r="F157" s="162"/>
      <c r="G157" s="162"/>
    </row>
    <row r="158" spans="1:7" ht="110.25" hidden="1" x14ac:dyDescent="0.25">
      <c r="A158" s="157"/>
      <c r="B158" s="175" t="s">
        <v>686</v>
      </c>
      <c r="C158" s="147"/>
      <c r="D158" s="147"/>
      <c r="E158" s="154" t="e">
        <f t="shared" ref="E158:E165" si="6">D158/C158*100</f>
        <v>#DIV/0!</v>
      </c>
      <c r="F158" s="162"/>
      <c r="G158" s="162"/>
    </row>
    <row r="159" spans="1:7" ht="110.25" x14ac:dyDescent="0.25">
      <c r="A159" s="157" t="s">
        <v>685</v>
      </c>
      <c r="B159" s="175" t="s">
        <v>684</v>
      </c>
      <c r="C159" s="147">
        <v>1200</v>
      </c>
      <c r="D159" s="147"/>
      <c r="E159" s="154">
        <f t="shared" si="6"/>
        <v>0</v>
      </c>
      <c r="F159" s="162"/>
      <c r="G159" s="162"/>
    </row>
    <row r="160" spans="1:7" ht="63" x14ac:dyDescent="0.25">
      <c r="A160" s="157" t="s">
        <v>683</v>
      </c>
      <c r="B160" s="175" t="s">
        <v>682</v>
      </c>
      <c r="C160" s="147">
        <v>979.6</v>
      </c>
      <c r="D160" s="147"/>
      <c r="E160" s="154">
        <f t="shared" si="6"/>
        <v>0</v>
      </c>
      <c r="F160" s="162"/>
      <c r="G160" s="162"/>
    </row>
    <row r="161" spans="1:7" ht="94.5" x14ac:dyDescent="0.25">
      <c r="A161" s="157" t="s">
        <v>681</v>
      </c>
      <c r="B161" s="175" t="s">
        <v>680</v>
      </c>
      <c r="C161" s="147">
        <v>15.4</v>
      </c>
      <c r="D161" s="147"/>
      <c r="E161" s="154">
        <f t="shared" si="6"/>
        <v>0</v>
      </c>
      <c r="F161" s="162"/>
      <c r="G161" s="162"/>
    </row>
    <row r="162" spans="1:7" ht="78.75" hidden="1" x14ac:dyDescent="0.25">
      <c r="A162" s="171"/>
      <c r="B162" s="169" t="s">
        <v>679</v>
      </c>
      <c r="C162" s="163"/>
      <c r="D162" s="163"/>
      <c r="E162" s="168" t="e">
        <f t="shared" si="6"/>
        <v>#DIV/0!</v>
      </c>
      <c r="F162" s="162"/>
      <c r="G162" s="162"/>
    </row>
    <row r="163" spans="1:7" ht="47.25" hidden="1" x14ac:dyDescent="0.25">
      <c r="A163" s="171"/>
      <c r="B163" s="169" t="s">
        <v>678</v>
      </c>
      <c r="C163" s="163"/>
      <c r="D163" s="163"/>
      <c r="E163" s="168" t="e">
        <f t="shared" si="6"/>
        <v>#DIV/0!</v>
      </c>
      <c r="F163" s="162"/>
      <c r="G163" s="162"/>
    </row>
    <row r="164" spans="1:7" s="172" customFormat="1" ht="62.25" hidden="1" customHeight="1" x14ac:dyDescent="0.25">
      <c r="A164" s="171"/>
      <c r="B164" s="174" t="s">
        <v>677</v>
      </c>
      <c r="C164" s="163"/>
      <c r="D164" s="163"/>
      <c r="E164" s="168" t="e">
        <f t="shared" si="6"/>
        <v>#DIV/0!</v>
      </c>
      <c r="F164" s="173"/>
      <c r="G164" s="173"/>
    </row>
    <row r="165" spans="1:7" s="143" customFormat="1" ht="111.75" hidden="1" customHeight="1" x14ac:dyDescent="0.25">
      <c r="A165" s="171"/>
      <c r="B165" s="169" t="s">
        <v>676</v>
      </c>
      <c r="C165" s="163"/>
      <c r="D165" s="163"/>
      <c r="E165" s="168" t="e">
        <f t="shared" si="6"/>
        <v>#DIV/0!</v>
      </c>
      <c r="F165" s="167"/>
      <c r="G165" s="167"/>
    </row>
    <row r="166" spans="1:7" s="143" customFormat="1" ht="84" hidden="1" customHeight="1" x14ac:dyDescent="0.25">
      <c r="A166" s="171"/>
      <c r="B166" s="169" t="s">
        <v>675</v>
      </c>
      <c r="C166" s="163"/>
      <c r="D166" s="163"/>
      <c r="E166" s="168"/>
      <c r="F166" s="167"/>
      <c r="G166" s="167"/>
    </row>
    <row r="167" spans="1:7" s="143" customFormat="1" ht="157.5" hidden="1" x14ac:dyDescent="0.25">
      <c r="A167" s="170" t="s">
        <v>674</v>
      </c>
      <c r="B167" s="169" t="s">
        <v>673</v>
      </c>
      <c r="C167" s="163"/>
      <c r="D167" s="163"/>
      <c r="E167" s="168"/>
      <c r="F167" s="167"/>
      <c r="G167" s="167"/>
    </row>
    <row r="168" spans="1:7" s="149" customFormat="1" ht="33.75" customHeight="1" x14ac:dyDescent="0.25">
      <c r="A168" s="141" t="s">
        <v>672</v>
      </c>
      <c r="B168" s="148" t="s">
        <v>671</v>
      </c>
      <c r="C168" s="147">
        <f>C183+C197+C199+C201+C203+C205</f>
        <v>212487.2</v>
      </c>
      <c r="D168" s="142">
        <f>D183+D197+D199+D201+D203+D205</f>
        <v>56787.261429999999</v>
      </c>
      <c r="E168" s="138">
        <f t="shared" ref="E168:E212" si="7">D168/C168*100</f>
        <v>26.725026933387042</v>
      </c>
      <c r="F168" s="166"/>
      <c r="G168" s="166"/>
    </row>
    <row r="169" spans="1:7" ht="37.5" hidden="1" customHeight="1" x14ac:dyDescent="0.25">
      <c r="A169" s="145" t="s">
        <v>670</v>
      </c>
      <c r="B169" s="140" t="s">
        <v>669</v>
      </c>
      <c r="C169" s="142">
        <f>C170</f>
        <v>0</v>
      </c>
      <c r="D169" s="142"/>
      <c r="E169" s="138" t="e">
        <f t="shared" si="7"/>
        <v>#DIV/0!</v>
      </c>
      <c r="F169" s="162"/>
      <c r="G169" s="162"/>
    </row>
    <row r="170" spans="1:7" ht="51.75" hidden="1" customHeight="1" x14ac:dyDescent="0.25">
      <c r="A170" s="145" t="s">
        <v>668</v>
      </c>
      <c r="B170" s="140" t="s">
        <v>667</v>
      </c>
      <c r="C170" s="142"/>
      <c r="D170" s="142"/>
      <c r="E170" s="138" t="e">
        <f t="shared" si="7"/>
        <v>#DIV/0!</v>
      </c>
      <c r="F170" s="162"/>
      <c r="G170" s="162"/>
    </row>
    <row r="171" spans="1:7" ht="33" hidden="1" customHeight="1" x14ac:dyDescent="0.25">
      <c r="A171" s="145" t="s">
        <v>666</v>
      </c>
      <c r="B171" s="140" t="s">
        <v>665</v>
      </c>
      <c r="C171" s="142">
        <f>C172</f>
        <v>0</v>
      </c>
      <c r="D171" s="142"/>
      <c r="E171" s="138" t="e">
        <f t="shared" si="7"/>
        <v>#DIV/0!</v>
      </c>
      <c r="F171" s="162"/>
      <c r="G171" s="162"/>
    </row>
    <row r="172" spans="1:7" ht="48" hidden="1" customHeight="1" x14ac:dyDescent="0.25">
      <c r="A172" s="145" t="s">
        <v>664</v>
      </c>
      <c r="B172" s="140" t="s">
        <v>663</v>
      </c>
      <c r="C172" s="142"/>
      <c r="D172" s="142"/>
      <c r="E172" s="138" t="e">
        <f t="shared" si="7"/>
        <v>#DIV/0!</v>
      </c>
      <c r="F172" s="162"/>
      <c r="G172" s="162"/>
    </row>
    <row r="173" spans="1:7" ht="57" hidden="1" customHeight="1" x14ac:dyDescent="0.25">
      <c r="A173" s="145" t="s">
        <v>662</v>
      </c>
      <c r="B173" s="140" t="s">
        <v>661</v>
      </c>
      <c r="C173" s="142">
        <f>C174</f>
        <v>0</v>
      </c>
      <c r="D173" s="142"/>
      <c r="E173" s="138" t="e">
        <f t="shared" si="7"/>
        <v>#DIV/0!</v>
      </c>
      <c r="F173" s="162"/>
      <c r="G173" s="162"/>
    </row>
    <row r="174" spans="1:7" ht="68.25" hidden="1" customHeight="1" x14ac:dyDescent="0.25">
      <c r="A174" s="145" t="s">
        <v>660</v>
      </c>
      <c r="B174" s="140" t="s">
        <v>659</v>
      </c>
      <c r="C174" s="142"/>
      <c r="D174" s="142"/>
      <c r="E174" s="138" t="e">
        <f t="shared" si="7"/>
        <v>#DIV/0!</v>
      </c>
      <c r="F174" s="162"/>
      <c r="G174" s="162"/>
    </row>
    <row r="175" spans="1:7" ht="99" hidden="1" customHeight="1" x14ac:dyDescent="0.25">
      <c r="A175" s="165" t="s">
        <v>658</v>
      </c>
      <c r="B175" s="164" t="s">
        <v>657</v>
      </c>
      <c r="C175" s="163">
        <f>SUM(C176)</f>
        <v>0</v>
      </c>
      <c r="D175" s="142"/>
      <c r="E175" s="138" t="e">
        <f t="shared" si="7"/>
        <v>#DIV/0!</v>
      </c>
      <c r="F175" s="162"/>
      <c r="G175" s="162"/>
    </row>
    <row r="176" spans="1:7" ht="66" hidden="1" customHeight="1" x14ac:dyDescent="0.25">
      <c r="A176" s="165" t="s">
        <v>656</v>
      </c>
      <c r="B176" s="164" t="s">
        <v>655</v>
      </c>
      <c r="C176" s="163"/>
      <c r="D176" s="142"/>
      <c r="E176" s="138" t="e">
        <f t="shared" si="7"/>
        <v>#DIV/0!</v>
      </c>
      <c r="F176" s="162"/>
      <c r="G176" s="162"/>
    </row>
    <row r="177" spans="1:9" ht="66" hidden="1" customHeight="1" x14ac:dyDescent="0.25">
      <c r="A177" s="145" t="s">
        <v>654</v>
      </c>
      <c r="B177" s="140" t="s">
        <v>653</v>
      </c>
      <c r="C177" s="147">
        <f>C178</f>
        <v>0</v>
      </c>
      <c r="D177" s="142"/>
      <c r="E177" s="138" t="e">
        <f t="shared" si="7"/>
        <v>#DIV/0!</v>
      </c>
      <c r="F177" s="162"/>
      <c r="G177" s="162"/>
    </row>
    <row r="178" spans="1:9" ht="62.25" hidden="1" customHeight="1" x14ac:dyDescent="0.25">
      <c r="A178" s="145" t="s">
        <v>652</v>
      </c>
      <c r="B178" s="140" t="s">
        <v>651</v>
      </c>
      <c r="C178" s="147"/>
      <c r="D178" s="142"/>
      <c r="E178" s="138" t="e">
        <f t="shared" si="7"/>
        <v>#DIV/0!</v>
      </c>
      <c r="F178" s="162"/>
      <c r="G178" s="162"/>
    </row>
    <row r="179" spans="1:9" ht="58.5" hidden="1" customHeight="1" x14ac:dyDescent="0.25">
      <c r="A179" s="145" t="s">
        <v>650</v>
      </c>
      <c r="B179" s="140" t="s">
        <v>649</v>
      </c>
      <c r="C179" s="147">
        <f>C180</f>
        <v>0</v>
      </c>
      <c r="D179" s="142"/>
      <c r="E179" s="138" t="e">
        <f t="shared" si="7"/>
        <v>#DIV/0!</v>
      </c>
    </row>
    <row r="180" spans="1:9" ht="32.25" hidden="1" customHeight="1" x14ac:dyDescent="0.25">
      <c r="A180" s="145" t="s">
        <v>648</v>
      </c>
      <c r="B180" s="140" t="s">
        <v>647</v>
      </c>
      <c r="C180" s="147"/>
      <c r="D180" s="142"/>
      <c r="E180" s="138" t="e">
        <f t="shared" si="7"/>
        <v>#DIV/0!</v>
      </c>
    </row>
    <row r="181" spans="1:9" ht="27" hidden="1" customHeight="1" x14ac:dyDescent="0.25">
      <c r="A181" s="145" t="s">
        <v>646</v>
      </c>
      <c r="B181" s="140" t="s">
        <v>645</v>
      </c>
      <c r="C181" s="147">
        <f>C182</f>
        <v>0</v>
      </c>
      <c r="D181" s="142"/>
      <c r="E181" s="138" t="e">
        <f t="shared" si="7"/>
        <v>#DIV/0!</v>
      </c>
    </row>
    <row r="182" spans="1:9" ht="26.25" hidden="1" customHeight="1" x14ac:dyDescent="0.25">
      <c r="A182" s="145" t="s">
        <v>644</v>
      </c>
      <c r="B182" s="140" t="s">
        <v>643</v>
      </c>
      <c r="C182" s="147"/>
      <c r="D182" s="142"/>
      <c r="E182" s="138" t="e">
        <f t="shared" si="7"/>
        <v>#DIV/0!</v>
      </c>
    </row>
    <row r="183" spans="1:9" s="149" customFormat="1" ht="47.25" x14ac:dyDescent="0.25">
      <c r="A183" s="141" t="s">
        <v>642</v>
      </c>
      <c r="B183" s="148" t="s">
        <v>641</v>
      </c>
      <c r="C183" s="147">
        <f>C184</f>
        <v>207220.2</v>
      </c>
      <c r="D183" s="147">
        <f>D184</f>
        <v>55102.861429999997</v>
      </c>
      <c r="E183" s="154">
        <f t="shared" si="7"/>
        <v>26.591452681736623</v>
      </c>
      <c r="F183" s="161"/>
    </row>
    <row r="184" spans="1:9" ht="47.25" x14ac:dyDescent="0.25">
      <c r="A184" s="141" t="s">
        <v>640</v>
      </c>
      <c r="B184" s="148" t="s">
        <v>639</v>
      </c>
      <c r="C184" s="147">
        <f>C185+C186+C187+C188+C189+C190+C191+C192+C193+C194+C195+C196</f>
        <v>207220.2</v>
      </c>
      <c r="D184" s="147">
        <v>55102.861429999997</v>
      </c>
      <c r="E184" s="154">
        <f t="shared" si="7"/>
        <v>26.591452681736623</v>
      </c>
      <c r="F184" s="160"/>
    </row>
    <row r="185" spans="1:9" s="153" customFormat="1" ht="95.25" customHeight="1" x14ac:dyDescent="0.25">
      <c r="A185" s="157"/>
      <c r="B185" s="156" t="s">
        <v>638</v>
      </c>
      <c r="C185" s="155">
        <v>5856.5</v>
      </c>
      <c r="D185" s="147">
        <v>1952.1666399999999</v>
      </c>
      <c r="E185" s="154">
        <f t="shared" si="7"/>
        <v>33.333332877998807</v>
      </c>
      <c r="F185" s="159"/>
    </row>
    <row r="186" spans="1:9" s="153" customFormat="1" ht="97.5" customHeight="1" x14ac:dyDescent="0.25">
      <c r="A186" s="157" t="s">
        <v>637</v>
      </c>
      <c r="B186" s="158" t="s">
        <v>636</v>
      </c>
      <c r="C186" s="155">
        <v>790.7</v>
      </c>
      <c r="D186" s="147">
        <v>612.66642999999999</v>
      </c>
      <c r="E186" s="154">
        <f t="shared" si="7"/>
        <v>77.484055899835582</v>
      </c>
    </row>
    <row r="187" spans="1:9" s="153" customFormat="1" ht="75" x14ac:dyDescent="0.25">
      <c r="A187" s="157" t="s">
        <v>635</v>
      </c>
      <c r="B187" s="158" t="s">
        <v>634</v>
      </c>
      <c r="C187" s="155">
        <v>1431.5</v>
      </c>
      <c r="D187" s="147">
        <v>1431.5</v>
      </c>
      <c r="E187" s="154">
        <f t="shared" si="7"/>
        <v>100</v>
      </c>
    </row>
    <row r="188" spans="1:9" s="153" customFormat="1" ht="167.25" customHeight="1" x14ac:dyDescent="0.25">
      <c r="A188" s="157" t="s">
        <v>633</v>
      </c>
      <c r="B188" s="156" t="s">
        <v>632</v>
      </c>
      <c r="C188" s="155">
        <v>196207.8</v>
      </c>
      <c r="D188" s="147">
        <v>50307.82</v>
      </c>
      <c r="E188" s="154">
        <f t="shared" si="7"/>
        <v>25.64007139369587</v>
      </c>
    </row>
    <row r="189" spans="1:9" s="153" customFormat="1" ht="118.5" customHeight="1" x14ac:dyDescent="0.25">
      <c r="A189" s="157" t="s">
        <v>631</v>
      </c>
      <c r="B189" s="158" t="s">
        <v>630</v>
      </c>
      <c r="C189" s="155">
        <v>769.5</v>
      </c>
      <c r="D189" s="147">
        <v>210</v>
      </c>
      <c r="E189" s="154">
        <f t="shared" si="7"/>
        <v>27.29044834307992</v>
      </c>
    </row>
    <row r="190" spans="1:9" s="153" customFormat="1" ht="75" x14ac:dyDescent="0.25">
      <c r="A190" s="157" t="s">
        <v>629</v>
      </c>
      <c r="B190" s="156" t="s">
        <v>628</v>
      </c>
      <c r="C190" s="155">
        <v>1209</v>
      </c>
      <c r="D190" s="147">
        <v>326</v>
      </c>
      <c r="E190" s="154">
        <f t="shared" si="7"/>
        <v>26.964433416046319</v>
      </c>
    </row>
    <row r="191" spans="1:9" s="153" customFormat="1" ht="75" x14ac:dyDescent="0.25">
      <c r="A191" s="157" t="s">
        <v>627</v>
      </c>
      <c r="B191" s="156" t="s">
        <v>626</v>
      </c>
      <c r="C191" s="155">
        <v>52.1</v>
      </c>
      <c r="D191" s="147">
        <v>26.05</v>
      </c>
      <c r="E191" s="154">
        <f t="shared" si="7"/>
        <v>50</v>
      </c>
    </row>
    <row r="192" spans="1:9" s="153" customFormat="1" ht="90" x14ac:dyDescent="0.25">
      <c r="A192" s="157" t="s">
        <v>625</v>
      </c>
      <c r="B192" s="156" t="s">
        <v>624</v>
      </c>
      <c r="C192" s="155">
        <v>225.1</v>
      </c>
      <c r="D192" s="147">
        <v>75.033360000000002</v>
      </c>
      <c r="E192" s="154">
        <f t="shared" si="7"/>
        <v>33.333345179920038</v>
      </c>
      <c r="I192" s="153" t="s">
        <v>623</v>
      </c>
    </row>
    <row r="193" spans="1:5" s="153" customFormat="1" ht="60" x14ac:dyDescent="0.25">
      <c r="A193" s="157" t="s">
        <v>622</v>
      </c>
      <c r="B193" s="156" t="s">
        <v>621</v>
      </c>
      <c r="C193" s="155">
        <v>358.5</v>
      </c>
      <c r="D193" s="147">
        <v>89.625</v>
      </c>
      <c r="E193" s="154">
        <f t="shared" si="7"/>
        <v>25</v>
      </c>
    </row>
    <row r="194" spans="1:5" s="153" customFormat="1" ht="127.5" customHeight="1" x14ac:dyDescent="0.25">
      <c r="A194" s="157" t="s">
        <v>620</v>
      </c>
      <c r="B194" s="156" t="s">
        <v>619</v>
      </c>
      <c r="C194" s="155">
        <v>191.8</v>
      </c>
      <c r="D194" s="147"/>
      <c r="E194" s="154">
        <f t="shared" si="7"/>
        <v>0</v>
      </c>
    </row>
    <row r="195" spans="1:5" s="153" customFormat="1" ht="75" x14ac:dyDescent="0.25">
      <c r="A195" s="157" t="s">
        <v>618</v>
      </c>
      <c r="B195" s="156" t="s">
        <v>617</v>
      </c>
      <c r="C195" s="155">
        <v>55.7</v>
      </c>
      <c r="D195" s="147"/>
      <c r="E195" s="154">
        <f t="shared" si="7"/>
        <v>0</v>
      </c>
    </row>
    <row r="196" spans="1:5" s="153" customFormat="1" ht="90" x14ac:dyDescent="0.25">
      <c r="A196" s="141" t="s">
        <v>616</v>
      </c>
      <c r="B196" s="156" t="s">
        <v>615</v>
      </c>
      <c r="C196" s="155">
        <v>72</v>
      </c>
      <c r="D196" s="147">
        <v>72</v>
      </c>
      <c r="E196" s="154">
        <f t="shared" si="7"/>
        <v>100</v>
      </c>
    </row>
    <row r="197" spans="1:5" s="150" customFormat="1" ht="96" customHeight="1" x14ac:dyDescent="0.25">
      <c r="A197" s="152" t="s">
        <v>614</v>
      </c>
      <c r="B197" s="140" t="s">
        <v>613</v>
      </c>
      <c r="C197" s="151">
        <f>C198</f>
        <v>5054.8999999999996</v>
      </c>
      <c r="D197" s="142">
        <f>D198</f>
        <v>1684.4</v>
      </c>
      <c r="E197" s="138">
        <f t="shared" si="7"/>
        <v>33.322123088488404</v>
      </c>
    </row>
    <row r="198" spans="1:5" ht="101.25" customHeight="1" x14ac:dyDescent="0.25">
      <c r="A198" s="145" t="s">
        <v>612</v>
      </c>
      <c r="B198" s="140" t="s">
        <v>611</v>
      </c>
      <c r="C198" s="147">
        <v>5054.8999999999996</v>
      </c>
      <c r="D198" s="142">
        <v>1684.4</v>
      </c>
      <c r="E198" s="138">
        <f t="shared" si="7"/>
        <v>33.322123088488404</v>
      </c>
    </row>
    <row r="199" spans="1:5" ht="47.25" hidden="1" x14ac:dyDescent="0.25">
      <c r="A199" s="145" t="s">
        <v>610</v>
      </c>
      <c r="B199" s="140" t="s">
        <v>609</v>
      </c>
      <c r="C199" s="147">
        <f>C200</f>
        <v>0</v>
      </c>
      <c r="D199" s="142">
        <f>D200</f>
        <v>0</v>
      </c>
      <c r="E199" s="138" t="e">
        <f t="shared" si="7"/>
        <v>#DIV/0!</v>
      </c>
    </row>
    <row r="200" spans="1:5" ht="56.25" hidden="1" customHeight="1" x14ac:dyDescent="0.25">
      <c r="A200" s="145" t="s">
        <v>608</v>
      </c>
      <c r="B200" s="140" t="s">
        <v>607</v>
      </c>
      <c r="C200" s="147"/>
      <c r="D200" s="142"/>
      <c r="E200" s="138" t="e">
        <f t="shared" si="7"/>
        <v>#DIV/0!</v>
      </c>
    </row>
    <row r="201" spans="1:5" ht="63.75" customHeight="1" x14ac:dyDescent="0.25">
      <c r="A201" s="145" t="s">
        <v>606</v>
      </c>
      <c r="B201" s="140" t="s">
        <v>605</v>
      </c>
      <c r="C201" s="147">
        <f>C202</f>
        <v>9.6</v>
      </c>
      <c r="D201" s="142">
        <f>D202</f>
        <v>0</v>
      </c>
      <c r="E201" s="138">
        <f t="shared" si="7"/>
        <v>0</v>
      </c>
    </row>
    <row r="202" spans="1:5" ht="67.5" customHeight="1" x14ac:dyDescent="0.25">
      <c r="A202" s="145" t="s">
        <v>604</v>
      </c>
      <c r="B202" s="140" t="s">
        <v>603</v>
      </c>
      <c r="C202" s="147">
        <v>9.6</v>
      </c>
      <c r="D202" s="142"/>
      <c r="E202" s="138">
        <f t="shared" si="7"/>
        <v>0</v>
      </c>
    </row>
    <row r="203" spans="1:5" ht="64.5" customHeight="1" x14ac:dyDescent="0.25">
      <c r="A203" s="145" t="s">
        <v>602</v>
      </c>
      <c r="B203" s="140" t="s">
        <v>601</v>
      </c>
      <c r="C203" s="147">
        <f>C204</f>
        <v>86</v>
      </c>
      <c r="D203" s="142">
        <f>D204</f>
        <v>0</v>
      </c>
      <c r="E203" s="138">
        <f t="shared" si="7"/>
        <v>0</v>
      </c>
    </row>
    <row r="204" spans="1:5" ht="78.75" customHeight="1" x14ac:dyDescent="0.25">
      <c r="A204" s="145" t="s">
        <v>600</v>
      </c>
      <c r="B204" s="140" t="s">
        <v>599</v>
      </c>
      <c r="C204" s="147">
        <v>86</v>
      </c>
      <c r="D204" s="142"/>
      <c r="E204" s="138">
        <f t="shared" si="7"/>
        <v>0</v>
      </c>
    </row>
    <row r="205" spans="1:5" ht="90" customHeight="1" x14ac:dyDescent="0.25">
      <c r="A205" s="145" t="s">
        <v>598</v>
      </c>
      <c r="B205" s="140" t="s">
        <v>597</v>
      </c>
      <c r="C205" s="147">
        <f>C206</f>
        <v>116.5</v>
      </c>
      <c r="D205" s="142">
        <f>D206</f>
        <v>0</v>
      </c>
      <c r="E205" s="138">
        <f t="shared" si="7"/>
        <v>0</v>
      </c>
    </row>
    <row r="206" spans="1:5" ht="94.5" x14ac:dyDescent="0.25">
      <c r="A206" s="145" t="s">
        <v>596</v>
      </c>
      <c r="B206" s="140" t="s">
        <v>595</v>
      </c>
      <c r="C206" s="147">
        <v>116.5</v>
      </c>
      <c r="D206" s="142"/>
      <c r="E206" s="138">
        <f t="shared" si="7"/>
        <v>0</v>
      </c>
    </row>
    <row r="207" spans="1:5" s="149" customFormat="1" x14ac:dyDescent="0.25">
      <c r="A207" s="141" t="s">
        <v>594</v>
      </c>
      <c r="B207" s="148" t="s">
        <v>593</v>
      </c>
      <c r="C207" s="147">
        <f>C208+C210+C211</f>
        <v>90</v>
      </c>
      <c r="D207" s="147">
        <f>D208+D210+D211</f>
        <v>0</v>
      </c>
      <c r="E207" s="138">
        <f t="shared" si="7"/>
        <v>0</v>
      </c>
    </row>
    <row r="208" spans="1:5" ht="63" x14ac:dyDescent="0.25">
      <c r="A208" s="141" t="s">
        <v>592</v>
      </c>
      <c r="B208" s="148" t="s">
        <v>591</v>
      </c>
      <c r="C208" s="147">
        <f>C209</f>
        <v>90</v>
      </c>
      <c r="D208" s="142"/>
      <c r="E208" s="138">
        <f t="shared" si="7"/>
        <v>0</v>
      </c>
    </row>
    <row r="209" spans="1:5" ht="77.25" customHeight="1" x14ac:dyDescent="0.25">
      <c r="A209" s="141" t="s">
        <v>590</v>
      </c>
      <c r="B209" s="148" t="s">
        <v>589</v>
      </c>
      <c r="C209" s="147">
        <v>90</v>
      </c>
      <c r="D209" s="142"/>
      <c r="E209" s="138">
        <f t="shared" si="7"/>
        <v>0</v>
      </c>
    </row>
    <row r="210" spans="1:5" ht="49.5" hidden="1" customHeight="1" x14ac:dyDescent="0.25">
      <c r="A210" s="141" t="s">
        <v>588</v>
      </c>
      <c r="B210" s="148" t="s">
        <v>587</v>
      </c>
      <c r="C210" s="147"/>
      <c r="D210" s="142"/>
      <c r="E210" s="138" t="e">
        <f t="shared" si="7"/>
        <v>#DIV/0!</v>
      </c>
    </row>
    <row r="211" spans="1:5" ht="31.5" hidden="1" x14ac:dyDescent="0.25">
      <c r="A211" s="141" t="s">
        <v>586</v>
      </c>
      <c r="B211" s="148" t="s">
        <v>585</v>
      </c>
      <c r="C211" s="147"/>
      <c r="D211" s="142"/>
      <c r="E211" s="138" t="e">
        <f t="shared" si="7"/>
        <v>#DIV/0!</v>
      </c>
    </row>
    <row r="212" spans="1:5" ht="113.25" customHeight="1" x14ac:dyDescent="0.25">
      <c r="A212" s="141" t="s">
        <v>584</v>
      </c>
      <c r="B212" s="148" t="s">
        <v>583</v>
      </c>
      <c r="C212" s="147">
        <f>C216</f>
        <v>132.04434000000001</v>
      </c>
      <c r="D212" s="142">
        <f>D213+D216</f>
        <v>1662.7091999999998</v>
      </c>
      <c r="E212" s="138">
        <f t="shared" si="7"/>
        <v>1259.2052033430587</v>
      </c>
    </row>
    <row r="213" spans="1:5" ht="36.75" customHeight="1" x14ac:dyDescent="0.25">
      <c r="A213" s="141" t="s">
        <v>582</v>
      </c>
      <c r="B213" s="148" t="s">
        <v>581</v>
      </c>
      <c r="C213" s="147">
        <f>C214</f>
        <v>0</v>
      </c>
      <c r="D213" s="142">
        <f>D214+D215</f>
        <v>1350.6648599999999</v>
      </c>
      <c r="E213" s="138"/>
    </row>
    <row r="214" spans="1:5" ht="47.25" x14ac:dyDescent="0.25">
      <c r="A214" s="141" t="s">
        <v>580</v>
      </c>
      <c r="B214" s="148" t="s">
        <v>579</v>
      </c>
      <c r="C214" s="147"/>
      <c r="D214" s="146">
        <v>880.26035999999999</v>
      </c>
      <c r="E214" s="138"/>
    </row>
    <row r="215" spans="1:5" ht="47.25" x14ac:dyDescent="0.25">
      <c r="A215" s="141" t="s">
        <v>578</v>
      </c>
      <c r="B215" s="148" t="s">
        <v>577</v>
      </c>
      <c r="C215" s="147"/>
      <c r="D215" s="146">
        <v>470.40449999999998</v>
      </c>
      <c r="E215" s="138"/>
    </row>
    <row r="216" spans="1:5" s="143" customFormat="1" ht="63" x14ac:dyDescent="0.25">
      <c r="A216" s="145" t="s">
        <v>576</v>
      </c>
      <c r="B216" s="140" t="s">
        <v>575</v>
      </c>
      <c r="C216" s="142">
        <v>132.04434000000001</v>
      </c>
      <c r="D216" s="144">
        <v>312.04433999999998</v>
      </c>
      <c r="E216" s="138">
        <f>D216/C216*100</f>
        <v>236.31784595992525</v>
      </c>
    </row>
    <row r="217" spans="1:5" ht="52.5" customHeight="1" x14ac:dyDescent="0.25">
      <c r="A217" s="141" t="s">
        <v>574</v>
      </c>
      <c r="B217" s="140" t="s">
        <v>573</v>
      </c>
      <c r="C217" s="139">
        <f>C218</f>
        <v>-163.63627</v>
      </c>
      <c r="D217" s="142">
        <f>D218</f>
        <v>-163.63627</v>
      </c>
      <c r="E217" s="138">
        <f>D217/C217*100</f>
        <v>100</v>
      </c>
    </row>
    <row r="218" spans="1:5" ht="63" x14ac:dyDescent="0.25">
      <c r="A218" s="141" t="s">
        <v>572</v>
      </c>
      <c r="B218" s="140" t="s">
        <v>571</v>
      </c>
      <c r="C218" s="139">
        <v>-163.63627</v>
      </c>
      <c r="D218" s="139">
        <v>-163.63627</v>
      </c>
      <c r="E218" s="138">
        <f>D218/C218*100</f>
        <v>100</v>
      </c>
    </row>
  </sheetData>
  <mergeCells count="2">
    <mergeCell ref="A4:E4"/>
    <mergeCell ref="C2:E2"/>
  </mergeCells>
  <pageMargins left="0.70866141732283472" right="0" top="0" bottom="0" header="0.31496062992125984" footer="0.31496062992125984"/>
  <pageSetup paperSize="9" scale="53" orientation="portrait" r:id="rId1"/>
  <rowBreaks count="1" manualBreakCount="1">
    <brk id="3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view="pageBreakPreview" zoomScaleNormal="100" zoomScaleSheetLayoutView="100" workbookViewId="0">
      <selection activeCell="D2" sqref="D2:F2"/>
    </sheetView>
  </sheetViews>
  <sheetFormatPr defaultRowHeight="15" x14ac:dyDescent="0.25"/>
  <cols>
    <col min="1" max="1" width="47.42578125" style="11" customWidth="1"/>
    <col min="3" max="3" width="9.140625" style="10"/>
    <col min="4" max="4" width="13.7109375" customWidth="1"/>
    <col min="5" max="5" width="13" customWidth="1"/>
    <col min="6" max="6" width="15.140625" customWidth="1"/>
  </cols>
  <sheetData>
    <row r="1" spans="1:6" s="27" customFormat="1" ht="15" customHeight="1" x14ac:dyDescent="0.25">
      <c r="A1" s="28"/>
      <c r="B1" s="40"/>
      <c r="C1" s="40"/>
      <c r="D1" s="215" t="s">
        <v>520</v>
      </c>
      <c r="E1" s="216"/>
      <c r="F1" s="216"/>
    </row>
    <row r="2" spans="1:6" s="40" customFormat="1" ht="51" customHeight="1" x14ac:dyDescent="0.2">
      <c r="A2" s="43"/>
      <c r="D2" s="217" t="s">
        <v>973</v>
      </c>
      <c r="E2" s="217"/>
      <c r="F2" s="217"/>
    </row>
    <row r="3" spans="1:6" s="11" customFormat="1" ht="9" customHeight="1" x14ac:dyDescent="0.2">
      <c r="A3" s="26"/>
      <c r="B3" s="25"/>
      <c r="C3" s="25"/>
    </row>
    <row r="4" spans="1:6" s="11" customFormat="1" x14ac:dyDescent="0.25">
      <c r="A4" s="221" t="s">
        <v>519</v>
      </c>
      <c r="B4" s="222"/>
      <c r="C4" s="222"/>
      <c r="D4" s="220"/>
      <c r="E4" s="220"/>
      <c r="F4" s="220"/>
    </row>
    <row r="5" spans="1:6" s="11" customFormat="1" ht="29.25" customHeight="1" x14ac:dyDescent="0.25">
      <c r="A5" s="218" t="s">
        <v>971</v>
      </c>
      <c r="B5" s="219"/>
      <c r="C5" s="219"/>
      <c r="D5" s="220"/>
      <c r="E5" s="220"/>
      <c r="F5" s="220"/>
    </row>
    <row r="6" spans="1:6" s="11" customFormat="1" ht="18" customHeight="1" x14ac:dyDescent="0.2">
      <c r="A6" s="61"/>
      <c r="B6" s="62"/>
      <c r="C6" s="62"/>
      <c r="F6" s="46" t="s">
        <v>160</v>
      </c>
    </row>
    <row r="7" spans="1:6" s="12" customFormat="1" ht="41.25" customHeight="1" x14ac:dyDescent="0.2">
      <c r="A7" s="24" t="s">
        <v>207</v>
      </c>
      <c r="B7" s="223" t="s">
        <v>206</v>
      </c>
      <c r="C7" s="224"/>
      <c r="D7" s="9" t="s">
        <v>521</v>
      </c>
      <c r="E7" s="9" t="s">
        <v>500</v>
      </c>
      <c r="F7" s="9" t="s">
        <v>501</v>
      </c>
    </row>
    <row r="8" spans="1:6" s="12" customFormat="1" ht="18.75" customHeight="1" x14ac:dyDescent="0.2">
      <c r="A8" s="17" t="s">
        <v>156</v>
      </c>
      <c r="B8" s="211" t="s">
        <v>205</v>
      </c>
      <c r="C8" s="225"/>
      <c r="D8" s="15">
        <f t="shared" ref="D8" si="0">SUM(D9:D16)</f>
        <v>30420.765109999997</v>
      </c>
      <c r="E8" s="15">
        <f>SUM(E9:E16)</f>
        <v>5212.4608799999996</v>
      </c>
      <c r="F8" s="15">
        <f>E8/D8*100</f>
        <v>17.134548921277936</v>
      </c>
    </row>
    <row r="9" spans="1:6" s="12" customFormat="1" ht="25.5" x14ac:dyDescent="0.2">
      <c r="A9" s="21" t="s">
        <v>204</v>
      </c>
      <c r="B9" s="20" t="s">
        <v>15</v>
      </c>
      <c r="C9" s="19" t="s">
        <v>27</v>
      </c>
      <c r="D9" s="18">
        <f>'прил4 вед стр '!G491</f>
        <v>1457.55</v>
      </c>
      <c r="E9" s="18">
        <f>'прил4 вед стр '!H491</f>
        <v>391.00683000000004</v>
      </c>
      <c r="F9" s="18">
        <f t="shared" ref="F9:F32" si="1">E9/D9*100</f>
        <v>26.82630647319132</v>
      </c>
    </row>
    <row r="10" spans="1:6" s="12" customFormat="1" ht="25.5" x14ac:dyDescent="0.2">
      <c r="A10" s="21" t="s">
        <v>203</v>
      </c>
      <c r="B10" s="20" t="s">
        <v>15</v>
      </c>
      <c r="C10" s="19" t="s">
        <v>6</v>
      </c>
      <c r="D10" s="18">
        <f>'прил4 вед стр '!G492</f>
        <v>1903.8400000000001</v>
      </c>
      <c r="E10" s="18">
        <f>'прил4 вед стр '!H492</f>
        <v>401.87860999999998</v>
      </c>
      <c r="F10" s="18">
        <f t="shared" si="1"/>
        <v>21.10884370535339</v>
      </c>
    </row>
    <row r="11" spans="1:6" s="12" customFormat="1" ht="12.75" x14ac:dyDescent="0.2">
      <c r="A11" s="21" t="s">
        <v>202</v>
      </c>
      <c r="B11" s="20" t="s">
        <v>15</v>
      </c>
      <c r="C11" s="19" t="s">
        <v>59</v>
      </c>
      <c r="D11" s="18">
        <f>'прил4 вед стр '!G493</f>
        <v>12932.85787</v>
      </c>
      <c r="E11" s="18">
        <f>'прил4 вед стр '!H493</f>
        <v>3165.5876699999999</v>
      </c>
      <c r="F11" s="18">
        <f t="shared" si="1"/>
        <v>24.477093167034088</v>
      </c>
    </row>
    <row r="12" spans="1:6" s="12" customFormat="1" ht="12.75" x14ac:dyDescent="0.2">
      <c r="A12" s="21" t="s">
        <v>201</v>
      </c>
      <c r="B12" s="20" t="s">
        <v>15</v>
      </c>
      <c r="C12" s="19" t="s">
        <v>36</v>
      </c>
      <c r="D12" s="18">
        <f>'прил4 вед стр '!G494</f>
        <v>9.6</v>
      </c>
      <c r="E12" s="18">
        <f>'прил4 вед стр '!H494</f>
        <v>0</v>
      </c>
      <c r="F12" s="18">
        <f t="shared" si="1"/>
        <v>0</v>
      </c>
    </row>
    <row r="13" spans="1:6" s="12" customFormat="1" ht="27.75" customHeight="1" x14ac:dyDescent="0.2">
      <c r="A13" s="21" t="s">
        <v>200</v>
      </c>
      <c r="B13" s="20" t="s">
        <v>15</v>
      </c>
      <c r="C13" s="19" t="s">
        <v>53</v>
      </c>
      <c r="D13" s="18">
        <f>'прил4 вед стр '!G495</f>
        <v>4953.5929999999998</v>
      </c>
      <c r="E13" s="18">
        <f>'прил4 вед стр '!H495</f>
        <v>1073.7317699999999</v>
      </c>
      <c r="F13" s="18">
        <f t="shared" si="1"/>
        <v>21.675817330975715</v>
      </c>
    </row>
    <row r="14" spans="1:6" s="12" customFormat="1" ht="15.75" hidden="1" customHeight="1" x14ac:dyDescent="0.2">
      <c r="A14" s="21" t="s">
        <v>129</v>
      </c>
      <c r="B14" s="20" t="s">
        <v>15</v>
      </c>
      <c r="C14" s="19" t="s">
        <v>78</v>
      </c>
      <c r="D14" s="18">
        <f>'прил4 вед стр '!G496</f>
        <v>0</v>
      </c>
      <c r="E14" s="18">
        <f>'прил4 вед стр '!H496</f>
        <v>0</v>
      </c>
      <c r="F14" s="18" t="e">
        <f t="shared" si="1"/>
        <v>#DIV/0!</v>
      </c>
    </row>
    <row r="15" spans="1:6" s="12" customFormat="1" ht="12.75" x14ac:dyDescent="0.2">
      <c r="A15" s="21" t="s">
        <v>128</v>
      </c>
      <c r="B15" s="20" t="s">
        <v>15</v>
      </c>
      <c r="C15" s="19" t="s">
        <v>37</v>
      </c>
      <c r="D15" s="18">
        <f>'прил4 вед стр '!G497</f>
        <v>8015.3119999999999</v>
      </c>
      <c r="E15" s="18">
        <f>'прил4 вед стр '!H497</f>
        <v>0</v>
      </c>
      <c r="F15" s="18">
        <f t="shared" si="1"/>
        <v>0</v>
      </c>
    </row>
    <row r="16" spans="1:6" s="12" customFormat="1" ht="12.75" x14ac:dyDescent="0.2">
      <c r="A16" s="6" t="s">
        <v>127</v>
      </c>
      <c r="B16" s="20" t="s">
        <v>15</v>
      </c>
      <c r="C16" s="19" t="s">
        <v>24</v>
      </c>
      <c r="D16" s="18">
        <f>'прил4 вед стр '!G498</f>
        <v>1148.01224</v>
      </c>
      <c r="E16" s="18">
        <f>'прил4 вед стр '!H498</f>
        <v>180.256</v>
      </c>
      <c r="F16" s="18">
        <f t="shared" si="1"/>
        <v>15.701574749760509</v>
      </c>
    </row>
    <row r="17" spans="1:6" s="14" customFormat="1" ht="12.75" hidden="1" x14ac:dyDescent="0.2">
      <c r="A17" s="17" t="s">
        <v>122</v>
      </c>
      <c r="B17" s="211" t="s">
        <v>199</v>
      </c>
      <c r="C17" s="225"/>
      <c r="D17" s="15">
        <f t="shared" ref="D17:E17" si="2">D18</f>
        <v>0</v>
      </c>
      <c r="E17" s="15">
        <f t="shared" si="2"/>
        <v>0</v>
      </c>
      <c r="F17" s="15" t="e">
        <f>E17/D17*100</f>
        <v>#DIV/0!</v>
      </c>
    </row>
    <row r="18" spans="1:6" s="12" customFormat="1" ht="16.5" hidden="1" customHeight="1" x14ac:dyDescent="0.2">
      <c r="A18" s="21" t="s">
        <v>198</v>
      </c>
      <c r="B18" s="20" t="s">
        <v>27</v>
      </c>
      <c r="C18" s="19" t="s">
        <v>6</v>
      </c>
      <c r="D18" s="18">
        <f>'прил4 вед стр '!G500</f>
        <v>0</v>
      </c>
      <c r="E18" s="18">
        <f>'прил4 вед стр '!H500</f>
        <v>0</v>
      </c>
      <c r="F18" s="18" t="e">
        <f t="shared" si="1"/>
        <v>#DIV/0!</v>
      </c>
    </row>
    <row r="19" spans="1:6" s="14" customFormat="1" ht="25.5" x14ac:dyDescent="0.2">
      <c r="A19" s="17" t="s">
        <v>121</v>
      </c>
      <c r="B19" s="211" t="s">
        <v>197</v>
      </c>
      <c r="C19" s="212"/>
      <c r="D19" s="15">
        <f t="shared" ref="D19" si="3">SUM(D21:D23)</f>
        <v>6751.2671</v>
      </c>
      <c r="E19" s="15">
        <f>SUM(E21:E23)</f>
        <v>1530.6155100000001</v>
      </c>
      <c r="F19" s="15">
        <f>E19/D19*100</f>
        <v>22.671529467409162</v>
      </c>
    </row>
    <row r="20" spans="1:6" s="12" customFormat="1" ht="12.75" hidden="1" x14ac:dyDescent="0.2">
      <c r="A20" s="21" t="s">
        <v>196</v>
      </c>
      <c r="B20" s="20" t="s">
        <v>6</v>
      </c>
      <c r="C20" s="19" t="s">
        <v>27</v>
      </c>
      <c r="D20" s="59"/>
      <c r="E20" s="59"/>
      <c r="F20" s="18" t="e">
        <f t="shared" si="1"/>
        <v>#DIV/0!</v>
      </c>
    </row>
    <row r="21" spans="1:6" s="12" customFormat="1" ht="38.25" customHeight="1" x14ac:dyDescent="0.2">
      <c r="A21" s="21" t="s">
        <v>195</v>
      </c>
      <c r="B21" s="20" t="s">
        <v>6</v>
      </c>
      <c r="C21" s="19" t="s">
        <v>67</v>
      </c>
      <c r="D21" s="18">
        <f>'прил4 вед стр '!G503</f>
        <v>6001.9813800000002</v>
      </c>
      <c r="E21" s="18">
        <f>'прил4 вед стр '!H503</f>
        <v>1430.6155100000001</v>
      </c>
      <c r="F21" s="18">
        <f t="shared" si="1"/>
        <v>23.835720563331705</v>
      </c>
    </row>
    <row r="22" spans="1:6" s="77" customFormat="1" ht="12.75" x14ac:dyDescent="0.2">
      <c r="A22" s="60" t="s">
        <v>482</v>
      </c>
      <c r="B22" s="74" t="s">
        <v>6</v>
      </c>
      <c r="C22" s="75" t="s">
        <v>54</v>
      </c>
      <c r="D22" s="76">
        <f>'прил4 вед стр '!G504</f>
        <v>703.57142999999996</v>
      </c>
      <c r="E22" s="76">
        <f>'прил4 вед стр '!H504</f>
        <v>100</v>
      </c>
      <c r="F22" s="18">
        <f t="shared" si="1"/>
        <v>14.213197940683864</v>
      </c>
    </row>
    <row r="23" spans="1:6" s="12" customFormat="1" ht="26.25" customHeight="1" x14ac:dyDescent="0.2">
      <c r="A23" s="21" t="s">
        <v>115</v>
      </c>
      <c r="B23" s="20" t="s">
        <v>6</v>
      </c>
      <c r="C23" s="19" t="s">
        <v>7</v>
      </c>
      <c r="D23" s="18">
        <f>'прил4 вед стр '!G505</f>
        <v>45.714289999999998</v>
      </c>
      <c r="E23" s="18">
        <f>'прил4 вед стр '!H505</f>
        <v>0</v>
      </c>
      <c r="F23" s="18">
        <f t="shared" si="1"/>
        <v>0</v>
      </c>
    </row>
    <row r="24" spans="1:6" s="14" customFormat="1" ht="12.75" x14ac:dyDescent="0.2">
      <c r="A24" s="17" t="s">
        <v>111</v>
      </c>
      <c r="B24" s="211" t="s">
        <v>194</v>
      </c>
      <c r="C24" s="212"/>
      <c r="D24" s="15">
        <f t="shared" ref="D24" si="4">SUM(D26:D28)</f>
        <v>25051.577510000003</v>
      </c>
      <c r="E24" s="15">
        <f>SUM(E26:E28)</f>
        <v>6513.7160000000003</v>
      </c>
      <c r="F24" s="15">
        <f>E24/D24*100</f>
        <v>26.001220870820919</v>
      </c>
    </row>
    <row r="25" spans="1:6" s="12" customFormat="1" ht="12.75" hidden="1" x14ac:dyDescent="0.2">
      <c r="A25" s="21" t="s">
        <v>193</v>
      </c>
      <c r="B25" s="20" t="s">
        <v>59</v>
      </c>
      <c r="C25" s="19" t="s">
        <v>15</v>
      </c>
      <c r="D25" s="59"/>
      <c r="E25" s="59"/>
      <c r="F25" s="18" t="e">
        <f t="shared" si="1"/>
        <v>#DIV/0!</v>
      </c>
    </row>
    <row r="26" spans="1:6" s="12" customFormat="1" ht="15.75" customHeight="1" x14ac:dyDescent="0.2">
      <c r="A26" s="21" t="s">
        <v>110</v>
      </c>
      <c r="B26" s="20" t="s">
        <v>59</v>
      </c>
      <c r="C26" s="19" t="s">
        <v>36</v>
      </c>
      <c r="D26" s="18">
        <f>'прил4 вед стр '!G508</f>
        <v>1040.3</v>
      </c>
      <c r="E26" s="18">
        <f>'прил4 вед стр '!H508</f>
        <v>43.807200000000002</v>
      </c>
      <c r="F26" s="18">
        <f t="shared" si="1"/>
        <v>4.2110160530616172</v>
      </c>
    </row>
    <row r="27" spans="1:6" s="12" customFormat="1" ht="13.5" customHeight="1" x14ac:dyDescent="0.2">
      <c r="A27" s="21" t="s">
        <v>192</v>
      </c>
      <c r="B27" s="20" t="s">
        <v>59</v>
      </c>
      <c r="C27" s="19" t="s">
        <v>67</v>
      </c>
      <c r="D27" s="18">
        <f>'прил4 вед стр '!G509</f>
        <v>5601.8</v>
      </c>
      <c r="E27" s="18">
        <f>'прил4 вед стр '!H509</f>
        <v>931.51</v>
      </c>
      <c r="F27" s="18">
        <f t="shared" si="1"/>
        <v>16.628762183583849</v>
      </c>
    </row>
    <row r="28" spans="1:6" s="12" customFormat="1" ht="18" customHeight="1" x14ac:dyDescent="0.2">
      <c r="A28" s="21" t="s">
        <v>191</v>
      </c>
      <c r="B28" s="20" t="s">
        <v>59</v>
      </c>
      <c r="C28" s="19" t="s">
        <v>28</v>
      </c>
      <c r="D28" s="18">
        <f>'прил4 вед стр '!G510</f>
        <v>18409.477510000001</v>
      </c>
      <c r="E28" s="18">
        <f>'прил4 вед стр '!H510</f>
        <v>5538.3987999999999</v>
      </c>
      <c r="F28" s="18">
        <f t="shared" si="1"/>
        <v>30.084497493161059</v>
      </c>
    </row>
    <row r="29" spans="1:6" s="14" customFormat="1" ht="16.5" customHeight="1" x14ac:dyDescent="0.2">
      <c r="A29" s="17" t="s">
        <v>190</v>
      </c>
      <c r="B29" s="213" t="s">
        <v>189</v>
      </c>
      <c r="C29" s="214"/>
      <c r="D29" s="15">
        <f t="shared" ref="D29" si="5">SUM(D30:D32)</f>
        <v>20883.655309999998</v>
      </c>
      <c r="E29" s="15">
        <f>SUM(E30:E32)</f>
        <v>1076.5657100000001</v>
      </c>
      <c r="F29" s="15">
        <f>E29/D29*100</f>
        <v>5.1550635845080901</v>
      </c>
    </row>
    <row r="30" spans="1:6" s="12" customFormat="1" ht="12.75" x14ac:dyDescent="0.2">
      <c r="A30" s="21" t="s">
        <v>99</v>
      </c>
      <c r="B30" s="20" t="s">
        <v>36</v>
      </c>
      <c r="C30" s="19" t="s">
        <v>15</v>
      </c>
      <c r="D30" s="18">
        <f>'прил4 вед стр '!G512</f>
        <v>11</v>
      </c>
      <c r="E30" s="18">
        <f>'прил4 вед стр '!H512</f>
        <v>0</v>
      </c>
      <c r="F30" s="18">
        <f t="shared" si="1"/>
        <v>0</v>
      </c>
    </row>
    <row r="31" spans="1:6" s="12" customFormat="1" ht="12.75" x14ac:dyDescent="0.2">
      <c r="A31" s="21" t="s">
        <v>98</v>
      </c>
      <c r="B31" s="20" t="s">
        <v>36</v>
      </c>
      <c r="C31" s="19" t="s">
        <v>27</v>
      </c>
      <c r="D31" s="18">
        <f>'прил4 вед стр '!G513</f>
        <v>20194.835309999999</v>
      </c>
      <c r="E31" s="18">
        <f>'прил4 вед стр '!H513</f>
        <v>1050.65371</v>
      </c>
      <c r="F31" s="18">
        <f t="shared" si="1"/>
        <v>5.2025861754848846</v>
      </c>
    </row>
    <row r="32" spans="1:6" s="12" customFormat="1" ht="12.75" x14ac:dyDescent="0.2">
      <c r="A32" s="21" t="s">
        <v>188</v>
      </c>
      <c r="B32" s="20" t="s">
        <v>36</v>
      </c>
      <c r="C32" s="19" t="s">
        <v>6</v>
      </c>
      <c r="D32" s="18">
        <f>'прил4 вед стр '!G514</f>
        <v>677.82</v>
      </c>
      <c r="E32" s="18">
        <f>'прил4 вед стр '!H514</f>
        <v>25.911999999999999</v>
      </c>
      <c r="F32" s="18">
        <f t="shared" si="1"/>
        <v>3.8228438228438222</v>
      </c>
    </row>
    <row r="33" spans="1:6" s="14" customFormat="1" ht="12.75" hidden="1" x14ac:dyDescent="0.2">
      <c r="A33" s="17" t="s">
        <v>187</v>
      </c>
      <c r="B33" s="213" t="s">
        <v>186</v>
      </c>
      <c r="C33" s="214"/>
      <c r="D33" s="15">
        <f>'прил4 вед стр '!G515</f>
        <v>0</v>
      </c>
      <c r="E33" s="15">
        <f>'прил4 вед стр '!H515</f>
        <v>0</v>
      </c>
      <c r="F33" s="15">
        <f>'прил4 вед стр '!I515</f>
        <v>0</v>
      </c>
    </row>
    <row r="34" spans="1:6" s="12" customFormat="1" ht="25.5" hidden="1" x14ac:dyDescent="0.2">
      <c r="A34" s="23" t="s">
        <v>185</v>
      </c>
      <c r="B34" s="20" t="s">
        <v>53</v>
      </c>
      <c r="C34" s="19" t="s">
        <v>36</v>
      </c>
      <c r="D34" s="18">
        <f>'прил4 вед стр '!G516</f>
        <v>0</v>
      </c>
      <c r="E34" s="18">
        <f>'прил4 вед стр '!H516</f>
        <v>0</v>
      </c>
      <c r="F34" s="18">
        <f>'прил4 вед стр '!I516</f>
        <v>0</v>
      </c>
    </row>
    <row r="35" spans="1:6" s="14" customFormat="1" ht="12.75" x14ac:dyDescent="0.2">
      <c r="A35" s="17" t="s">
        <v>184</v>
      </c>
      <c r="B35" s="213" t="s">
        <v>183</v>
      </c>
      <c r="C35" s="214"/>
      <c r="D35" s="15">
        <f t="shared" ref="D35" si="6">SUM(D36:D41)</f>
        <v>481724.75838999997</v>
      </c>
      <c r="E35" s="15">
        <f>SUM(E36:E41)</f>
        <v>78017.448679999987</v>
      </c>
      <c r="F35" s="15">
        <f>E35/D35*100</f>
        <v>16.195440927874788</v>
      </c>
    </row>
    <row r="36" spans="1:6" s="12" customFormat="1" ht="12.75" x14ac:dyDescent="0.2">
      <c r="A36" s="21" t="s">
        <v>89</v>
      </c>
      <c r="B36" s="20" t="s">
        <v>78</v>
      </c>
      <c r="C36" s="19" t="s">
        <v>15</v>
      </c>
      <c r="D36" s="18">
        <f>'прил4 вед стр '!G518</f>
        <v>173117.03502000001</v>
      </c>
      <c r="E36" s="18">
        <f>'прил4 вед стр '!H518</f>
        <v>16272.15164</v>
      </c>
      <c r="F36" s="18">
        <f t="shared" ref="F36:F46" si="7">E36/D36*100</f>
        <v>9.3995092037707888</v>
      </c>
    </row>
    <row r="37" spans="1:6" s="12" customFormat="1" ht="12.75" x14ac:dyDescent="0.2">
      <c r="A37" s="21" t="s">
        <v>88</v>
      </c>
      <c r="B37" s="20" t="s">
        <v>78</v>
      </c>
      <c r="C37" s="19" t="s">
        <v>27</v>
      </c>
      <c r="D37" s="18">
        <f>'прил4 вед стр '!G519</f>
        <v>261004.75436999998</v>
      </c>
      <c r="E37" s="18">
        <f>'прил4 вед стр '!H519</f>
        <v>52367.458579999999</v>
      </c>
      <c r="F37" s="18">
        <f t="shared" si="7"/>
        <v>20.063794893852378</v>
      </c>
    </row>
    <row r="38" spans="1:6" s="12" customFormat="1" ht="16.5" customHeight="1" x14ac:dyDescent="0.2">
      <c r="A38" s="4" t="s">
        <v>232</v>
      </c>
      <c r="B38" s="20" t="s">
        <v>78</v>
      </c>
      <c r="C38" s="19" t="s">
        <v>6</v>
      </c>
      <c r="D38" s="18">
        <f>'прил4 вед стр '!G520</f>
        <v>30417.709000000003</v>
      </c>
      <c r="E38" s="18">
        <f>'прил4 вед стр '!H520</f>
        <v>6046.9349099999999</v>
      </c>
      <c r="F38" s="18">
        <f t="shared" si="7"/>
        <v>19.879652704942373</v>
      </c>
    </row>
    <row r="39" spans="1:6" s="12" customFormat="1" ht="25.5" hidden="1" x14ac:dyDescent="0.2">
      <c r="A39" s="21" t="s">
        <v>182</v>
      </c>
      <c r="B39" s="20" t="s">
        <v>78</v>
      </c>
      <c r="C39" s="19" t="s">
        <v>36</v>
      </c>
      <c r="D39" s="18">
        <f>'прил4 вед стр '!G521</f>
        <v>0</v>
      </c>
      <c r="E39" s="18">
        <f>'прил4 вед стр '!H521</f>
        <v>0</v>
      </c>
      <c r="F39" s="18" t="e">
        <f t="shared" si="7"/>
        <v>#DIV/0!</v>
      </c>
    </row>
    <row r="40" spans="1:6" s="12" customFormat="1" ht="18" customHeight="1" x14ac:dyDescent="0.2">
      <c r="A40" s="21" t="s">
        <v>84</v>
      </c>
      <c r="B40" s="20" t="s">
        <v>78</v>
      </c>
      <c r="C40" s="19" t="s">
        <v>78</v>
      </c>
      <c r="D40" s="18">
        <f>'прил4 вед стр '!G522</f>
        <v>1481.5</v>
      </c>
      <c r="E40" s="18">
        <f>'прил4 вед стр '!H522</f>
        <v>23.411000000000001</v>
      </c>
      <c r="F40" s="18">
        <f t="shared" si="7"/>
        <v>1.58022274721566</v>
      </c>
    </row>
    <row r="41" spans="1:6" s="12" customFormat="1" ht="16.5" customHeight="1" x14ac:dyDescent="0.2">
      <c r="A41" s="21" t="s">
        <v>83</v>
      </c>
      <c r="B41" s="20" t="s">
        <v>78</v>
      </c>
      <c r="C41" s="19" t="s">
        <v>67</v>
      </c>
      <c r="D41" s="18">
        <f>'прил4 вед стр '!G523</f>
        <v>15703.760000000002</v>
      </c>
      <c r="E41" s="18">
        <f>'прил4 вед стр '!H523</f>
        <v>3307.4925499999999</v>
      </c>
      <c r="F41" s="18">
        <f t="shared" si="7"/>
        <v>21.061787431799768</v>
      </c>
    </row>
    <row r="42" spans="1:6" s="14" customFormat="1" ht="12.75" x14ac:dyDescent="0.2">
      <c r="A42" s="17" t="s">
        <v>181</v>
      </c>
      <c r="B42" s="213" t="s">
        <v>180</v>
      </c>
      <c r="C42" s="214"/>
      <c r="D42" s="15">
        <f t="shared" ref="D42" si="8">SUM(D43:D44)</f>
        <v>53801.408989999996</v>
      </c>
      <c r="E42" s="15">
        <f>SUM(E43:E44)</f>
        <v>9887.0986099999991</v>
      </c>
      <c r="F42" s="15">
        <f>E42/D42*100</f>
        <v>18.377025426671821</v>
      </c>
    </row>
    <row r="43" spans="1:6" s="12" customFormat="1" ht="12.75" x14ac:dyDescent="0.2">
      <c r="A43" s="21" t="s">
        <v>76</v>
      </c>
      <c r="B43" s="20" t="s">
        <v>72</v>
      </c>
      <c r="C43" s="19" t="s">
        <v>15</v>
      </c>
      <c r="D43" s="18">
        <f>'прил4 вед стр '!G525</f>
        <v>46196.653449999998</v>
      </c>
      <c r="E43" s="18">
        <f>'прил4 вед стр '!H525</f>
        <v>9151.9269999999997</v>
      </c>
      <c r="F43" s="18">
        <f t="shared" si="7"/>
        <v>19.810800818949797</v>
      </c>
    </row>
    <row r="44" spans="1:6" s="12" customFormat="1" ht="15.75" customHeight="1" x14ac:dyDescent="0.2">
      <c r="A44" s="21" t="s">
        <v>179</v>
      </c>
      <c r="B44" s="20" t="s">
        <v>72</v>
      </c>
      <c r="C44" s="19" t="s">
        <v>59</v>
      </c>
      <c r="D44" s="18">
        <f>'прил4 вед стр '!G526</f>
        <v>7604.755540000001</v>
      </c>
      <c r="E44" s="18">
        <f>'прил4 вед стр '!H526</f>
        <v>735.17160999999999</v>
      </c>
      <c r="F44" s="18">
        <f t="shared" si="7"/>
        <v>9.6672615724870479</v>
      </c>
    </row>
    <row r="45" spans="1:6" s="14" customFormat="1" ht="12.75" hidden="1" x14ac:dyDescent="0.2">
      <c r="A45" s="17" t="s">
        <v>178</v>
      </c>
      <c r="B45" s="213" t="s">
        <v>177</v>
      </c>
      <c r="C45" s="214"/>
      <c r="D45" s="15">
        <f t="shared" ref="D45" si="9">D49+D46</f>
        <v>0</v>
      </c>
      <c r="E45" s="15">
        <f>E49+E46</f>
        <v>0</v>
      </c>
      <c r="F45" s="15" t="e">
        <f>E45/D45*100</f>
        <v>#DIV/0!</v>
      </c>
    </row>
    <row r="46" spans="1:6" s="12" customFormat="1" ht="12.75" hidden="1" x14ac:dyDescent="0.2">
      <c r="A46" s="21" t="s">
        <v>71</v>
      </c>
      <c r="B46" s="20" t="s">
        <v>67</v>
      </c>
      <c r="C46" s="19" t="s">
        <v>15</v>
      </c>
      <c r="D46" s="59"/>
      <c r="E46" s="59"/>
      <c r="F46" s="18" t="e">
        <f t="shared" si="7"/>
        <v>#DIV/0!</v>
      </c>
    </row>
    <row r="47" spans="1:6" s="12" customFormat="1" ht="12.75" hidden="1" x14ac:dyDescent="0.2">
      <c r="A47" s="21" t="s">
        <v>176</v>
      </c>
      <c r="B47" s="20" t="s">
        <v>67</v>
      </c>
      <c r="C47" s="19" t="s">
        <v>27</v>
      </c>
      <c r="D47" s="59"/>
      <c r="E47" s="59"/>
      <c r="F47" s="59"/>
    </row>
    <row r="48" spans="1:6" s="12" customFormat="1" ht="12.75" hidden="1" x14ac:dyDescent="0.2">
      <c r="A48" s="21" t="s">
        <v>175</v>
      </c>
      <c r="B48" s="20" t="s">
        <v>67</v>
      </c>
      <c r="C48" s="19" t="s">
        <v>59</v>
      </c>
      <c r="D48" s="59"/>
      <c r="E48" s="59"/>
      <c r="F48" s="59"/>
    </row>
    <row r="49" spans="1:6" s="12" customFormat="1" ht="18" hidden="1" customHeight="1" x14ac:dyDescent="0.2">
      <c r="A49" s="21" t="s">
        <v>68</v>
      </c>
      <c r="B49" s="20" t="s">
        <v>67</v>
      </c>
      <c r="C49" s="19" t="s">
        <v>67</v>
      </c>
      <c r="D49" s="18">
        <f>'прил4 вед стр '!G531</f>
        <v>0</v>
      </c>
      <c r="E49" s="18">
        <f>'прил4 вед стр '!H531</f>
        <v>0</v>
      </c>
      <c r="F49" s="18">
        <f>'прил4 вед стр '!I531</f>
        <v>0</v>
      </c>
    </row>
    <row r="50" spans="1:6" s="14" customFormat="1" ht="12.75" x14ac:dyDescent="0.2">
      <c r="A50" s="17" t="s">
        <v>66</v>
      </c>
      <c r="B50" s="213" t="s">
        <v>174</v>
      </c>
      <c r="C50" s="214"/>
      <c r="D50" s="15">
        <f t="shared" ref="D50" si="10">SUM(D51:D55)</f>
        <v>10655.46227</v>
      </c>
      <c r="E50" s="15">
        <f>SUM(E51:E55)</f>
        <v>1011.26121</v>
      </c>
      <c r="F50" s="15">
        <f>E50/D50*100</f>
        <v>9.4905428256000022</v>
      </c>
    </row>
    <row r="51" spans="1:6" s="12" customFormat="1" ht="12.75" x14ac:dyDescent="0.2">
      <c r="A51" s="21" t="s">
        <v>65</v>
      </c>
      <c r="B51" s="20" t="s">
        <v>54</v>
      </c>
      <c r="C51" s="19" t="s">
        <v>15</v>
      </c>
      <c r="D51" s="18">
        <f>'прил4 вед стр '!G533</f>
        <v>720.73</v>
      </c>
      <c r="E51" s="18">
        <f>'прил4 вед стр '!H533</f>
        <v>174.90741</v>
      </c>
      <c r="F51" s="18">
        <f t="shared" ref="F51:F65" si="11">E51/D51*100</f>
        <v>24.268090685832419</v>
      </c>
    </row>
    <row r="52" spans="1:6" s="12" customFormat="1" ht="12.75" hidden="1" x14ac:dyDescent="0.2">
      <c r="A52" s="21" t="s">
        <v>173</v>
      </c>
      <c r="B52" s="20" t="s">
        <v>54</v>
      </c>
      <c r="C52" s="19" t="s">
        <v>27</v>
      </c>
      <c r="D52" s="18">
        <f>'прил4 вед стр '!G534</f>
        <v>0</v>
      </c>
      <c r="E52" s="18">
        <f>'прил4 вед стр '!H534</f>
        <v>0</v>
      </c>
      <c r="F52" s="18" t="e">
        <f t="shared" si="11"/>
        <v>#DIV/0!</v>
      </c>
    </row>
    <row r="53" spans="1:6" s="12" customFormat="1" ht="12" customHeight="1" x14ac:dyDescent="0.2">
      <c r="A53" s="21" t="s">
        <v>172</v>
      </c>
      <c r="B53" s="20" t="s">
        <v>54</v>
      </c>
      <c r="C53" s="19" t="s">
        <v>6</v>
      </c>
      <c r="D53" s="18">
        <f>'прил4 вед стр '!G535</f>
        <v>4819.8322699999999</v>
      </c>
      <c r="E53" s="18">
        <f>'прил4 вед стр '!H535</f>
        <v>118</v>
      </c>
      <c r="F53" s="18">
        <f t="shared" si="11"/>
        <v>2.4482179750209441</v>
      </c>
    </row>
    <row r="54" spans="1:6" s="12" customFormat="1" ht="12.75" x14ac:dyDescent="0.2">
      <c r="A54" s="21" t="s">
        <v>171</v>
      </c>
      <c r="B54" s="20" t="s">
        <v>54</v>
      </c>
      <c r="C54" s="19" t="s">
        <v>59</v>
      </c>
      <c r="D54" s="18">
        <f>'прил4 вед стр '!G536</f>
        <v>5054.8999999999996</v>
      </c>
      <c r="E54" s="18">
        <f>'прил4 вед стр '!H536</f>
        <v>718.35379999999998</v>
      </c>
      <c r="F54" s="18">
        <f t="shared" si="11"/>
        <v>14.211038794041425</v>
      </c>
    </row>
    <row r="55" spans="1:6" s="12" customFormat="1" ht="14.25" customHeight="1" x14ac:dyDescent="0.2">
      <c r="A55" s="21" t="s">
        <v>58</v>
      </c>
      <c r="B55" s="20" t="s">
        <v>54</v>
      </c>
      <c r="C55" s="19" t="s">
        <v>53</v>
      </c>
      <c r="D55" s="18">
        <f>'прил4 вед стр '!G537</f>
        <v>60</v>
      </c>
      <c r="E55" s="18">
        <f>'прил4 вед стр '!H537</f>
        <v>0</v>
      </c>
      <c r="F55" s="18">
        <f t="shared" si="11"/>
        <v>0</v>
      </c>
    </row>
    <row r="56" spans="1:6" s="14" customFormat="1" ht="12.75" x14ac:dyDescent="0.2">
      <c r="A56" s="17" t="s">
        <v>50</v>
      </c>
      <c r="B56" s="213" t="s">
        <v>170</v>
      </c>
      <c r="C56" s="214"/>
      <c r="D56" s="15">
        <f t="shared" ref="D56" si="12">D57+D58</f>
        <v>630</v>
      </c>
      <c r="E56" s="15">
        <f>E57+E58</f>
        <v>92.2</v>
      </c>
      <c r="F56" s="15">
        <f>E56/D56*100</f>
        <v>14.634920634920634</v>
      </c>
    </row>
    <row r="57" spans="1:6" s="12" customFormat="1" ht="12.75" x14ac:dyDescent="0.2">
      <c r="A57" s="21" t="s">
        <v>169</v>
      </c>
      <c r="B57" s="20" t="s">
        <v>37</v>
      </c>
      <c r="C57" s="19" t="s">
        <v>15</v>
      </c>
      <c r="D57" s="18">
        <f>'прил4 вед стр '!G539</f>
        <v>630</v>
      </c>
      <c r="E57" s="18">
        <f>'прил4 вед стр '!H539</f>
        <v>92.2</v>
      </c>
      <c r="F57" s="18">
        <f t="shared" si="11"/>
        <v>14.634920634920634</v>
      </c>
    </row>
    <row r="58" spans="1:6" s="12" customFormat="1" ht="25.5" x14ac:dyDescent="0.2">
      <c r="A58" s="21" t="s">
        <v>42</v>
      </c>
      <c r="B58" s="22" t="s">
        <v>37</v>
      </c>
      <c r="C58" s="20" t="s">
        <v>36</v>
      </c>
      <c r="D58" s="18">
        <f>'прил4 вед стр '!G540</f>
        <v>0</v>
      </c>
      <c r="E58" s="18">
        <f>'прил4 вед стр '!H540</f>
        <v>0</v>
      </c>
      <c r="F58" s="18" t="e">
        <f t="shared" si="11"/>
        <v>#DIV/0!</v>
      </c>
    </row>
    <row r="59" spans="1:6" s="14" customFormat="1" ht="12" customHeight="1" x14ac:dyDescent="0.2">
      <c r="A59" s="17" t="s">
        <v>33</v>
      </c>
      <c r="B59" s="213" t="s">
        <v>168</v>
      </c>
      <c r="C59" s="214"/>
      <c r="D59" s="15">
        <f t="shared" ref="D59:E59" si="13">D60</f>
        <v>1300.4059999999999</v>
      </c>
      <c r="E59" s="15">
        <f t="shared" si="13"/>
        <v>456.72</v>
      </c>
      <c r="F59" s="15">
        <f>E59/D59*100</f>
        <v>35.121339027965114</v>
      </c>
    </row>
    <row r="60" spans="1:6" s="12" customFormat="1" ht="16.5" customHeight="1" x14ac:dyDescent="0.2">
      <c r="A60" s="21" t="s">
        <v>32</v>
      </c>
      <c r="B60" s="20" t="s">
        <v>28</v>
      </c>
      <c r="C60" s="19" t="s">
        <v>27</v>
      </c>
      <c r="D60" s="18">
        <f>'прил4 вед стр '!G542</f>
        <v>1300.4059999999999</v>
      </c>
      <c r="E60" s="18">
        <f>'прил4 вед стр '!H542</f>
        <v>456.72</v>
      </c>
      <c r="F60" s="18">
        <f t="shared" si="11"/>
        <v>35.121339027965114</v>
      </c>
    </row>
    <row r="61" spans="1:6" s="14" customFormat="1" ht="27" customHeight="1" x14ac:dyDescent="0.2">
      <c r="A61" s="17" t="s">
        <v>167</v>
      </c>
      <c r="B61" s="213" t="s">
        <v>166</v>
      </c>
      <c r="C61" s="214"/>
      <c r="D61" s="15">
        <f t="shared" ref="D61:E61" si="14">SUM(D62)</f>
        <v>98</v>
      </c>
      <c r="E61" s="15">
        <f t="shared" si="14"/>
        <v>0</v>
      </c>
      <c r="F61" s="15">
        <f>E61/D61*100</f>
        <v>0</v>
      </c>
    </row>
    <row r="62" spans="1:6" s="12" customFormat="1" ht="27.75" customHeight="1" x14ac:dyDescent="0.2">
      <c r="A62" s="21" t="s">
        <v>25</v>
      </c>
      <c r="B62" s="20" t="s">
        <v>24</v>
      </c>
      <c r="C62" s="19" t="s">
        <v>15</v>
      </c>
      <c r="D62" s="18">
        <f>'прил4 вед стр '!G544</f>
        <v>98</v>
      </c>
      <c r="E62" s="18">
        <f>'прил4 вед стр '!H544</f>
        <v>0</v>
      </c>
      <c r="F62" s="18">
        <f t="shared" si="11"/>
        <v>0</v>
      </c>
    </row>
    <row r="63" spans="1:6" s="14" customFormat="1" ht="26.25" customHeight="1" x14ac:dyDescent="0.2">
      <c r="A63" s="17" t="s">
        <v>165</v>
      </c>
      <c r="B63" s="213" t="s">
        <v>164</v>
      </c>
      <c r="C63" s="214"/>
      <c r="D63" s="15">
        <f t="shared" ref="D63" si="15">SUM(D64:D65)</f>
        <v>36825.599999999999</v>
      </c>
      <c r="E63" s="15">
        <f>SUM(E64:E65)</f>
        <v>11922.78464</v>
      </c>
      <c r="F63" s="15">
        <f>E63/D63*100</f>
        <v>32.376348627042056</v>
      </c>
    </row>
    <row r="64" spans="1:6" s="12" customFormat="1" ht="29.25" customHeight="1" x14ac:dyDescent="0.2">
      <c r="A64" s="21" t="s">
        <v>163</v>
      </c>
      <c r="B64" s="20" t="s">
        <v>7</v>
      </c>
      <c r="C64" s="19" t="s">
        <v>15</v>
      </c>
      <c r="D64" s="18">
        <f>'прил4 вед стр '!G546</f>
        <v>25963.5</v>
      </c>
      <c r="E64" s="18">
        <f>'прил4 вед стр '!H546</f>
        <v>9225.2596400000002</v>
      </c>
      <c r="F64" s="18">
        <f t="shared" si="11"/>
        <v>35.53164881468215</v>
      </c>
    </row>
    <row r="65" spans="1:6" s="12" customFormat="1" ht="26.25" customHeight="1" x14ac:dyDescent="0.2">
      <c r="A65" s="21" t="s">
        <v>162</v>
      </c>
      <c r="B65" s="20" t="s">
        <v>7</v>
      </c>
      <c r="C65" s="19" t="s">
        <v>6</v>
      </c>
      <c r="D65" s="18">
        <f>'прил4 вед стр '!G547</f>
        <v>10862.1</v>
      </c>
      <c r="E65" s="18">
        <f>'прил4 вед стр '!H547</f>
        <v>2697.5250000000001</v>
      </c>
      <c r="F65" s="18">
        <f t="shared" si="11"/>
        <v>24.834286187753747</v>
      </c>
    </row>
    <row r="66" spans="1:6" s="14" customFormat="1" ht="12.75" hidden="1" x14ac:dyDescent="0.2">
      <c r="A66" s="45" t="s">
        <v>219</v>
      </c>
      <c r="B66" s="51" t="s">
        <v>220</v>
      </c>
      <c r="C66" s="16" t="s">
        <v>220</v>
      </c>
      <c r="D66" s="58">
        <f>'прил4 вед стр '!G548</f>
        <v>0</v>
      </c>
      <c r="E66" s="58">
        <f>'прил4 вед стр '!H548</f>
        <v>0</v>
      </c>
      <c r="F66" s="58">
        <f>'прил4 вед стр '!I548</f>
        <v>0</v>
      </c>
    </row>
    <row r="67" spans="1:6" s="14" customFormat="1" ht="12.75" x14ac:dyDescent="0.2">
      <c r="A67" s="17" t="s">
        <v>161</v>
      </c>
      <c r="B67" s="51"/>
      <c r="C67" s="16"/>
      <c r="D67" s="15">
        <f t="shared" ref="D67:E67" si="16">D8+D17+D19+D24+D29+D35+D42+D45+D50+D56+D59+D61+D63+D66+D33</f>
        <v>668142.90067999996</v>
      </c>
      <c r="E67" s="15">
        <f t="shared" si="16"/>
        <v>115720.87123999998</v>
      </c>
      <c r="F67" s="15">
        <f>E67/D67*100</f>
        <v>17.319778616554256</v>
      </c>
    </row>
    <row r="68" spans="1:6" s="12" customFormat="1" ht="12.75" x14ac:dyDescent="0.2">
      <c r="A68" s="11"/>
      <c r="C68" s="13"/>
      <c r="D68" s="68">
        <v>653375.06539</v>
      </c>
      <c r="E68" s="68">
        <v>9951.7631399999991</v>
      </c>
      <c r="F68" s="68">
        <f>D68+E68</f>
        <v>663326.82853000006</v>
      </c>
    </row>
    <row r="69" spans="1:6" s="12" customFormat="1" ht="12.75" x14ac:dyDescent="0.2">
      <c r="A69" s="11"/>
      <c r="C69" s="13"/>
      <c r="D69" s="70">
        <f>D68-D67</f>
        <v>-14767.835289999959</v>
      </c>
      <c r="E69" s="70">
        <f t="shared" ref="E69:F69" si="17">E68-E67</f>
        <v>-105769.10809999998</v>
      </c>
      <c r="F69" s="70">
        <f t="shared" si="17"/>
        <v>663309.50875138352</v>
      </c>
    </row>
    <row r="70" spans="1:6" s="12" customFormat="1" ht="12.75" x14ac:dyDescent="0.2">
      <c r="A70" s="11"/>
      <c r="C70" s="13"/>
    </row>
  </sheetData>
  <mergeCells count="19">
    <mergeCell ref="B35:C35"/>
    <mergeCell ref="B7:C7"/>
    <mergeCell ref="B8:C8"/>
    <mergeCell ref="B17:C17"/>
    <mergeCell ref="B19:C19"/>
    <mergeCell ref="B63:C63"/>
    <mergeCell ref="B42:C42"/>
    <mergeCell ref="B45:C45"/>
    <mergeCell ref="B50:C50"/>
    <mergeCell ref="B56:C56"/>
    <mergeCell ref="B59:C59"/>
    <mergeCell ref="B61:C61"/>
    <mergeCell ref="B24:C24"/>
    <mergeCell ref="B29:C29"/>
    <mergeCell ref="B33:C33"/>
    <mergeCell ref="D1:F1"/>
    <mergeCell ref="D2:F2"/>
    <mergeCell ref="A5:F5"/>
    <mergeCell ref="A4:F4"/>
  </mergeCells>
  <pageMargins left="0.9055118110236221" right="0" top="0" bottom="0" header="0" footer="0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4"/>
  <sheetViews>
    <sheetView view="pageBreakPreview" zoomScaleNormal="100" zoomScaleSheetLayoutView="100" workbookViewId="0">
      <selection activeCell="G2" sqref="G2:I2"/>
    </sheetView>
  </sheetViews>
  <sheetFormatPr defaultRowHeight="15" x14ac:dyDescent="0.25"/>
  <cols>
    <col min="1" max="1" width="37.85546875" style="28" customWidth="1"/>
    <col min="2" max="3" width="6.28515625" style="27" customWidth="1"/>
    <col min="4" max="4" width="8.140625" style="27" customWidth="1"/>
    <col min="5" max="5" width="10.7109375" style="27" customWidth="1"/>
    <col min="6" max="6" width="7.5703125" style="27" customWidth="1"/>
    <col min="7" max="7" width="13.7109375" style="99" customWidth="1"/>
    <col min="8" max="8" width="13.5703125" style="99" customWidth="1"/>
    <col min="9" max="9" width="12.28515625" style="94" customWidth="1"/>
    <col min="10" max="16384" width="9.140625" style="27"/>
  </cols>
  <sheetData>
    <row r="1" spans="1:10" ht="15" customHeight="1" x14ac:dyDescent="0.25">
      <c r="B1" s="40"/>
      <c r="C1" s="40"/>
      <c r="D1" s="40"/>
      <c r="E1" s="41"/>
      <c r="F1" s="41"/>
      <c r="G1" s="215" t="s">
        <v>517</v>
      </c>
      <c r="H1" s="216"/>
      <c r="I1" s="216"/>
    </row>
    <row r="2" spans="1:10" s="40" customFormat="1" ht="51" customHeight="1" x14ac:dyDescent="0.2">
      <c r="A2" s="43"/>
      <c r="E2" s="42"/>
      <c r="F2" s="44"/>
      <c r="G2" s="217" t="s">
        <v>972</v>
      </c>
      <c r="H2" s="217"/>
      <c r="I2" s="217"/>
    </row>
    <row r="3" spans="1:10" s="40" customFormat="1" ht="30" customHeight="1" x14ac:dyDescent="0.2">
      <c r="A3" s="226" t="s">
        <v>518</v>
      </c>
      <c r="B3" s="227"/>
      <c r="C3" s="227"/>
      <c r="D3" s="227"/>
      <c r="E3" s="227"/>
      <c r="F3" s="227"/>
      <c r="G3" s="227"/>
      <c r="H3" s="227"/>
      <c r="I3" s="227"/>
    </row>
    <row r="4" spans="1:10" ht="14.25" customHeight="1" x14ac:dyDescent="0.2">
      <c r="G4" s="95"/>
      <c r="H4" s="95"/>
      <c r="I4" s="92" t="s">
        <v>160</v>
      </c>
    </row>
    <row r="5" spans="1:10" s="35" customFormat="1" ht="27.75" customHeight="1" x14ac:dyDescent="0.2">
      <c r="A5" s="237" t="s">
        <v>218</v>
      </c>
      <c r="B5" s="228" t="s">
        <v>217</v>
      </c>
      <c r="C5" s="229"/>
      <c r="D5" s="229"/>
      <c r="E5" s="229"/>
      <c r="F5" s="230"/>
      <c r="G5" s="231" t="s">
        <v>521</v>
      </c>
      <c r="H5" s="233" t="s">
        <v>500</v>
      </c>
      <c r="I5" s="235" t="s">
        <v>501</v>
      </c>
    </row>
    <row r="6" spans="1:10" s="35" customFormat="1" ht="48" customHeight="1" x14ac:dyDescent="0.2">
      <c r="A6" s="238"/>
      <c r="B6" s="39" t="s">
        <v>216</v>
      </c>
      <c r="C6" s="39" t="s">
        <v>159</v>
      </c>
      <c r="D6" s="39" t="s">
        <v>158</v>
      </c>
      <c r="E6" s="39" t="s">
        <v>157</v>
      </c>
      <c r="F6" s="39" t="s">
        <v>215</v>
      </c>
      <c r="G6" s="232"/>
      <c r="H6" s="234"/>
      <c r="I6" s="236"/>
    </row>
    <row r="7" spans="1:10" s="36" customFormat="1" ht="11.25" customHeight="1" x14ac:dyDescent="0.25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7">
        <v>7</v>
      </c>
      <c r="H7" s="37">
        <v>8</v>
      </c>
      <c r="I7" s="37">
        <v>9</v>
      </c>
    </row>
    <row r="8" spans="1:10" s="35" customFormat="1" ht="44.25" customHeight="1" x14ac:dyDescent="0.2">
      <c r="A8" s="45" t="s">
        <v>237</v>
      </c>
      <c r="B8" s="5" t="s">
        <v>213</v>
      </c>
      <c r="C8" s="3"/>
      <c r="D8" s="3"/>
      <c r="E8" s="3"/>
      <c r="F8" s="3"/>
      <c r="G8" s="47">
        <f>G9+G89</f>
        <v>385392.35898999998</v>
      </c>
      <c r="H8" s="47">
        <f>H9+H89</f>
        <v>72417.544479999997</v>
      </c>
      <c r="I8" s="47">
        <f>H8/G8*100</f>
        <v>18.790602042496403</v>
      </c>
      <c r="J8" s="64"/>
    </row>
    <row r="9" spans="1:10" ht="12.75" customHeight="1" x14ac:dyDescent="0.2">
      <c r="A9" s="4" t="s">
        <v>90</v>
      </c>
      <c r="B9" s="3" t="s">
        <v>213</v>
      </c>
      <c r="C9" s="3" t="s">
        <v>78</v>
      </c>
      <c r="D9" s="3"/>
      <c r="E9" s="3"/>
      <c r="F9" s="3"/>
      <c r="G9" s="48">
        <f>G26+G57+G63+G10+G48</f>
        <v>380337.45898999996</v>
      </c>
      <c r="H9" s="48">
        <f>H26+H57+H63+H10+H48</f>
        <v>71699.19068</v>
      </c>
      <c r="I9" s="48">
        <f t="shared" ref="I9:I74" si="0">H9/G9*100</f>
        <v>18.851467028885303</v>
      </c>
      <c r="J9" s="65"/>
    </row>
    <row r="10" spans="1:10" ht="12.75" customHeight="1" x14ac:dyDescent="0.2">
      <c r="A10" s="4" t="s">
        <v>89</v>
      </c>
      <c r="B10" s="3" t="s">
        <v>213</v>
      </c>
      <c r="C10" s="3" t="s">
        <v>78</v>
      </c>
      <c r="D10" s="3" t="s">
        <v>15</v>
      </c>
      <c r="E10" s="3"/>
      <c r="F10" s="3"/>
      <c r="G10" s="48">
        <f>G11</f>
        <v>83808.66767000001</v>
      </c>
      <c r="H10" s="48">
        <f t="shared" ref="H10" si="1">H11</f>
        <v>16272.15164</v>
      </c>
      <c r="I10" s="48">
        <f t="shared" si="0"/>
        <v>19.415833818134718</v>
      </c>
      <c r="J10" s="65"/>
    </row>
    <row r="11" spans="1:10" ht="49.5" customHeight="1" x14ac:dyDescent="0.2">
      <c r="A11" s="4" t="s">
        <v>337</v>
      </c>
      <c r="B11" s="3" t="s">
        <v>213</v>
      </c>
      <c r="C11" s="3" t="s">
        <v>78</v>
      </c>
      <c r="D11" s="3" t="s">
        <v>15</v>
      </c>
      <c r="E11" s="3" t="s">
        <v>402</v>
      </c>
      <c r="F11" s="3"/>
      <c r="G11" s="48">
        <f>G12+G23</f>
        <v>83808.66767000001</v>
      </c>
      <c r="H11" s="48">
        <f t="shared" ref="H11" si="2">H12+H23</f>
        <v>16272.15164</v>
      </c>
      <c r="I11" s="48">
        <f t="shared" si="0"/>
        <v>19.415833818134718</v>
      </c>
      <c r="J11" s="65"/>
    </row>
    <row r="12" spans="1:10" ht="53.25" customHeight="1" x14ac:dyDescent="0.2">
      <c r="A12" s="4" t="s">
        <v>338</v>
      </c>
      <c r="B12" s="3" t="s">
        <v>213</v>
      </c>
      <c r="C12" s="3" t="s">
        <v>78</v>
      </c>
      <c r="D12" s="3" t="s">
        <v>15</v>
      </c>
      <c r="E12" s="3" t="s">
        <v>401</v>
      </c>
      <c r="F12" s="3"/>
      <c r="G12" s="48">
        <f>G13+G19+G17+G15+G21</f>
        <v>81620.35500000001</v>
      </c>
      <c r="H12" s="48">
        <f t="shared" ref="H12" si="3">H13+H19+H17+H15+H21</f>
        <v>15472.31164</v>
      </c>
      <c r="I12" s="48">
        <f t="shared" si="0"/>
        <v>18.956437570015467</v>
      </c>
      <c r="J12" s="65"/>
    </row>
    <row r="13" spans="1:10" ht="24" customHeight="1" x14ac:dyDescent="0.2">
      <c r="A13" s="4" t="s">
        <v>214</v>
      </c>
      <c r="B13" s="3" t="s">
        <v>213</v>
      </c>
      <c r="C13" s="3" t="s">
        <v>78</v>
      </c>
      <c r="D13" s="3" t="s">
        <v>15</v>
      </c>
      <c r="E13" s="3" t="s">
        <v>403</v>
      </c>
      <c r="F13" s="3"/>
      <c r="G13" s="48">
        <f t="shared" ref="G13:H13" si="4">G14</f>
        <v>6573.01</v>
      </c>
      <c r="H13" s="48">
        <f t="shared" si="4"/>
        <v>1312.23162</v>
      </c>
      <c r="I13" s="48">
        <f t="shared" si="0"/>
        <v>19.963937678476071</v>
      </c>
      <c r="J13" s="65"/>
    </row>
    <row r="14" spans="1:10" ht="24" customHeight="1" x14ac:dyDescent="0.2">
      <c r="A14" s="4" t="s">
        <v>29</v>
      </c>
      <c r="B14" s="3" t="s">
        <v>213</v>
      </c>
      <c r="C14" s="3" t="s">
        <v>78</v>
      </c>
      <c r="D14" s="3" t="s">
        <v>15</v>
      </c>
      <c r="E14" s="3" t="s">
        <v>403</v>
      </c>
      <c r="F14" s="3" t="s">
        <v>26</v>
      </c>
      <c r="G14" s="48">
        <v>6573.01</v>
      </c>
      <c r="H14" s="48">
        <f>310+1002.23162</f>
        <v>1312.23162</v>
      </c>
      <c r="I14" s="48">
        <f t="shared" si="0"/>
        <v>19.963937678476071</v>
      </c>
      <c r="J14" s="65"/>
    </row>
    <row r="15" spans="1:10" ht="42" customHeight="1" x14ac:dyDescent="0.2">
      <c r="A15" s="4" t="s">
        <v>339</v>
      </c>
      <c r="B15" s="3" t="s">
        <v>213</v>
      </c>
      <c r="C15" s="3" t="s">
        <v>78</v>
      </c>
      <c r="D15" s="3" t="s">
        <v>15</v>
      </c>
      <c r="E15" s="3" t="s">
        <v>404</v>
      </c>
      <c r="F15" s="3"/>
      <c r="G15" s="48">
        <f t="shared" ref="G15:H15" si="5">G16</f>
        <v>12974.705</v>
      </c>
      <c r="H15" s="48">
        <f t="shared" si="5"/>
        <v>3754.6938</v>
      </c>
      <c r="I15" s="48">
        <f t="shared" si="0"/>
        <v>28.938567774758656</v>
      </c>
      <c r="J15" s="65"/>
    </row>
    <row r="16" spans="1:10" ht="24" customHeight="1" x14ac:dyDescent="0.2">
      <c r="A16" s="4" t="s">
        <v>29</v>
      </c>
      <c r="B16" s="3" t="s">
        <v>213</v>
      </c>
      <c r="C16" s="3" t="s">
        <v>78</v>
      </c>
      <c r="D16" s="3" t="s">
        <v>15</v>
      </c>
      <c r="E16" s="3" t="s">
        <v>404</v>
      </c>
      <c r="F16" s="90">
        <v>600</v>
      </c>
      <c r="G16" s="48">
        <f>10153.48+2821.225</f>
        <v>12974.705</v>
      </c>
      <c r="H16" s="48">
        <f>2990.24097+764.45283</f>
        <v>3754.6938</v>
      </c>
      <c r="I16" s="48">
        <f t="shared" si="0"/>
        <v>28.938567774758656</v>
      </c>
      <c r="J16" s="65"/>
    </row>
    <row r="17" spans="1:11" ht="38.25" customHeight="1" x14ac:dyDescent="0.2">
      <c r="A17" s="7" t="s">
        <v>86</v>
      </c>
      <c r="B17" s="3" t="s">
        <v>213</v>
      </c>
      <c r="C17" s="3" t="s">
        <v>78</v>
      </c>
      <c r="D17" s="3" t="s">
        <v>15</v>
      </c>
      <c r="E17" s="3" t="s">
        <v>405</v>
      </c>
      <c r="F17" s="3"/>
      <c r="G17" s="48">
        <f t="shared" ref="G17:H17" si="6">G18</f>
        <v>198</v>
      </c>
      <c r="H17" s="48">
        <f t="shared" si="6"/>
        <v>66</v>
      </c>
      <c r="I17" s="48">
        <f t="shared" si="0"/>
        <v>33.333333333333329</v>
      </c>
      <c r="J17" s="65"/>
    </row>
    <row r="18" spans="1:11" ht="24" customHeight="1" x14ac:dyDescent="0.2">
      <c r="A18" s="4" t="s">
        <v>29</v>
      </c>
      <c r="B18" s="3" t="s">
        <v>213</v>
      </c>
      <c r="C18" s="3" t="s">
        <v>78</v>
      </c>
      <c r="D18" s="3" t="s">
        <v>15</v>
      </c>
      <c r="E18" s="3" t="s">
        <v>405</v>
      </c>
      <c r="F18" s="3" t="s">
        <v>26</v>
      </c>
      <c r="G18" s="48">
        <v>198</v>
      </c>
      <c r="H18" s="48">
        <v>66</v>
      </c>
      <c r="I18" s="48">
        <f t="shared" si="0"/>
        <v>33.333333333333329</v>
      </c>
      <c r="J18" s="65"/>
    </row>
    <row r="19" spans="1:11" ht="24" customHeight="1" x14ac:dyDescent="0.2">
      <c r="A19" s="4" t="s">
        <v>322</v>
      </c>
      <c r="B19" s="3" t="s">
        <v>213</v>
      </c>
      <c r="C19" s="3" t="s">
        <v>78</v>
      </c>
      <c r="D19" s="3" t="s">
        <v>15</v>
      </c>
      <c r="E19" s="3" t="s">
        <v>407</v>
      </c>
      <c r="F19" s="3"/>
      <c r="G19" s="48">
        <f t="shared" ref="G19:H19" si="7">G20</f>
        <v>48325.4</v>
      </c>
      <c r="H19" s="48">
        <f t="shared" si="7"/>
        <v>8790.6915100000006</v>
      </c>
      <c r="I19" s="48">
        <f t="shared" si="0"/>
        <v>18.190623378182075</v>
      </c>
      <c r="J19" s="65"/>
    </row>
    <row r="20" spans="1:11" ht="24" customHeight="1" x14ac:dyDescent="0.2">
      <c r="A20" s="4" t="s">
        <v>29</v>
      </c>
      <c r="B20" s="3" t="s">
        <v>213</v>
      </c>
      <c r="C20" s="3" t="s">
        <v>78</v>
      </c>
      <c r="D20" s="3" t="s">
        <v>15</v>
      </c>
      <c r="E20" s="3" t="s">
        <v>407</v>
      </c>
      <c r="F20" s="3" t="s">
        <v>26</v>
      </c>
      <c r="G20" s="48">
        <f>32436+15889.4</f>
        <v>48325.4</v>
      </c>
      <c r="H20" s="48">
        <f>5909.38101+2881.3105</f>
        <v>8790.6915100000006</v>
      </c>
      <c r="I20" s="48">
        <f t="shared" si="0"/>
        <v>18.190623378182075</v>
      </c>
      <c r="J20" s="65"/>
    </row>
    <row r="21" spans="1:11" ht="24" customHeight="1" x14ac:dyDescent="0.2">
      <c r="A21" s="4" t="s">
        <v>453</v>
      </c>
      <c r="B21" s="3" t="s">
        <v>213</v>
      </c>
      <c r="C21" s="3" t="s">
        <v>78</v>
      </c>
      <c r="D21" s="3" t="s">
        <v>15</v>
      </c>
      <c r="E21" s="3" t="s">
        <v>459</v>
      </c>
      <c r="F21" s="3"/>
      <c r="G21" s="48">
        <f t="shared" ref="G21:H21" si="8">G22</f>
        <v>13549.24</v>
      </c>
      <c r="H21" s="48">
        <f t="shared" si="8"/>
        <v>1548.6947100000002</v>
      </c>
      <c r="I21" s="48">
        <f t="shared" si="0"/>
        <v>11.430122353726114</v>
      </c>
      <c r="J21" s="65"/>
    </row>
    <row r="22" spans="1:11" ht="24" customHeight="1" x14ac:dyDescent="0.2">
      <c r="A22" s="4" t="s">
        <v>29</v>
      </c>
      <c r="B22" s="3" t="s">
        <v>213</v>
      </c>
      <c r="C22" s="3" t="s">
        <v>78</v>
      </c>
      <c r="D22" s="3" t="s">
        <v>15</v>
      </c>
      <c r="E22" s="3" t="s">
        <v>459</v>
      </c>
      <c r="F22" s="3" t="s">
        <v>26</v>
      </c>
      <c r="G22" s="48">
        <f>10658.57+2890.67</f>
        <v>13549.24</v>
      </c>
      <c r="H22" s="48">
        <f>1091.70907+456.98564</f>
        <v>1548.6947100000002</v>
      </c>
      <c r="I22" s="48">
        <f t="shared" si="0"/>
        <v>11.430122353726114</v>
      </c>
      <c r="J22" s="65"/>
    </row>
    <row r="23" spans="1:11" ht="48" customHeight="1" x14ac:dyDescent="0.2">
      <c r="A23" s="4" t="s">
        <v>341</v>
      </c>
      <c r="B23" s="3" t="s">
        <v>213</v>
      </c>
      <c r="C23" s="3" t="s">
        <v>78</v>
      </c>
      <c r="D23" s="3" t="s">
        <v>15</v>
      </c>
      <c r="E23" s="3" t="s">
        <v>409</v>
      </c>
      <c r="F23" s="3"/>
      <c r="G23" s="48">
        <f>G24</f>
        <v>2188.3126699999998</v>
      </c>
      <c r="H23" s="48">
        <f t="shared" ref="H23:H24" si="9">H24</f>
        <v>799.84</v>
      </c>
      <c r="I23" s="48">
        <f t="shared" si="0"/>
        <v>36.550535532017925</v>
      </c>
      <c r="J23" s="65"/>
    </row>
    <row r="24" spans="1:11" ht="39.75" customHeight="1" x14ac:dyDescent="0.2">
      <c r="A24" s="4" t="s">
        <v>488</v>
      </c>
      <c r="B24" s="3" t="s">
        <v>213</v>
      </c>
      <c r="C24" s="3" t="s">
        <v>78</v>
      </c>
      <c r="D24" s="3" t="s">
        <v>15</v>
      </c>
      <c r="E24" s="3" t="s">
        <v>410</v>
      </c>
      <c r="F24" s="3"/>
      <c r="G24" s="48">
        <f>G25</f>
        <v>2188.3126699999998</v>
      </c>
      <c r="H24" s="48">
        <f t="shared" si="9"/>
        <v>799.84</v>
      </c>
      <c r="I24" s="48">
        <f t="shared" si="0"/>
        <v>36.550535532017925</v>
      </c>
      <c r="J24" s="65"/>
    </row>
    <row r="25" spans="1:11" ht="24" customHeight="1" x14ac:dyDescent="0.2">
      <c r="A25" s="4" t="s">
        <v>29</v>
      </c>
      <c r="B25" s="3" t="s">
        <v>213</v>
      </c>
      <c r="C25" s="3" t="s">
        <v>78</v>
      </c>
      <c r="D25" s="3" t="s">
        <v>15</v>
      </c>
      <c r="E25" s="3" t="s">
        <v>410</v>
      </c>
      <c r="F25" s="3" t="s">
        <v>26</v>
      </c>
      <c r="G25" s="48">
        <v>2188.3126699999998</v>
      </c>
      <c r="H25" s="48">
        <v>799.84</v>
      </c>
      <c r="I25" s="48">
        <f t="shared" si="0"/>
        <v>36.550535532017925</v>
      </c>
      <c r="J25" s="65"/>
    </row>
    <row r="26" spans="1:11" ht="12.75" customHeight="1" x14ac:dyDescent="0.2">
      <c r="A26" s="4" t="s">
        <v>88</v>
      </c>
      <c r="B26" s="3" t="s">
        <v>213</v>
      </c>
      <c r="C26" s="3" t="s">
        <v>78</v>
      </c>
      <c r="D26" s="3" t="s">
        <v>27</v>
      </c>
      <c r="E26" s="3"/>
      <c r="F26" s="3"/>
      <c r="G26" s="48">
        <f>G27+G46</f>
        <v>255757.68495</v>
      </c>
      <c r="H26" s="48">
        <f>H27+H46</f>
        <v>47637.859579999997</v>
      </c>
      <c r="I26" s="48">
        <f t="shared" si="0"/>
        <v>18.626169371728977</v>
      </c>
      <c r="J26" s="65"/>
    </row>
    <row r="27" spans="1:11" ht="49.5" customHeight="1" x14ac:dyDescent="0.2">
      <c r="A27" s="4" t="s">
        <v>337</v>
      </c>
      <c r="B27" s="3" t="s">
        <v>213</v>
      </c>
      <c r="C27" s="3" t="s">
        <v>78</v>
      </c>
      <c r="D27" s="3" t="s">
        <v>27</v>
      </c>
      <c r="E27" s="3" t="s">
        <v>402</v>
      </c>
      <c r="F27" s="3"/>
      <c r="G27" s="48">
        <f>G28+G43</f>
        <v>255745.18495</v>
      </c>
      <c r="H27" s="48">
        <f>H28+H43</f>
        <v>47625.359579999997</v>
      </c>
      <c r="I27" s="48">
        <f t="shared" si="0"/>
        <v>18.622192081274608</v>
      </c>
      <c r="J27" s="65"/>
    </row>
    <row r="28" spans="1:11" ht="53.25" customHeight="1" x14ac:dyDescent="0.2">
      <c r="A28" s="4" t="s">
        <v>338</v>
      </c>
      <c r="B28" s="3" t="s">
        <v>213</v>
      </c>
      <c r="C28" s="3" t="s">
        <v>78</v>
      </c>
      <c r="D28" s="3" t="s">
        <v>27</v>
      </c>
      <c r="E28" s="3" t="s">
        <v>401</v>
      </c>
      <c r="F28" s="3"/>
      <c r="G28" s="48">
        <f>G29+G37+G39+G33+G31+G41+G35</f>
        <v>250911.63569</v>
      </c>
      <c r="H28" s="48">
        <f t="shared" ref="H28" si="10">H29+H37+H39+H33+H31+H41+H35</f>
        <v>47625.359579999997</v>
      </c>
      <c r="I28" s="48">
        <f t="shared" si="0"/>
        <v>18.980929062548888</v>
      </c>
      <c r="J28" s="65"/>
    </row>
    <row r="29" spans="1:11" ht="24" customHeight="1" x14ac:dyDescent="0.2">
      <c r="A29" s="4" t="s">
        <v>214</v>
      </c>
      <c r="B29" s="3" t="s">
        <v>213</v>
      </c>
      <c r="C29" s="3" t="s">
        <v>78</v>
      </c>
      <c r="D29" s="3" t="s">
        <v>27</v>
      </c>
      <c r="E29" s="3" t="s">
        <v>403</v>
      </c>
      <c r="F29" s="3"/>
      <c r="G29" s="48">
        <f t="shared" ref="G29" si="11">G30</f>
        <v>41708.641000000003</v>
      </c>
      <c r="H29" s="48">
        <f>H30</f>
        <v>9089.9153600000009</v>
      </c>
      <c r="I29" s="48">
        <f t="shared" si="0"/>
        <v>21.793842096173787</v>
      </c>
      <c r="J29" s="65"/>
    </row>
    <row r="30" spans="1:11" ht="24" customHeight="1" x14ac:dyDescent="0.2">
      <c r="A30" s="4" t="s">
        <v>29</v>
      </c>
      <c r="B30" s="3" t="s">
        <v>213</v>
      </c>
      <c r="C30" s="3" t="s">
        <v>78</v>
      </c>
      <c r="D30" s="3" t="s">
        <v>27</v>
      </c>
      <c r="E30" s="3" t="s">
        <v>403</v>
      </c>
      <c r="F30" s="3" t="s">
        <v>26</v>
      </c>
      <c r="G30" s="48">
        <v>41708.641000000003</v>
      </c>
      <c r="H30" s="48">
        <f>8989.91536+100</f>
        <v>9089.9153600000009</v>
      </c>
      <c r="I30" s="48">
        <f t="shared" si="0"/>
        <v>21.793842096173787</v>
      </c>
      <c r="J30" s="2" t="e">
        <f>#REF!+#REF!</f>
        <v>#REF!</v>
      </c>
      <c r="K30" s="2">
        <f>21620.45+7307.6505+1002.3575</f>
        <v>29930.457999999999</v>
      </c>
    </row>
    <row r="31" spans="1:11" ht="42" customHeight="1" x14ac:dyDescent="0.2">
      <c r="A31" s="4" t="s">
        <v>339</v>
      </c>
      <c r="B31" s="3" t="s">
        <v>213</v>
      </c>
      <c r="C31" s="3" t="s">
        <v>78</v>
      </c>
      <c r="D31" s="3" t="s">
        <v>27</v>
      </c>
      <c r="E31" s="3" t="s">
        <v>404</v>
      </c>
      <c r="F31" s="3"/>
      <c r="G31" s="48">
        <f t="shared" ref="G31:H31" si="12">G32</f>
        <v>29027.271229999998</v>
      </c>
      <c r="H31" s="48">
        <f t="shared" si="12"/>
        <v>7269.9547899999998</v>
      </c>
      <c r="I31" s="48">
        <f t="shared" si="0"/>
        <v>25.045257380192261</v>
      </c>
      <c r="J31" s="65"/>
    </row>
    <row r="32" spans="1:11" ht="24" customHeight="1" x14ac:dyDescent="0.2">
      <c r="A32" s="4" t="s">
        <v>29</v>
      </c>
      <c r="B32" s="3" t="s">
        <v>213</v>
      </c>
      <c r="C32" s="3" t="s">
        <v>78</v>
      </c>
      <c r="D32" s="3" t="s">
        <v>27</v>
      </c>
      <c r="E32" s="3" t="s">
        <v>404</v>
      </c>
      <c r="F32" s="3" t="s">
        <v>26</v>
      </c>
      <c r="G32" s="48">
        <f>29027.27123</f>
        <v>29027.271229999998</v>
      </c>
      <c r="H32" s="48">
        <v>7269.9547899999998</v>
      </c>
      <c r="I32" s="48">
        <f t="shared" si="0"/>
        <v>25.045257380192261</v>
      </c>
      <c r="J32" s="65"/>
    </row>
    <row r="33" spans="1:10" ht="38.25" customHeight="1" x14ac:dyDescent="0.2">
      <c r="A33" s="7" t="s">
        <v>86</v>
      </c>
      <c r="B33" s="3" t="s">
        <v>213</v>
      </c>
      <c r="C33" s="3" t="s">
        <v>78</v>
      </c>
      <c r="D33" s="3" t="s">
        <v>27</v>
      </c>
      <c r="E33" s="3" t="s">
        <v>405</v>
      </c>
      <c r="F33" s="3"/>
      <c r="G33" s="48">
        <f t="shared" ref="G33" si="13">G34</f>
        <v>3002</v>
      </c>
      <c r="H33" s="48">
        <f>H34</f>
        <v>1000.668</v>
      </c>
      <c r="I33" s="48">
        <f t="shared" si="0"/>
        <v>33.333377748167884</v>
      </c>
      <c r="J33" s="65"/>
    </row>
    <row r="34" spans="1:10" ht="24" customHeight="1" x14ac:dyDescent="0.2">
      <c r="A34" s="4" t="s">
        <v>29</v>
      </c>
      <c r="B34" s="3" t="s">
        <v>213</v>
      </c>
      <c r="C34" s="3" t="s">
        <v>78</v>
      </c>
      <c r="D34" s="3" t="s">
        <v>27</v>
      </c>
      <c r="E34" s="3" t="s">
        <v>405</v>
      </c>
      <c r="F34" s="3" t="s">
        <v>26</v>
      </c>
      <c r="G34" s="48">
        <v>3002</v>
      </c>
      <c r="H34" s="48">
        <v>1000.668</v>
      </c>
      <c r="I34" s="48">
        <f t="shared" si="0"/>
        <v>33.333377748167884</v>
      </c>
      <c r="J34" s="65"/>
    </row>
    <row r="35" spans="1:10" ht="24" customHeight="1" x14ac:dyDescent="0.2">
      <c r="A35" s="4" t="s">
        <v>340</v>
      </c>
      <c r="B35" s="3" t="s">
        <v>213</v>
      </c>
      <c r="C35" s="3" t="s">
        <v>78</v>
      </c>
      <c r="D35" s="3" t="s">
        <v>27</v>
      </c>
      <c r="E35" s="3" t="s">
        <v>406</v>
      </c>
      <c r="F35" s="3"/>
      <c r="G35" s="48">
        <f t="shared" ref="G35:H35" si="14">G36</f>
        <v>2802.9591799999998</v>
      </c>
      <c r="H35" s="48">
        <f t="shared" si="14"/>
        <v>610.42200000000003</v>
      </c>
      <c r="I35" s="48">
        <f t="shared" si="0"/>
        <v>21.77776987818995</v>
      </c>
      <c r="J35" s="65"/>
    </row>
    <row r="36" spans="1:10" ht="24" customHeight="1" x14ac:dyDescent="0.2">
      <c r="A36" s="4" t="s">
        <v>29</v>
      </c>
      <c r="B36" s="3" t="s">
        <v>213</v>
      </c>
      <c r="C36" s="3" t="s">
        <v>78</v>
      </c>
      <c r="D36" s="3" t="s">
        <v>27</v>
      </c>
      <c r="E36" s="3" t="s">
        <v>406</v>
      </c>
      <c r="F36" s="3" t="s">
        <v>26</v>
      </c>
      <c r="G36" s="48">
        <f>2802.95918</f>
        <v>2802.9591799999998</v>
      </c>
      <c r="H36" s="48">
        <v>610.42200000000003</v>
      </c>
      <c r="I36" s="48">
        <f t="shared" si="0"/>
        <v>21.77776987818995</v>
      </c>
      <c r="J36" s="65"/>
    </row>
    <row r="37" spans="1:10" ht="24" customHeight="1" x14ac:dyDescent="0.2">
      <c r="A37" s="4" t="s">
        <v>322</v>
      </c>
      <c r="B37" s="3" t="s">
        <v>213</v>
      </c>
      <c r="C37" s="3" t="s">
        <v>78</v>
      </c>
      <c r="D37" s="3" t="s">
        <v>27</v>
      </c>
      <c r="E37" s="3" t="s">
        <v>407</v>
      </c>
      <c r="F37" s="3"/>
      <c r="G37" s="48">
        <f t="shared" ref="G37:H37" si="15">G38</f>
        <v>142055.29999999999</v>
      </c>
      <c r="H37" s="48">
        <f t="shared" si="15"/>
        <v>26074.171129999999</v>
      </c>
      <c r="I37" s="48">
        <f t="shared" si="0"/>
        <v>18.354944257623615</v>
      </c>
      <c r="J37" s="65"/>
    </row>
    <row r="38" spans="1:10" ht="24" customHeight="1" x14ac:dyDescent="0.2">
      <c r="A38" s="4" t="s">
        <v>29</v>
      </c>
      <c r="B38" s="3" t="s">
        <v>213</v>
      </c>
      <c r="C38" s="3" t="s">
        <v>78</v>
      </c>
      <c r="D38" s="3" t="s">
        <v>27</v>
      </c>
      <c r="E38" s="3" t="s">
        <v>407</v>
      </c>
      <c r="F38" s="3" t="s">
        <v>26</v>
      </c>
      <c r="G38" s="48">
        <v>142055.29999999999</v>
      </c>
      <c r="H38" s="48">
        <v>26074.171129999999</v>
      </c>
      <c r="I38" s="48">
        <f t="shared" si="0"/>
        <v>18.354944257623615</v>
      </c>
      <c r="J38" s="65"/>
    </row>
    <row r="39" spans="1:10" ht="36" customHeight="1" x14ac:dyDescent="0.2">
      <c r="A39" s="4" t="s">
        <v>225</v>
      </c>
      <c r="B39" s="3" t="s">
        <v>213</v>
      </c>
      <c r="C39" s="3" t="s">
        <v>78</v>
      </c>
      <c r="D39" s="3" t="s">
        <v>27</v>
      </c>
      <c r="E39" s="3" t="s">
        <v>408</v>
      </c>
      <c r="F39" s="3"/>
      <c r="G39" s="48">
        <f t="shared" ref="G39:H39" si="16">G40</f>
        <v>1126.83673</v>
      </c>
      <c r="H39" s="48">
        <f t="shared" si="16"/>
        <v>117.87126000000001</v>
      </c>
      <c r="I39" s="48">
        <f t="shared" si="0"/>
        <v>10.460367226403775</v>
      </c>
      <c r="J39" s="65"/>
    </row>
    <row r="40" spans="1:10" ht="24" customHeight="1" x14ac:dyDescent="0.2">
      <c r="A40" s="4" t="s">
        <v>29</v>
      </c>
      <c r="B40" s="3" t="s">
        <v>213</v>
      </c>
      <c r="C40" s="3" t="s">
        <v>78</v>
      </c>
      <c r="D40" s="3" t="s">
        <v>27</v>
      </c>
      <c r="E40" s="3" t="s">
        <v>408</v>
      </c>
      <c r="F40" s="3" t="s">
        <v>26</v>
      </c>
      <c r="G40" s="48">
        <v>1126.83673</v>
      </c>
      <c r="H40" s="48">
        <v>117.87126000000001</v>
      </c>
      <c r="I40" s="48">
        <f t="shared" si="0"/>
        <v>10.460367226403775</v>
      </c>
      <c r="J40" s="65"/>
    </row>
    <row r="41" spans="1:10" ht="24" customHeight="1" x14ac:dyDescent="0.2">
      <c r="A41" s="4" t="s">
        <v>453</v>
      </c>
      <c r="B41" s="3" t="s">
        <v>213</v>
      </c>
      <c r="C41" s="3" t="s">
        <v>78</v>
      </c>
      <c r="D41" s="3" t="s">
        <v>27</v>
      </c>
      <c r="E41" s="3" t="s">
        <v>459</v>
      </c>
      <c r="F41" s="3"/>
      <c r="G41" s="48">
        <f t="shared" ref="G41:H41" si="17">G42</f>
        <v>31188.627550000001</v>
      </c>
      <c r="H41" s="48">
        <f t="shared" si="17"/>
        <v>3462.3570399999999</v>
      </c>
      <c r="I41" s="48">
        <f t="shared" si="0"/>
        <v>11.101344663048501</v>
      </c>
      <c r="J41" s="65"/>
    </row>
    <row r="42" spans="1:10" ht="24" customHeight="1" x14ac:dyDescent="0.2">
      <c r="A42" s="4" t="s">
        <v>29</v>
      </c>
      <c r="B42" s="3" t="s">
        <v>213</v>
      </c>
      <c r="C42" s="3" t="s">
        <v>78</v>
      </c>
      <c r="D42" s="3" t="s">
        <v>27</v>
      </c>
      <c r="E42" s="3" t="s">
        <v>459</v>
      </c>
      <c r="F42" s="3" t="s">
        <v>26</v>
      </c>
      <c r="G42" s="48">
        <v>31188.627550000001</v>
      </c>
      <c r="H42" s="48">
        <v>3462.3570399999999</v>
      </c>
      <c r="I42" s="48">
        <f t="shared" si="0"/>
        <v>11.101344663048501</v>
      </c>
      <c r="J42" s="65"/>
    </row>
    <row r="43" spans="1:10" ht="48" customHeight="1" x14ac:dyDescent="0.2">
      <c r="A43" s="4" t="s">
        <v>341</v>
      </c>
      <c r="B43" s="3" t="s">
        <v>213</v>
      </c>
      <c r="C43" s="3" t="s">
        <v>78</v>
      </c>
      <c r="D43" s="3" t="s">
        <v>27</v>
      </c>
      <c r="E43" s="3" t="s">
        <v>409</v>
      </c>
      <c r="F43" s="3"/>
      <c r="G43" s="48">
        <f>G44</f>
        <v>4833.5492599999998</v>
      </c>
      <c r="H43" s="48">
        <f t="shared" ref="H43" si="18">H44</f>
        <v>0</v>
      </c>
      <c r="I43" s="48">
        <f t="shared" si="0"/>
        <v>0</v>
      </c>
      <c r="J43" s="65"/>
    </row>
    <row r="44" spans="1:10" ht="36" customHeight="1" x14ac:dyDescent="0.2">
      <c r="A44" s="4" t="s">
        <v>342</v>
      </c>
      <c r="B44" s="3" t="s">
        <v>213</v>
      </c>
      <c r="C44" s="3" t="s">
        <v>78</v>
      </c>
      <c r="D44" s="3" t="s">
        <v>27</v>
      </c>
      <c r="E44" s="3" t="s">
        <v>460</v>
      </c>
      <c r="F44" s="3"/>
      <c r="G44" s="48">
        <f t="shared" ref="G44:H44" si="19">G45</f>
        <v>4833.5492599999998</v>
      </c>
      <c r="H44" s="48">
        <f t="shared" si="19"/>
        <v>0</v>
      </c>
      <c r="I44" s="48">
        <f t="shared" si="0"/>
        <v>0</v>
      </c>
      <c r="J44" s="65"/>
    </row>
    <row r="45" spans="1:10" ht="36" customHeight="1" x14ac:dyDescent="0.2">
      <c r="A45" s="4" t="s">
        <v>29</v>
      </c>
      <c r="B45" s="3" t="s">
        <v>213</v>
      </c>
      <c r="C45" s="3" t="s">
        <v>78</v>
      </c>
      <c r="D45" s="3" t="s">
        <v>27</v>
      </c>
      <c r="E45" s="3" t="s">
        <v>460</v>
      </c>
      <c r="F45" s="3" t="s">
        <v>26</v>
      </c>
      <c r="G45" s="48">
        <v>4833.5492599999998</v>
      </c>
      <c r="H45" s="48"/>
      <c r="I45" s="48">
        <f t="shared" si="0"/>
        <v>0</v>
      </c>
      <c r="J45" s="65"/>
    </row>
    <row r="46" spans="1:10" ht="36" customHeight="1" x14ac:dyDescent="0.2">
      <c r="A46" s="4" t="s">
        <v>46</v>
      </c>
      <c r="B46" s="3" t="s">
        <v>213</v>
      </c>
      <c r="C46" s="3" t="s">
        <v>78</v>
      </c>
      <c r="D46" s="3" t="s">
        <v>27</v>
      </c>
      <c r="E46" s="3" t="s">
        <v>44</v>
      </c>
      <c r="F46" s="3"/>
      <c r="G46" s="48">
        <f>G47</f>
        <v>12.5</v>
      </c>
      <c r="H46" s="48">
        <f>H47</f>
        <v>12.5</v>
      </c>
      <c r="I46" s="48">
        <f t="shared" si="0"/>
        <v>100</v>
      </c>
      <c r="J46" s="65"/>
    </row>
    <row r="47" spans="1:10" ht="36" customHeight="1" x14ac:dyDescent="0.2">
      <c r="A47" s="4" t="s">
        <v>29</v>
      </c>
      <c r="B47" s="3" t="s">
        <v>213</v>
      </c>
      <c r="C47" s="3" t="s">
        <v>78</v>
      </c>
      <c r="D47" s="3" t="s">
        <v>27</v>
      </c>
      <c r="E47" s="3" t="s">
        <v>44</v>
      </c>
      <c r="F47" s="3" t="s">
        <v>26</v>
      </c>
      <c r="G47" s="48">
        <v>12.5</v>
      </c>
      <c r="H47" s="48">
        <v>12.5</v>
      </c>
      <c r="I47" s="48">
        <f t="shared" si="0"/>
        <v>100</v>
      </c>
      <c r="J47" s="65"/>
    </row>
    <row r="48" spans="1:10" ht="12.75" customHeight="1" x14ac:dyDescent="0.2">
      <c r="A48" s="4" t="s">
        <v>232</v>
      </c>
      <c r="B48" s="3" t="s">
        <v>213</v>
      </c>
      <c r="C48" s="3" t="s">
        <v>78</v>
      </c>
      <c r="D48" s="3" t="s">
        <v>6</v>
      </c>
      <c r="E48" s="3"/>
      <c r="F48" s="3"/>
      <c r="G48" s="48">
        <f>G49</f>
        <v>23635.846370000003</v>
      </c>
      <c r="H48" s="48">
        <f t="shared" ref="H48" si="20">H49</f>
        <v>4481.6869100000004</v>
      </c>
      <c r="I48" s="48">
        <f t="shared" si="0"/>
        <v>18.961398038567467</v>
      </c>
      <c r="J48" s="65"/>
    </row>
    <row r="49" spans="1:10" ht="57.75" customHeight="1" x14ac:dyDescent="0.2">
      <c r="A49" s="4" t="s">
        <v>343</v>
      </c>
      <c r="B49" s="3" t="s">
        <v>213</v>
      </c>
      <c r="C49" s="3" t="s">
        <v>78</v>
      </c>
      <c r="D49" s="3" t="s">
        <v>6</v>
      </c>
      <c r="E49" s="3" t="s">
        <v>411</v>
      </c>
      <c r="F49" s="3"/>
      <c r="G49" s="48">
        <f t="shared" ref="G49" si="21">G50</f>
        <v>23635.846370000003</v>
      </c>
      <c r="H49" s="48">
        <f>H50</f>
        <v>4481.6869100000004</v>
      </c>
      <c r="I49" s="48">
        <f t="shared" si="0"/>
        <v>18.961398038567467</v>
      </c>
      <c r="J49" s="65"/>
    </row>
    <row r="50" spans="1:10" ht="24" customHeight="1" x14ac:dyDescent="0.2">
      <c r="A50" s="4" t="s">
        <v>85</v>
      </c>
      <c r="B50" s="3" t="s">
        <v>213</v>
      </c>
      <c r="C50" s="3" t="s">
        <v>78</v>
      </c>
      <c r="D50" s="3" t="s">
        <v>6</v>
      </c>
      <c r="E50" s="3" t="s">
        <v>412</v>
      </c>
      <c r="F50" s="3"/>
      <c r="G50" s="48">
        <f>G51+G53+G55</f>
        <v>23635.846370000003</v>
      </c>
      <c r="H50" s="48">
        <f>H51+H53+H55</f>
        <v>4481.6869100000004</v>
      </c>
      <c r="I50" s="48">
        <f t="shared" si="0"/>
        <v>18.961398038567467</v>
      </c>
      <c r="J50" s="65"/>
    </row>
    <row r="51" spans="1:10" ht="24" customHeight="1" x14ac:dyDescent="0.2">
      <c r="A51" s="4" t="s">
        <v>344</v>
      </c>
      <c r="B51" s="3" t="s">
        <v>213</v>
      </c>
      <c r="C51" s="3" t="s">
        <v>78</v>
      </c>
      <c r="D51" s="3" t="s">
        <v>6</v>
      </c>
      <c r="E51" s="3" t="s">
        <v>413</v>
      </c>
      <c r="F51" s="3"/>
      <c r="G51" s="48">
        <f t="shared" ref="G51:H51" si="22">G52</f>
        <v>14726.199000000001</v>
      </c>
      <c r="H51" s="48">
        <f t="shared" si="22"/>
        <v>2679.7628100000002</v>
      </c>
      <c r="I51" s="48">
        <f t="shared" si="0"/>
        <v>18.197247028917644</v>
      </c>
      <c r="J51" s="65"/>
    </row>
    <row r="52" spans="1:10" ht="24" customHeight="1" x14ac:dyDescent="0.2">
      <c r="A52" s="4" t="s">
        <v>29</v>
      </c>
      <c r="B52" s="3" t="s">
        <v>213</v>
      </c>
      <c r="C52" s="3" t="s">
        <v>78</v>
      </c>
      <c r="D52" s="3" t="s">
        <v>6</v>
      </c>
      <c r="E52" s="3" t="s">
        <v>413</v>
      </c>
      <c r="F52" s="3" t="s">
        <v>26</v>
      </c>
      <c r="G52" s="48">
        <v>14726.199000000001</v>
      </c>
      <c r="H52" s="48">
        <v>2679.7628100000002</v>
      </c>
      <c r="I52" s="48">
        <f t="shared" si="0"/>
        <v>18.197247028917644</v>
      </c>
      <c r="J52" s="65"/>
    </row>
    <row r="53" spans="1:10" ht="24" customHeight="1" x14ac:dyDescent="0.2">
      <c r="A53" s="4" t="s">
        <v>345</v>
      </c>
      <c r="B53" s="3" t="s">
        <v>213</v>
      </c>
      <c r="C53" s="3" t="s">
        <v>78</v>
      </c>
      <c r="D53" s="3" t="s">
        <v>6</v>
      </c>
      <c r="E53" s="3" t="s">
        <v>447</v>
      </c>
      <c r="F53" s="3"/>
      <c r="G53" s="48">
        <f t="shared" ref="G53:H53" si="23">G54</f>
        <v>6278.3088500000003</v>
      </c>
      <c r="H53" s="48">
        <f t="shared" si="23"/>
        <v>1411.55178</v>
      </c>
      <c r="I53" s="48">
        <f t="shared" si="0"/>
        <v>22.482993648839049</v>
      </c>
      <c r="J53" s="65"/>
    </row>
    <row r="54" spans="1:10" ht="36" customHeight="1" x14ac:dyDescent="0.2">
      <c r="A54" s="4" t="s">
        <v>29</v>
      </c>
      <c r="B54" s="3" t="s">
        <v>213</v>
      </c>
      <c r="C54" s="3" t="s">
        <v>78</v>
      </c>
      <c r="D54" s="3" t="s">
        <v>6</v>
      </c>
      <c r="E54" s="3" t="s">
        <v>447</v>
      </c>
      <c r="F54" s="3" t="s">
        <v>26</v>
      </c>
      <c r="G54" s="48">
        <v>6278.3088500000003</v>
      </c>
      <c r="H54" s="48">
        <v>1411.55178</v>
      </c>
      <c r="I54" s="48">
        <f t="shared" si="0"/>
        <v>22.482993648839049</v>
      </c>
      <c r="J54" s="65"/>
    </row>
    <row r="55" spans="1:10" ht="24" customHeight="1" x14ac:dyDescent="0.2">
      <c r="A55" s="4" t="s">
        <v>453</v>
      </c>
      <c r="B55" s="3" t="s">
        <v>213</v>
      </c>
      <c r="C55" s="3" t="s">
        <v>78</v>
      </c>
      <c r="D55" s="3" t="s">
        <v>6</v>
      </c>
      <c r="E55" s="3" t="s">
        <v>451</v>
      </c>
      <c r="F55" s="3"/>
      <c r="G55" s="78">
        <f t="shared" ref="G55:H55" si="24">G56</f>
        <v>2631.3385199999998</v>
      </c>
      <c r="H55" s="78">
        <f t="shared" si="24"/>
        <v>390.37232</v>
      </c>
      <c r="I55" s="48">
        <f t="shared" si="0"/>
        <v>14.835503567211111</v>
      </c>
      <c r="J55" s="65"/>
    </row>
    <row r="56" spans="1:10" ht="34.5" customHeight="1" x14ac:dyDescent="0.2">
      <c r="A56" s="4" t="s">
        <v>29</v>
      </c>
      <c r="B56" s="3" t="s">
        <v>213</v>
      </c>
      <c r="C56" s="3" t="s">
        <v>78</v>
      </c>
      <c r="D56" s="3" t="s">
        <v>6</v>
      </c>
      <c r="E56" s="3" t="s">
        <v>451</v>
      </c>
      <c r="F56" s="3" t="s">
        <v>26</v>
      </c>
      <c r="G56" s="48">
        <v>2631.3385199999998</v>
      </c>
      <c r="H56" s="78">
        <f>52.13167+338.24065</f>
        <v>390.37232</v>
      </c>
      <c r="I56" s="48">
        <f t="shared" si="0"/>
        <v>14.835503567211111</v>
      </c>
      <c r="J56" s="65"/>
    </row>
    <row r="57" spans="1:10" ht="12.75" customHeight="1" x14ac:dyDescent="0.2">
      <c r="A57" s="4" t="s">
        <v>84</v>
      </c>
      <c r="B57" s="3" t="s">
        <v>213</v>
      </c>
      <c r="C57" s="3" t="s">
        <v>78</v>
      </c>
      <c r="D57" s="3" t="s">
        <v>78</v>
      </c>
      <c r="E57" s="3"/>
      <c r="F57" s="3"/>
      <c r="G57" s="48">
        <f>G58</f>
        <v>1431.5</v>
      </c>
      <c r="H57" s="48">
        <f t="shared" ref="H57" si="25">H58</f>
        <v>0</v>
      </c>
      <c r="I57" s="48">
        <f t="shared" si="0"/>
        <v>0</v>
      </c>
      <c r="J57" s="65"/>
    </row>
    <row r="58" spans="1:10" ht="60" customHeight="1" x14ac:dyDescent="0.2">
      <c r="A58" s="4" t="s">
        <v>343</v>
      </c>
      <c r="B58" s="3" t="s">
        <v>213</v>
      </c>
      <c r="C58" s="3" t="s">
        <v>78</v>
      </c>
      <c r="D58" s="3" t="s">
        <v>78</v>
      </c>
      <c r="E58" s="3" t="s">
        <v>411</v>
      </c>
      <c r="F58" s="3"/>
      <c r="G58" s="73">
        <f>G59</f>
        <v>1431.5</v>
      </c>
      <c r="H58" s="73">
        <f t="shared" ref="H58:H59" si="26">H59</f>
        <v>0</v>
      </c>
      <c r="I58" s="48">
        <f t="shared" si="0"/>
        <v>0</v>
      </c>
      <c r="J58" s="65"/>
    </row>
    <row r="59" spans="1:10" ht="26.25" customHeight="1" x14ac:dyDescent="0.2">
      <c r="A59" s="4" t="s">
        <v>346</v>
      </c>
      <c r="B59" s="3" t="s">
        <v>213</v>
      </c>
      <c r="C59" s="3" t="s">
        <v>78</v>
      </c>
      <c r="D59" s="3" t="s">
        <v>78</v>
      </c>
      <c r="E59" s="3" t="s">
        <v>414</v>
      </c>
      <c r="F59" s="3"/>
      <c r="G59" s="73">
        <f>G60</f>
        <v>1431.5</v>
      </c>
      <c r="H59" s="73">
        <f t="shared" si="26"/>
        <v>0</v>
      </c>
      <c r="I59" s="48">
        <f t="shared" si="0"/>
        <v>0</v>
      </c>
      <c r="J59" s="65"/>
    </row>
    <row r="60" spans="1:10" ht="36" customHeight="1" x14ac:dyDescent="0.2">
      <c r="A60" s="4" t="s">
        <v>323</v>
      </c>
      <c r="B60" s="3" t="s">
        <v>213</v>
      </c>
      <c r="C60" s="3" t="s">
        <v>78</v>
      </c>
      <c r="D60" s="3" t="s">
        <v>78</v>
      </c>
      <c r="E60" s="3" t="s">
        <v>415</v>
      </c>
      <c r="F60" s="3"/>
      <c r="G60" s="73">
        <f>G62+G61</f>
        <v>1431.5</v>
      </c>
      <c r="H60" s="73">
        <f t="shared" ref="H60" si="27">H62+H61</f>
        <v>0</v>
      </c>
      <c r="I60" s="48">
        <f t="shared" si="0"/>
        <v>0</v>
      </c>
      <c r="J60" s="65"/>
    </row>
    <row r="61" spans="1:10" ht="12.75" customHeight="1" x14ac:dyDescent="0.2">
      <c r="A61" s="7" t="s">
        <v>45</v>
      </c>
      <c r="B61" s="3" t="s">
        <v>213</v>
      </c>
      <c r="C61" s="3" t="s">
        <v>78</v>
      </c>
      <c r="D61" s="3" t="s">
        <v>78</v>
      </c>
      <c r="E61" s="3" t="s">
        <v>415</v>
      </c>
      <c r="F61" s="3" t="s">
        <v>43</v>
      </c>
      <c r="G61" s="48">
        <v>278</v>
      </c>
      <c r="H61" s="73"/>
      <c r="I61" s="48">
        <f t="shared" si="0"/>
        <v>0</v>
      </c>
      <c r="J61" s="65"/>
    </row>
    <row r="62" spans="1:10" ht="24" customHeight="1" x14ac:dyDescent="0.2">
      <c r="A62" s="4" t="s">
        <v>29</v>
      </c>
      <c r="B62" s="3" t="s">
        <v>213</v>
      </c>
      <c r="C62" s="3" t="s">
        <v>78</v>
      </c>
      <c r="D62" s="3" t="s">
        <v>78</v>
      </c>
      <c r="E62" s="3" t="s">
        <v>415</v>
      </c>
      <c r="F62" s="3" t="s">
        <v>26</v>
      </c>
      <c r="G62" s="48">
        <v>1153.5</v>
      </c>
      <c r="H62" s="73"/>
      <c r="I62" s="48">
        <f t="shared" si="0"/>
        <v>0</v>
      </c>
      <c r="J62" s="65"/>
    </row>
    <row r="63" spans="1:10" ht="12.75" customHeight="1" x14ac:dyDescent="0.2">
      <c r="A63" s="4" t="s">
        <v>83</v>
      </c>
      <c r="B63" s="3" t="s">
        <v>213</v>
      </c>
      <c r="C63" s="3" t="s">
        <v>78</v>
      </c>
      <c r="D63" s="3" t="s">
        <v>67</v>
      </c>
      <c r="E63" s="3"/>
      <c r="F63" s="3"/>
      <c r="G63" s="48">
        <f>G64+G70+G79</f>
        <v>15703.760000000002</v>
      </c>
      <c r="H63" s="48">
        <f t="shared" ref="H63" si="28">H64+H70+H79</f>
        <v>3307.4925499999999</v>
      </c>
      <c r="I63" s="48">
        <f t="shared" si="0"/>
        <v>21.061787431799768</v>
      </c>
      <c r="J63" s="65"/>
    </row>
    <row r="64" spans="1:10" ht="48" customHeight="1" x14ac:dyDescent="0.2">
      <c r="A64" s="4" t="s">
        <v>347</v>
      </c>
      <c r="B64" s="3" t="s">
        <v>213</v>
      </c>
      <c r="C64" s="3" t="s">
        <v>78</v>
      </c>
      <c r="D64" s="3" t="s">
        <v>67</v>
      </c>
      <c r="E64" s="3" t="s">
        <v>416</v>
      </c>
      <c r="F64" s="3"/>
      <c r="G64" s="48">
        <f>G65+G68</f>
        <v>1142.2</v>
      </c>
      <c r="H64" s="48">
        <f>H65+H68</f>
        <v>329.23804000000001</v>
      </c>
      <c r="I64" s="48">
        <f t="shared" si="0"/>
        <v>28.824902819120997</v>
      </c>
      <c r="J64" s="65"/>
    </row>
    <row r="65" spans="1:10" ht="37.5" customHeight="1" x14ac:dyDescent="0.2">
      <c r="A65" s="4" t="s">
        <v>240</v>
      </c>
      <c r="B65" s="3" t="s">
        <v>213</v>
      </c>
      <c r="C65" s="3" t="s">
        <v>78</v>
      </c>
      <c r="D65" s="3" t="s">
        <v>67</v>
      </c>
      <c r="E65" s="3" t="s">
        <v>417</v>
      </c>
      <c r="F65" s="3"/>
      <c r="G65" s="48">
        <f t="shared" ref="G65:H68" si="29">G66</f>
        <v>1107.46</v>
      </c>
      <c r="H65" s="48">
        <f t="shared" si="29"/>
        <v>329.23804000000001</v>
      </c>
      <c r="I65" s="48">
        <f t="shared" si="0"/>
        <v>29.729113466852077</v>
      </c>
      <c r="J65" s="65"/>
    </row>
    <row r="66" spans="1:10" ht="24" customHeight="1" x14ac:dyDescent="0.2">
      <c r="A66" s="4" t="s">
        <v>81</v>
      </c>
      <c r="B66" s="3" t="s">
        <v>213</v>
      </c>
      <c r="C66" s="3" t="s">
        <v>78</v>
      </c>
      <c r="D66" s="3" t="s">
        <v>67</v>
      </c>
      <c r="E66" s="3" t="s">
        <v>418</v>
      </c>
      <c r="F66" s="3"/>
      <c r="G66" s="48">
        <f t="shared" si="29"/>
        <v>1107.46</v>
      </c>
      <c r="H66" s="48">
        <f t="shared" si="29"/>
        <v>329.23804000000001</v>
      </c>
      <c r="I66" s="48">
        <f t="shared" si="0"/>
        <v>29.729113466852077</v>
      </c>
      <c r="J66" s="65"/>
    </row>
    <row r="67" spans="1:10" ht="60" customHeight="1" x14ac:dyDescent="0.2">
      <c r="A67" s="4" t="s">
        <v>38</v>
      </c>
      <c r="B67" s="3" t="s">
        <v>213</v>
      </c>
      <c r="C67" s="3" t="s">
        <v>78</v>
      </c>
      <c r="D67" s="3" t="s">
        <v>67</v>
      </c>
      <c r="E67" s="3" t="s">
        <v>418</v>
      </c>
      <c r="F67" s="3" t="s">
        <v>34</v>
      </c>
      <c r="G67" s="48">
        <f>820.584+286.876</f>
        <v>1107.46</v>
      </c>
      <c r="H67" s="48">
        <f>253.99063+75.24741</f>
        <v>329.23804000000001</v>
      </c>
      <c r="I67" s="48">
        <f t="shared" si="0"/>
        <v>29.729113466852077</v>
      </c>
      <c r="J67" s="65"/>
    </row>
    <row r="68" spans="1:10" ht="24" customHeight="1" x14ac:dyDescent="0.2">
      <c r="A68" s="4" t="s">
        <v>453</v>
      </c>
      <c r="B68" s="3" t="s">
        <v>213</v>
      </c>
      <c r="C68" s="3" t="s">
        <v>78</v>
      </c>
      <c r="D68" s="3" t="s">
        <v>67</v>
      </c>
      <c r="E68" s="3" t="s">
        <v>462</v>
      </c>
      <c r="F68" s="3"/>
      <c r="G68" s="48">
        <f>G69</f>
        <v>34.739999999999995</v>
      </c>
      <c r="H68" s="48">
        <f t="shared" si="29"/>
        <v>0</v>
      </c>
      <c r="I68" s="48">
        <f t="shared" si="0"/>
        <v>0</v>
      </c>
      <c r="J68" s="65"/>
    </row>
    <row r="69" spans="1:10" ht="60" customHeight="1" x14ac:dyDescent="0.2">
      <c r="A69" s="4" t="s">
        <v>38</v>
      </c>
      <c r="B69" s="3" t="s">
        <v>213</v>
      </c>
      <c r="C69" s="3" t="s">
        <v>78</v>
      </c>
      <c r="D69" s="3" t="s">
        <v>67</v>
      </c>
      <c r="E69" s="3" t="s">
        <v>462</v>
      </c>
      <c r="F69" s="3" t="s">
        <v>34</v>
      </c>
      <c r="G69" s="48">
        <f>26.682+8.058</f>
        <v>34.739999999999995</v>
      </c>
      <c r="H69" s="48"/>
      <c r="I69" s="48">
        <f t="shared" si="0"/>
        <v>0</v>
      </c>
      <c r="J69" s="65"/>
    </row>
    <row r="70" spans="1:10" ht="73.5" customHeight="1" x14ac:dyDescent="0.2">
      <c r="A70" s="4" t="s">
        <v>348</v>
      </c>
      <c r="B70" s="3" t="s">
        <v>213</v>
      </c>
      <c r="C70" s="3" t="s">
        <v>78</v>
      </c>
      <c r="D70" s="3" t="s">
        <v>67</v>
      </c>
      <c r="E70" s="3" t="s">
        <v>419</v>
      </c>
      <c r="F70" s="3"/>
      <c r="G70" s="48">
        <f>G71+G77</f>
        <v>4160.3410000000003</v>
      </c>
      <c r="H70" s="48">
        <f>H71+H77</f>
        <v>545.98363999999992</v>
      </c>
      <c r="I70" s="48">
        <f t="shared" si="0"/>
        <v>13.123530979792278</v>
      </c>
      <c r="J70" s="65"/>
    </row>
    <row r="71" spans="1:10" ht="37.5" customHeight="1" x14ac:dyDescent="0.2">
      <c r="A71" s="4" t="s">
        <v>241</v>
      </c>
      <c r="B71" s="3" t="s">
        <v>213</v>
      </c>
      <c r="C71" s="3" t="s">
        <v>78</v>
      </c>
      <c r="D71" s="3" t="s">
        <v>67</v>
      </c>
      <c r="E71" s="3" t="s">
        <v>420</v>
      </c>
      <c r="F71" s="3"/>
      <c r="G71" s="48">
        <f>G72+G74</f>
        <v>3790.373</v>
      </c>
      <c r="H71" s="48">
        <f t="shared" ref="H71" si="30">H72+H74</f>
        <v>510.65985999999998</v>
      </c>
      <c r="I71" s="48">
        <f t="shared" si="0"/>
        <v>13.472549007709794</v>
      </c>
      <c r="J71" s="65"/>
    </row>
    <row r="72" spans="1:10" ht="24" customHeight="1" x14ac:dyDescent="0.2">
      <c r="A72" s="4" t="s">
        <v>81</v>
      </c>
      <c r="B72" s="3" t="s">
        <v>213</v>
      </c>
      <c r="C72" s="3" t="s">
        <v>78</v>
      </c>
      <c r="D72" s="3" t="s">
        <v>67</v>
      </c>
      <c r="E72" s="3" t="s">
        <v>421</v>
      </c>
      <c r="F72" s="3"/>
      <c r="G72" s="48">
        <f t="shared" ref="G72:H72" si="31">G73</f>
        <v>1839.7329999999999</v>
      </c>
      <c r="H72" s="48">
        <f t="shared" si="31"/>
        <v>391.64328</v>
      </c>
      <c r="I72" s="48">
        <f t="shared" si="0"/>
        <v>21.288049950726545</v>
      </c>
      <c r="J72" s="65"/>
    </row>
    <row r="73" spans="1:10" ht="60" customHeight="1" x14ac:dyDescent="0.2">
      <c r="A73" s="4" t="s">
        <v>38</v>
      </c>
      <c r="B73" s="3" t="s">
        <v>213</v>
      </c>
      <c r="C73" s="3" t="s">
        <v>78</v>
      </c>
      <c r="D73" s="3" t="s">
        <v>67</v>
      </c>
      <c r="E73" s="3" t="s">
        <v>421</v>
      </c>
      <c r="F73" s="3" t="s">
        <v>34</v>
      </c>
      <c r="G73" s="48">
        <v>1839.7329999999999</v>
      </c>
      <c r="H73" s="48">
        <f>301.28456+90.35872</f>
        <v>391.64328</v>
      </c>
      <c r="I73" s="48">
        <f t="shared" si="0"/>
        <v>21.288049950726545</v>
      </c>
      <c r="J73" s="65"/>
    </row>
    <row r="74" spans="1:10" ht="24" customHeight="1" x14ac:dyDescent="0.2">
      <c r="A74" s="4" t="s">
        <v>80</v>
      </c>
      <c r="B74" s="3" t="s">
        <v>213</v>
      </c>
      <c r="C74" s="3" t="s">
        <v>78</v>
      </c>
      <c r="D74" s="3" t="s">
        <v>67</v>
      </c>
      <c r="E74" s="3" t="s">
        <v>422</v>
      </c>
      <c r="F74" s="3"/>
      <c r="G74" s="48">
        <f>G75+G76</f>
        <v>1950.64</v>
      </c>
      <c r="H74" s="48">
        <f>H75+H76</f>
        <v>119.01658</v>
      </c>
      <c r="I74" s="48">
        <f t="shared" si="0"/>
        <v>6.101411844317763</v>
      </c>
      <c r="J74" s="65"/>
    </row>
    <row r="75" spans="1:10" ht="24" customHeight="1" x14ac:dyDescent="0.2">
      <c r="A75" s="4" t="s">
        <v>47</v>
      </c>
      <c r="B75" s="3" t="s">
        <v>213</v>
      </c>
      <c r="C75" s="3" t="s">
        <v>78</v>
      </c>
      <c r="D75" s="3" t="s">
        <v>67</v>
      </c>
      <c r="E75" s="3" t="s">
        <v>422</v>
      </c>
      <c r="F75" s="3" t="s">
        <v>51</v>
      </c>
      <c r="G75" s="48">
        <v>1937.4870000000001</v>
      </c>
      <c r="H75" s="48">
        <v>105.86358</v>
      </c>
      <c r="I75" s="48">
        <f t="shared" ref="I75:I127" si="32">H75/G75*100</f>
        <v>5.4639633711090703</v>
      </c>
      <c r="J75" s="65"/>
    </row>
    <row r="76" spans="1:10" ht="24" customHeight="1" x14ac:dyDescent="0.2">
      <c r="A76" s="4" t="s">
        <v>73</v>
      </c>
      <c r="B76" s="3" t="s">
        <v>213</v>
      </c>
      <c r="C76" s="3" t="s">
        <v>78</v>
      </c>
      <c r="D76" s="3" t="s">
        <v>67</v>
      </c>
      <c r="E76" s="3" t="s">
        <v>422</v>
      </c>
      <c r="F76" s="3" t="s">
        <v>79</v>
      </c>
      <c r="G76" s="48">
        <v>13.153</v>
      </c>
      <c r="H76" s="48">
        <v>13.153</v>
      </c>
      <c r="I76" s="48">
        <f t="shared" si="32"/>
        <v>100</v>
      </c>
      <c r="J76" s="65"/>
    </row>
    <row r="77" spans="1:10" ht="24" customHeight="1" x14ac:dyDescent="0.2">
      <c r="A77" s="4" t="s">
        <v>453</v>
      </c>
      <c r="B77" s="3" t="s">
        <v>213</v>
      </c>
      <c r="C77" s="3" t="s">
        <v>78</v>
      </c>
      <c r="D77" s="3" t="s">
        <v>67</v>
      </c>
      <c r="E77" s="3" t="s">
        <v>463</v>
      </c>
      <c r="F77" s="3"/>
      <c r="G77" s="48">
        <f t="shared" ref="G77:H77" si="33">G78</f>
        <v>369.96800000000002</v>
      </c>
      <c r="H77" s="48">
        <f t="shared" si="33"/>
        <v>35.323779999999999</v>
      </c>
      <c r="I77" s="48">
        <f t="shared" si="32"/>
        <v>9.5477933226657434</v>
      </c>
      <c r="J77" s="65"/>
    </row>
    <row r="78" spans="1:10" ht="24" customHeight="1" x14ac:dyDescent="0.2">
      <c r="A78" s="4" t="s">
        <v>38</v>
      </c>
      <c r="B78" s="3" t="s">
        <v>213</v>
      </c>
      <c r="C78" s="3" t="s">
        <v>78</v>
      </c>
      <c r="D78" s="3" t="s">
        <v>67</v>
      </c>
      <c r="E78" s="3" t="s">
        <v>463</v>
      </c>
      <c r="F78" s="3" t="s">
        <v>34</v>
      </c>
      <c r="G78" s="48">
        <v>369.96800000000002</v>
      </c>
      <c r="H78" s="48">
        <f>27.13041+8.19337</f>
        <v>35.323779999999999</v>
      </c>
      <c r="I78" s="48">
        <f t="shared" si="32"/>
        <v>9.5477933226657434</v>
      </c>
      <c r="J78" s="65"/>
    </row>
    <row r="79" spans="1:10" ht="72" customHeight="1" x14ac:dyDescent="0.2">
      <c r="A79" s="4" t="s">
        <v>349</v>
      </c>
      <c r="B79" s="3" t="s">
        <v>213</v>
      </c>
      <c r="C79" s="3" t="s">
        <v>78</v>
      </c>
      <c r="D79" s="3" t="s">
        <v>67</v>
      </c>
      <c r="E79" s="3" t="s">
        <v>423</v>
      </c>
      <c r="F79" s="3"/>
      <c r="G79" s="48">
        <f>G80+G85+G87</f>
        <v>10401.219000000001</v>
      </c>
      <c r="H79" s="48">
        <f t="shared" ref="H79" si="34">H80+H85+H87</f>
        <v>2432.2708700000003</v>
      </c>
      <c r="I79" s="48">
        <f t="shared" si="32"/>
        <v>23.3844789730896</v>
      </c>
      <c r="J79" s="65"/>
    </row>
    <row r="80" spans="1:10" ht="33" customHeight="1" x14ac:dyDescent="0.2">
      <c r="A80" s="60" t="s">
        <v>321</v>
      </c>
      <c r="B80" s="3" t="s">
        <v>213</v>
      </c>
      <c r="C80" s="3" t="s">
        <v>78</v>
      </c>
      <c r="D80" s="3" t="s">
        <v>67</v>
      </c>
      <c r="E80" s="3" t="s">
        <v>424</v>
      </c>
      <c r="F80" s="3"/>
      <c r="G80" s="48">
        <f t="shared" ref="G80:H80" si="35">G81+G83</f>
        <v>3487.9670000000001</v>
      </c>
      <c r="H80" s="48">
        <f t="shared" si="35"/>
        <v>929.28000000000009</v>
      </c>
      <c r="I80" s="48">
        <f t="shared" si="32"/>
        <v>26.642453899363154</v>
      </c>
      <c r="J80" s="65"/>
    </row>
    <row r="81" spans="1:10" ht="33.75" customHeight="1" x14ac:dyDescent="0.2">
      <c r="A81" s="4" t="s">
        <v>350</v>
      </c>
      <c r="B81" s="3" t="s">
        <v>213</v>
      </c>
      <c r="C81" s="3" t="s">
        <v>78</v>
      </c>
      <c r="D81" s="3" t="s">
        <v>67</v>
      </c>
      <c r="E81" s="3" t="s">
        <v>425</v>
      </c>
      <c r="F81" s="3"/>
      <c r="G81" s="48">
        <f t="shared" ref="G81:H81" si="36">G82</f>
        <v>3127.9670000000001</v>
      </c>
      <c r="H81" s="48">
        <f t="shared" si="36"/>
        <v>833.44500000000005</v>
      </c>
      <c r="I81" s="48">
        <f t="shared" si="32"/>
        <v>26.644942226052898</v>
      </c>
      <c r="J81" s="65"/>
    </row>
    <row r="82" spans="1:10" ht="23.25" customHeight="1" x14ac:dyDescent="0.2">
      <c r="A82" s="4" t="s">
        <v>38</v>
      </c>
      <c r="B82" s="3" t="s">
        <v>213</v>
      </c>
      <c r="C82" s="3" t="s">
        <v>78</v>
      </c>
      <c r="D82" s="3" t="s">
        <v>67</v>
      </c>
      <c r="E82" s="3" t="s">
        <v>425</v>
      </c>
      <c r="F82" s="3" t="s">
        <v>34</v>
      </c>
      <c r="G82" s="48">
        <v>3127.9670000000001</v>
      </c>
      <c r="H82" s="48">
        <f>641.2716+192.1734</f>
        <v>833.44500000000005</v>
      </c>
      <c r="I82" s="48">
        <f t="shared" si="32"/>
        <v>26.644942226052898</v>
      </c>
      <c r="J82" s="65"/>
    </row>
    <row r="83" spans="1:10" ht="25.5" customHeight="1" x14ac:dyDescent="0.2">
      <c r="A83" s="4" t="s">
        <v>317</v>
      </c>
      <c r="B83" s="3" t="s">
        <v>213</v>
      </c>
      <c r="C83" s="3" t="s">
        <v>78</v>
      </c>
      <c r="D83" s="3" t="s">
        <v>67</v>
      </c>
      <c r="E83" s="3" t="s">
        <v>426</v>
      </c>
      <c r="F83" s="3"/>
      <c r="G83" s="48">
        <f t="shared" ref="G83:H83" si="37">G84</f>
        <v>360</v>
      </c>
      <c r="H83" s="48">
        <f t="shared" si="37"/>
        <v>95.834999999999994</v>
      </c>
      <c r="I83" s="48">
        <f t="shared" si="32"/>
        <v>26.620833333333334</v>
      </c>
      <c r="J83" s="65"/>
    </row>
    <row r="84" spans="1:10" ht="24" customHeight="1" x14ac:dyDescent="0.2">
      <c r="A84" s="4" t="s">
        <v>47</v>
      </c>
      <c r="B84" s="3" t="s">
        <v>213</v>
      </c>
      <c r="C84" s="3" t="s">
        <v>78</v>
      </c>
      <c r="D84" s="3" t="s">
        <v>67</v>
      </c>
      <c r="E84" s="3" t="s">
        <v>426</v>
      </c>
      <c r="F84" s="3" t="s">
        <v>51</v>
      </c>
      <c r="G84" s="48">
        <v>360</v>
      </c>
      <c r="H84" s="48">
        <v>95.834999999999994</v>
      </c>
      <c r="I84" s="48">
        <f t="shared" si="32"/>
        <v>26.620833333333334</v>
      </c>
      <c r="J84" s="65"/>
    </row>
    <row r="85" spans="1:10" ht="86.25" customHeight="1" x14ac:dyDescent="0.2">
      <c r="A85" s="4" t="s">
        <v>332</v>
      </c>
      <c r="B85" s="3" t="s">
        <v>213</v>
      </c>
      <c r="C85" s="3" t="s">
        <v>78</v>
      </c>
      <c r="D85" s="3" t="s">
        <v>67</v>
      </c>
      <c r="E85" s="3" t="s">
        <v>427</v>
      </c>
      <c r="F85" s="3"/>
      <c r="G85" s="48">
        <f t="shared" ref="G85:H85" si="38">G86</f>
        <v>5827.1</v>
      </c>
      <c r="H85" s="48">
        <f t="shared" si="38"/>
        <v>1369.0112199999999</v>
      </c>
      <c r="I85" s="48">
        <f t="shared" si="32"/>
        <v>23.493868648212658</v>
      </c>
      <c r="J85" s="65"/>
    </row>
    <row r="86" spans="1:10" ht="60" customHeight="1" x14ac:dyDescent="0.2">
      <c r="A86" s="4" t="s">
        <v>38</v>
      </c>
      <c r="B86" s="3" t="s">
        <v>213</v>
      </c>
      <c r="C86" s="3" t="s">
        <v>78</v>
      </c>
      <c r="D86" s="3" t="s">
        <v>67</v>
      </c>
      <c r="E86" s="3" t="s">
        <v>427</v>
      </c>
      <c r="F86" s="3" t="s">
        <v>34</v>
      </c>
      <c r="G86" s="48">
        <f>4475.499+1351.601</f>
        <v>5827.1</v>
      </c>
      <c r="H86" s="48">
        <f>1060.95885+308.05237</f>
        <v>1369.0112199999999</v>
      </c>
      <c r="I86" s="48">
        <f t="shared" si="32"/>
        <v>23.493868648212658</v>
      </c>
      <c r="J86" s="65"/>
    </row>
    <row r="87" spans="1:10" ht="24" customHeight="1" x14ac:dyDescent="0.2">
      <c r="A87" s="4" t="s">
        <v>453</v>
      </c>
      <c r="B87" s="3" t="s">
        <v>213</v>
      </c>
      <c r="C87" s="3" t="s">
        <v>78</v>
      </c>
      <c r="D87" s="3" t="s">
        <v>67</v>
      </c>
      <c r="E87" s="3" t="s">
        <v>461</v>
      </c>
      <c r="F87" s="3"/>
      <c r="G87" s="78">
        <f t="shared" ref="G87:H87" si="39">G88</f>
        <v>1086.152</v>
      </c>
      <c r="H87" s="78">
        <f t="shared" si="39"/>
        <v>133.97964999999999</v>
      </c>
      <c r="I87" s="48">
        <f t="shared" si="32"/>
        <v>12.335257864460958</v>
      </c>
      <c r="J87" s="65"/>
    </row>
    <row r="88" spans="1:10" ht="34.5" customHeight="1" x14ac:dyDescent="0.2">
      <c r="A88" s="4" t="s">
        <v>38</v>
      </c>
      <c r="B88" s="3" t="s">
        <v>213</v>
      </c>
      <c r="C88" s="3" t="s">
        <v>78</v>
      </c>
      <c r="D88" s="3" t="s">
        <v>67</v>
      </c>
      <c r="E88" s="3" t="s">
        <v>461</v>
      </c>
      <c r="F88" s="3" t="s">
        <v>34</v>
      </c>
      <c r="G88" s="48">
        <v>1086.152</v>
      </c>
      <c r="H88" s="48">
        <f>102.90294+31.07671</f>
        <v>133.97964999999999</v>
      </c>
      <c r="I88" s="48">
        <f t="shared" si="32"/>
        <v>12.335257864460958</v>
      </c>
      <c r="J88" s="65"/>
    </row>
    <row r="89" spans="1:10" ht="12.75" customHeight="1" x14ac:dyDescent="0.2">
      <c r="A89" s="4" t="s">
        <v>66</v>
      </c>
      <c r="B89" s="3" t="s">
        <v>213</v>
      </c>
      <c r="C89" s="3" t="s">
        <v>54</v>
      </c>
      <c r="D89" s="3"/>
      <c r="E89" s="3"/>
      <c r="F89" s="3"/>
      <c r="G89" s="48">
        <f t="shared" ref="G89:H90" si="40">G90</f>
        <v>5054.8999999999996</v>
      </c>
      <c r="H89" s="48">
        <f t="shared" si="40"/>
        <v>718.35379999999998</v>
      </c>
      <c r="I89" s="48">
        <f t="shared" si="32"/>
        <v>14.211038794041425</v>
      </c>
      <c r="J89" s="65"/>
    </row>
    <row r="90" spans="1:10" ht="12.75" customHeight="1" x14ac:dyDescent="0.2">
      <c r="A90" s="4" t="s">
        <v>61</v>
      </c>
      <c r="B90" s="3" t="s">
        <v>213</v>
      </c>
      <c r="C90" s="3" t="s">
        <v>54</v>
      </c>
      <c r="D90" s="3" t="s">
        <v>59</v>
      </c>
      <c r="E90" s="3"/>
      <c r="F90" s="3"/>
      <c r="G90" s="48">
        <f>G91</f>
        <v>5054.8999999999996</v>
      </c>
      <c r="H90" s="48">
        <f t="shared" si="40"/>
        <v>718.35379999999998</v>
      </c>
      <c r="I90" s="48">
        <f t="shared" si="32"/>
        <v>14.211038794041425</v>
      </c>
      <c r="J90" s="65"/>
    </row>
    <row r="91" spans="1:10" ht="63.75" customHeight="1" x14ac:dyDescent="0.2">
      <c r="A91" s="4" t="s">
        <v>337</v>
      </c>
      <c r="B91" s="3" t="s">
        <v>213</v>
      </c>
      <c r="C91" s="3" t="s">
        <v>54</v>
      </c>
      <c r="D91" s="3" t="s">
        <v>59</v>
      </c>
      <c r="E91" s="3" t="s">
        <v>402</v>
      </c>
      <c r="F91" s="3"/>
      <c r="G91" s="48">
        <f t="shared" ref="G91:H92" si="41">G92</f>
        <v>5054.8999999999996</v>
      </c>
      <c r="H91" s="48">
        <f t="shared" si="41"/>
        <v>718.35379999999998</v>
      </c>
      <c r="I91" s="48">
        <f t="shared" si="32"/>
        <v>14.211038794041425</v>
      </c>
      <c r="J91" s="65"/>
    </row>
    <row r="92" spans="1:10" ht="45" customHeight="1" x14ac:dyDescent="0.2">
      <c r="A92" s="4" t="s">
        <v>338</v>
      </c>
      <c r="B92" s="3" t="s">
        <v>213</v>
      </c>
      <c r="C92" s="3" t="s">
        <v>54</v>
      </c>
      <c r="D92" s="3" t="s">
        <v>59</v>
      </c>
      <c r="E92" s="3" t="s">
        <v>401</v>
      </c>
      <c r="F92" s="3"/>
      <c r="G92" s="48">
        <f t="shared" si="41"/>
        <v>5054.8999999999996</v>
      </c>
      <c r="H92" s="48">
        <f t="shared" si="41"/>
        <v>718.35379999999998</v>
      </c>
      <c r="I92" s="48">
        <f t="shared" si="32"/>
        <v>14.211038794041425</v>
      </c>
      <c r="J92" s="65"/>
    </row>
    <row r="93" spans="1:10" ht="60" customHeight="1" x14ac:dyDescent="0.2">
      <c r="A93" s="4" t="s">
        <v>324</v>
      </c>
      <c r="B93" s="3" t="s">
        <v>213</v>
      </c>
      <c r="C93" s="3" t="s">
        <v>54</v>
      </c>
      <c r="D93" s="3" t="s">
        <v>59</v>
      </c>
      <c r="E93" s="3" t="s">
        <v>428</v>
      </c>
      <c r="F93" s="3"/>
      <c r="G93" s="48">
        <f>G95+G94</f>
        <v>5054.8999999999996</v>
      </c>
      <c r="H93" s="48">
        <f t="shared" ref="H93" si="42">H95+H94</f>
        <v>718.35379999999998</v>
      </c>
      <c r="I93" s="48">
        <f t="shared" si="32"/>
        <v>14.211038794041425</v>
      </c>
      <c r="J93" s="65"/>
    </row>
    <row r="94" spans="1:10" ht="24" customHeight="1" x14ac:dyDescent="0.2">
      <c r="A94" s="4" t="s">
        <v>47</v>
      </c>
      <c r="B94" s="3" t="s">
        <v>213</v>
      </c>
      <c r="C94" s="3" t="s">
        <v>54</v>
      </c>
      <c r="D94" s="3" t="s">
        <v>59</v>
      </c>
      <c r="E94" s="3" t="s">
        <v>428</v>
      </c>
      <c r="F94" s="3" t="s">
        <v>51</v>
      </c>
      <c r="G94" s="48">
        <f>15.21</f>
        <v>15.21</v>
      </c>
      <c r="H94" s="48"/>
      <c r="I94" s="48">
        <f t="shared" si="32"/>
        <v>0</v>
      </c>
      <c r="J94" s="65"/>
    </row>
    <row r="95" spans="1:10" ht="12.75" customHeight="1" x14ac:dyDescent="0.2">
      <c r="A95" s="4" t="s">
        <v>45</v>
      </c>
      <c r="B95" s="3" t="s">
        <v>213</v>
      </c>
      <c r="C95" s="3" t="s">
        <v>54</v>
      </c>
      <c r="D95" s="3" t="s">
        <v>59</v>
      </c>
      <c r="E95" s="3" t="s">
        <v>428</v>
      </c>
      <c r="F95" s="3" t="s">
        <v>43</v>
      </c>
      <c r="G95" s="48">
        <v>5039.6899999999996</v>
      </c>
      <c r="H95" s="48">
        <v>718.35379999999998</v>
      </c>
      <c r="I95" s="48">
        <f t="shared" si="32"/>
        <v>14.253928317019499</v>
      </c>
      <c r="J95" s="65"/>
    </row>
    <row r="96" spans="1:10" ht="37.5" customHeight="1" x14ac:dyDescent="0.2">
      <c r="A96" s="45" t="s">
        <v>235</v>
      </c>
      <c r="B96" s="5" t="s">
        <v>211</v>
      </c>
      <c r="C96" s="5"/>
      <c r="D96" s="5"/>
      <c r="E96" s="5"/>
      <c r="F96" s="3"/>
      <c r="G96" s="47">
        <f>G97+G118+G124</f>
        <v>52247.573429999989</v>
      </c>
      <c r="H96" s="47">
        <f>H97+H118+H124</f>
        <v>14135.33577</v>
      </c>
      <c r="I96" s="47">
        <f t="shared" si="32"/>
        <v>27.054530654783754</v>
      </c>
      <c r="J96" s="65"/>
    </row>
    <row r="97" spans="1:10" ht="12.75" customHeight="1" x14ac:dyDescent="0.2">
      <c r="A97" s="4" t="s">
        <v>212</v>
      </c>
      <c r="B97" s="3" t="s">
        <v>211</v>
      </c>
      <c r="C97" s="3" t="s">
        <v>15</v>
      </c>
      <c r="D97" s="3"/>
      <c r="E97" s="3"/>
      <c r="F97" s="3"/>
      <c r="G97" s="48">
        <f>G98+G112</f>
        <v>12009.744999999999</v>
      </c>
      <c r="H97" s="48">
        <f>H98+H112</f>
        <v>863.39512999999999</v>
      </c>
      <c r="I97" s="48">
        <f t="shared" si="32"/>
        <v>7.1891212511173226</v>
      </c>
      <c r="J97" s="65"/>
    </row>
    <row r="98" spans="1:10" ht="24" customHeight="1" x14ac:dyDescent="0.2">
      <c r="A98" s="4" t="s">
        <v>139</v>
      </c>
      <c r="B98" s="3" t="s">
        <v>211</v>
      </c>
      <c r="C98" s="3" t="s">
        <v>15</v>
      </c>
      <c r="D98" s="3" t="s">
        <v>53</v>
      </c>
      <c r="E98" s="3"/>
      <c r="F98" s="2"/>
      <c r="G98" s="48">
        <f t="shared" ref="G98:H98" si="43">G99+G108</f>
        <v>3994.433</v>
      </c>
      <c r="H98" s="48">
        <f t="shared" si="43"/>
        <v>863.39512999999999</v>
      </c>
      <c r="I98" s="48">
        <f t="shared" si="32"/>
        <v>21.614960871793318</v>
      </c>
      <c r="J98" s="65"/>
    </row>
    <row r="99" spans="1:10" ht="67.5" customHeight="1" x14ac:dyDescent="0.2">
      <c r="A99" s="4" t="s">
        <v>351</v>
      </c>
      <c r="B99" s="3" t="s">
        <v>211</v>
      </c>
      <c r="C99" s="3" t="s">
        <v>15</v>
      </c>
      <c r="D99" s="3" t="s">
        <v>53</v>
      </c>
      <c r="E99" s="3" t="s">
        <v>352</v>
      </c>
      <c r="F99" s="3"/>
      <c r="G99" s="48">
        <f>G100+G106</f>
        <v>3394.3330000000001</v>
      </c>
      <c r="H99" s="48">
        <f t="shared" ref="H99" si="44">H100+H106</f>
        <v>804.83433000000002</v>
      </c>
      <c r="I99" s="48">
        <f t="shared" si="32"/>
        <v>23.711118797124499</v>
      </c>
      <c r="J99" s="65"/>
    </row>
    <row r="100" spans="1:10" ht="36" customHeight="1" x14ac:dyDescent="0.2">
      <c r="A100" s="4" t="s">
        <v>242</v>
      </c>
      <c r="B100" s="3" t="s">
        <v>211</v>
      </c>
      <c r="C100" s="3" t="s">
        <v>15</v>
      </c>
      <c r="D100" s="3" t="s">
        <v>53</v>
      </c>
      <c r="E100" s="3" t="s">
        <v>243</v>
      </c>
      <c r="F100" s="3"/>
      <c r="G100" s="48">
        <f t="shared" ref="G100:H100" si="45">G101+G103</f>
        <v>3378.114</v>
      </c>
      <c r="H100" s="48">
        <f t="shared" si="45"/>
        <v>792.75407000000007</v>
      </c>
      <c r="I100" s="48">
        <f t="shared" si="32"/>
        <v>23.467356933484186</v>
      </c>
      <c r="J100" s="65"/>
    </row>
    <row r="101" spans="1:10" ht="37.5" customHeight="1" x14ac:dyDescent="0.2">
      <c r="A101" s="4" t="s">
        <v>137</v>
      </c>
      <c r="B101" s="3" t="s">
        <v>211</v>
      </c>
      <c r="C101" s="3" t="s">
        <v>15</v>
      </c>
      <c r="D101" s="3" t="s">
        <v>53</v>
      </c>
      <c r="E101" s="3" t="s">
        <v>135</v>
      </c>
      <c r="F101" s="3"/>
      <c r="G101" s="48">
        <f t="shared" ref="G101:H101" si="46">G102</f>
        <v>3095.6840000000002</v>
      </c>
      <c r="H101" s="48">
        <f t="shared" si="46"/>
        <v>751.49764000000005</v>
      </c>
      <c r="I101" s="48">
        <f t="shared" si="32"/>
        <v>24.275657334534145</v>
      </c>
      <c r="J101" s="65"/>
    </row>
    <row r="102" spans="1:10" ht="60" customHeight="1" x14ac:dyDescent="0.2">
      <c r="A102" s="4" t="s">
        <v>38</v>
      </c>
      <c r="B102" s="3" t="s">
        <v>211</v>
      </c>
      <c r="C102" s="3" t="s">
        <v>15</v>
      </c>
      <c r="D102" s="3" t="s">
        <v>53</v>
      </c>
      <c r="E102" s="3" t="s">
        <v>135</v>
      </c>
      <c r="F102" s="3" t="s">
        <v>34</v>
      </c>
      <c r="G102" s="48">
        <v>3095.6840000000002</v>
      </c>
      <c r="H102" s="48">
        <f>627.40682+124.09082</f>
        <v>751.49764000000005</v>
      </c>
      <c r="I102" s="48">
        <f t="shared" si="32"/>
        <v>24.275657334534145</v>
      </c>
      <c r="J102" s="65"/>
    </row>
    <row r="103" spans="1:10" ht="24" customHeight="1" x14ac:dyDescent="0.2">
      <c r="A103" s="4" t="s">
        <v>136</v>
      </c>
      <c r="B103" s="3" t="s">
        <v>211</v>
      </c>
      <c r="C103" s="3" t="s">
        <v>15</v>
      </c>
      <c r="D103" s="3" t="s">
        <v>53</v>
      </c>
      <c r="E103" s="3" t="s">
        <v>238</v>
      </c>
      <c r="F103" s="3"/>
      <c r="G103" s="48">
        <f t="shared" ref="G103:H103" si="47">G104+G105</f>
        <v>282.43</v>
      </c>
      <c r="H103" s="48">
        <f t="shared" si="47"/>
        <v>41.256430000000002</v>
      </c>
      <c r="I103" s="48">
        <f t="shared" si="32"/>
        <v>14.607665616258897</v>
      </c>
      <c r="J103" s="65"/>
    </row>
    <row r="104" spans="1:10" ht="24" customHeight="1" x14ac:dyDescent="0.2">
      <c r="A104" s="4" t="s">
        <v>47</v>
      </c>
      <c r="B104" s="3" t="s">
        <v>211</v>
      </c>
      <c r="C104" s="3" t="s">
        <v>15</v>
      </c>
      <c r="D104" s="3" t="s">
        <v>53</v>
      </c>
      <c r="E104" s="3" t="s">
        <v>238</v>
      </c>
      <c r="F104" s="3" t="s">
        <v>51</v>
      </c>
      <c r="G104" s="48">
        <v>276.43</v>
      </c>
      <c r="H104" s="48">
        <v>41.256430000000002</v>
      </c>
      <c r="I104" s="48">
        <f t="shared" si="32"/>
        <v>14.924729587960787</v>
      </c>
      <c r="J104" s="65"/>
    </row>
    <row r="105" spans="1:10" ht="24" customHeight="1" x14ac:dyDescent="0.2">
      <c r="A105" s="4" t="s">
        <v>73</v>
      </c>
      <c r="B105" s="3" t="s">
        <v>211</v>
      </c>
      <c r="C105" s="3" t="s">
        <v>15</v>
      </c>
      <c r="D105" s="3" t="s">
        <v>53</v>
      </c>
      <c r="E105" s="3" t="s">
        <v>238</v>
      </c>
      <c r="F105" s="3" t="s">
        <v>79</v>
      </c>
      <c r="G105" s="48">
        <v>6</v>
      </c>
      <c r="H105" s="48"/>
      <c r="I105" s="48">
        <f t="shared" si="32"/>
        <v>0</v>
      </c>
      <c r="J105" s="65"/>
    </row>
    <row r="106" spans="1:10" ht="24" customHeight="1" x14ac:dyDescent="0.2">
      <c r="A106" s="4" t="s">
        <v>453</v>
      </c>
      <c r="B106" s="3" t="s">
        <v>211</v>
      </c>
      <c r="C106" s="3" t="s">
        <v>15</v>
      </c>
      <c r="D106" s="3" t="s">
        <v>53</v>
      </c>
      <c r="E106" s="3" t="s">
        <v>486</v>
      </c>
      <c r="F106" s="3"/>
      <c r="G106" s="48">
        <f>G107</f>
        <v>16.219000000000001</v>
      </c>
      <c r="H106" s="48">
        <f t="shared" ref="H106" si="48">H107</f>
        <v>12.080260000000001</v>
      </c>
      <c r="I106" s="48">
        <f t="shared" si="32"/>
        <v>74.482150564153145</v>
      </c>
      <c r="J106" s="65"/>
    </row>
    <row r="107" spans="1:10" ht="24" customHeight="1" x14ac:dyDescent="0.2">
      <c r="A107" s="4" t="s">
        <v>38</v>
      </c>
      <c r="B107" s="3" t="s">
        <v>211</v>
      </c>
      <c r="C107" s="3" t="s">
        <v>15</v>
      </c>
      <c r="D107" s="3" t="s">
        <v>53</v>
      </c>
      <c r="E107" s="3" t="s">
        <v>486</v>
      </c>
      <c r="F107" s="3" t="s">
        <v>34</v>
      </c>
      <c r="G107" s="48">
        <v>16.219000000000001</v>
      </c>
      <c r="H107" s="48">
        <f>9.27823+2.80203</f>
        <v>12.080260000000001</v>
      </c>
      <c r="I107" s="48">
        <f t="shared" si="32"/>
        <v>74.482150564153145</v>
      </c>
      <c r="J107" s="65"/>
    </row>
    <row r="108" spans="1:10" ht="78" customHeight="1" x14ac:dyDescent="0.2">
      <c r="A108" s="4" t="s">
        <v>354</v>
      </c>
      <c r="B108" s="3" t="s">
        <v>211</v>
      </c>
      <c r="C108" s="3" t="s">
        <v>15</v>
      </c>
      <c r="D108" s="3" t="s">
        <v>53</v>
      </c>
      <c r="E108" s="3" t="s">
        <v>12</v>
      </c>
      <c r="F108" s="3"/>
      <c r="G108" s="48">
        <f t="shared" ref="G108:H110" si="49">G109</f>
        <v>600.1</v>
      </c>
      <c r="H108" s="48">
        <f t="shared" si="49"/>
        <v>58.5608</v>
      </c>
      <c r="I108" s="48">
        <f t="shared" si="32"/>
        <v>9.7585069155140811</v>
      </c>
      <c r="J108" s="65"/>
    </row>
    <row r="109" spans="1:10" ht="48" customHeight="1" x14ac:dyDescent="0.2">
      <c r="A109" s="4" t="s">
        <v>134</v>
      </c>
      <c r="B109" s="3" t="s">
        <v>211</v>
      </c>
      <c r="C109" s="3" t="s">
        <v>15</v>
      </c>
      <c r="D109" s="3" t="s">
        <v>53</v>
      </c>
      <c r="E109" s="3" t="s">
        <v>244</v>
      </c>
      <c r="F109" s="3"/>
      <c r="G109" s="48">
        <f t="shared" si="49"/>
        <v>600.1</v>
      </c>
      <c r="H109" s="48">
        <f t="shared" si="49"/>
        <v>58.5608</v>
      </c>
      <c r="I109" s="48">
        <f t="shared" si="32"/>
        <v>9.7585069155140811</v>
      </c>
      <c r="J109" s="65"/>
    </row>
    <row r="110" spans="1:10" ht="24" customHeight="1" x14ac:dyDescent="0.2">
      <c r="A110" s="4" t="s">
        <v>245</v>
      </c>
      <c r="B110" s="3" t="s">
        <v>211</v>
      </c>
      <c r="C110" s="3" t="s">
        <v>15</v>
      </c>
      <c r="D110" s="3" t="s">
        <v>53</v>
      </c>
      <c r="E110" s="3" t="s">
        <v>221</v>
      </c>
      <c r="F110" s="3"/>
      <c r="G110" s="48">
        <f t="shared" si="49"/>
        <v>600.1</v>
      </c>
      <c r="H110" s="48">
        <f t="shared" si="49"/>
        <v>58.5608</v>
      </c>
      <c r="I110" s="48">
        <f t="shared" si="32"/>
        <v>9.7585069155140811</v>
      </c>
      <c r="J110" s="65"/>
    </row>
    <row r="111" spans="1:10" ht="24" customHeight="1" x14ac:dyDescent="0.2">
      <c r="A111" s="4" t="s">
        <v>47</v>
      </c>
      <c r="B111" s="3" t="s">
        <v>211</v>
      </c>
      <c r="C111" s="3" t="s">
        <v>15</v>
      </c>
      <c r="D111" s="3" t="s">
        <v>53</v>
      </c>
      <c r="E111" s="3" t="s">
        <v>221</v>
      </c>
      <c r="F111" s="3" t="s">
        <v>51</v>
      </c>
      <c r="G111" s="48">
        <v>600.1</v>
      </c>
      <c r="H111" s="48">
        <v>58.5608</v>
      </c>
      <c r="I111" s="48">
        <f t="shared" si="32"/>
        <v>9.7585069155140811</v>
      </c>
      <c r="J111" s="65"/>
    </row>
    <row r="112" spans="1:10" ht="12.75" customHeight="1" x14ac:dyDescent="0.2">
      <c r="A112" s="4" t="s">
        <v>128</v>
      </c>
      <c r="B112" s="3" t="s">
        <v>211</v>
      </c>
      <c r="C112" s="3" t="s">
        <v>15</v>
      </c>
      <c r="D112" s="3" t="s">
        <v>37</v>
      </c>
      <c r="E112" s="3"/>
      <c r="F112" s="3"/>
      <c r="G112" s="48">
        <f>G113+G116</f>
        <v>8015.3119999999999</v>
      </c>
      <c r="H112" s="48">
        <f t="shared" ref="H112" si="50">H113+H116</f>
        <v>0</v>
      </c>
      <c r="I112" s="48">
        <f t="shared" si="32"/>
        <v>0</v>
      </c>
      <c r="J112" s="65"/>
    </row>
    <row r="113" spans="1:10" ht="12.75" customHeight="1" x14ac:dyDescent="0.2">
      <c r="A113" s="4" t="s">
        <v>128</v>
      </c>
      <c r="B113" s="3" t="s">
        <v>211</v>
      </c>
      <c r="C113" s="3" t="s">
        <v>15</v>
      </c>
      <c r="D113" s="3" t="s">
        <v>37</v>
      </c>
      <c r="E113" s="3" t="s">
        <v>246</v>
      </c>
      <c r="F113" s="3"/>
      <c r="G113" s="78">
        <f>G114</f>
        <v>1873.3119999999999</v>
      </c>
      <c r="H113" s="78">
        <f t="shared" ref="H113" si="51">H114</f>
        <v>0</v>
      </c>
      <c r="I113" s="48">
        <f t="shared" si="32"/>
        <v>0</v>
      </c>
      <c r="J113" s="65"/>
    </row>
    <row r="114" spans="1:10" ht="12.75" customHeight="1" x14ac:dyDescent="0.2">
      <c r="A114" s="4" t="s">
        <v>46</v>
      </c>
      <c r="B114" s="3" t="s">
        <v>211</v>
      </c>
      <c r="C114" s="3" t="s">
        <v>15</v>
      </c>
      <c r="D114" s="3" t="s">
        <v>37</v>
      </c>
      <c r="E114" s="3" t="s">
        <v>44</v>
      </c>
      <c r="F114" s="3"/>
      <c r="G114" s="78">
        <f t="shared" ref="G114:H116" si="52">G115</f>
        <v>1873.3119999999999</v>
      </c>
      <c r="H114" s="78">
        <f t="shared" si="52"/>
        <v>0</v>
      </c>
      <c r="I114" s="48">
        <f t="shared" si="32"/>
        <v>0</v>
      </c>
      <c r="J114" s="65"/>
    </row>
    <row r="115" spans="1:10" ht="15.75" customHeight="1" x14ac:dyDescent="0.2">
      <c r="A115" s="7" t="s">
        <v>73</v>
      </c>
      <c r="B115" s="3" t="s">
        <v>211</v>
      </c>
      <c r="C115" s="3" t="s">
        <v>15</v>
      </c>
      <c r="D115" s="3" t="s">
        <v>37</v>
      </c>
      <c r="E115" s="3" t="s">
        <v>44</v>
      </c>
      <c r="F115" s="3" t="s">
        <v>79</v>
      </c>
      <c r="G115" s="48">
        <v>1873.3119999999999</v>
      </c>
      <c r="H115" s="78"/>
      <c r="I115" s="48">
        <f t="shared" si="32"/>
        <v>0</v>
      </c>
      <c r="J115" s="65"/>
    </row>
    <row r="116" spans="1:10" ht="48" customHeight="1" x14ac:dyDescent="0.2">
      <c r="A116" s="4" t="s">
        <v>316</v>
      </c>
      <c r="B116" s="3" t="s">
        <v>211</v>
      </c>
      <c r="C116" s="3" t="s">
        <v>15</v>
      </c>
      <c r="D116" s="3" t="s">
        <v>37</v>
      </c>
      <c r="E116" s="3" t="s">
        <v>334</v>
      </c>
      <c r="F116" s="3"/>
      <c r="G116" s="78">
        <f t="shared" si="52"/>
        <v>6142</v>
      </c>
      <c r="H116" s="78">
        <f t="shared" si="52"/>
        <v>0</v>
      </c>
      <c r="I116" s="48">
        <f t="shared" si="32"/>
        <v>0</v>
      </c>
      <c r="J116" s="65"/>
    </row>
    <row r="117" spans="1:10" ht="21" customHeight="1" x14ac:dyDescent="0.2">
      <c r="A117" s="7" t="s">
        <v>73</v>
      </c>
      <c r="B117" s="3" t="s">
        <v>211</v>
      </c>
      <c r="C117" s="3" t="s">
        <v>15</v>
      </c>
      <c r="D117" s="3" t="s">
        <v>37</v>
      </c>
      <c r="E117" s="3" t="s">
        <v>334</v>
      </c>
      <c r="F117" s="3" t="s">
        <v>79</v>
      </c>
      <c r="G117" s="48">
        <v>6142</v>
      </c>
      <c r="H117" s="78"/>
      <c r="I117" s="48">
        <f t="shared" si="32"/>
        <v>0</v>
      </c>
      <c r="J117" s="65"/>
    </row>
    <row r="118" spans="1:10" ht="24" customHeight="1" x14ac:dyDescent="0.2">
      <c r="A118" s="4" t="s">
        <v>167</v>
      </c>
      <c r="B118" s="3" t="s">
        <v>211</v>
      </c>
      <c r="C118" s="3" t="s">
        <v>24</v>
      </c>
      <c r="D118" s="3"/>
      <c r="E118" s="3"/>
      <c r="F118" s="3"/>
      <c r="G118" s="48">
        <f t="shared" ref="G118:H122" si="53">G119</f>
        <v>97</v>
      </c>
      <c r="H118" s="48">
        <f t="shared" si="53"/>
        <v>0</v>
      </c>
      <c r="I118" s="48">
        <f t="shared" si="32"/>
        <v>0</v>
      </c>
      <c r="J118" s="65"/>
    </row>
    <row r="119" spans="1:10" ht="24" customHeight="1" x14ac:dyDescent="0.2">
      <c r="A119" s="4" t="s">
        <v>25</v>
      </c>
      <c r="B119" s="3" t="s">
        <v>211</v>
      </c>
      <c r="C119" s="3" t="s">
        <v>24</v>
      </c>
      <c r="D119" s="3" t="s">
        <v>15</v>
      </c>
      <c r="E119" s="3"/>
      <c r="F119" s="3"/>
      <c r="G119" s="48">
        <f t="shared" si="53"/>
        <v>97</v>
      </c>
      <c r="H119" s="48">
        <f t="shared" si="53"/>
        <v>0</v>
      </c>
      <c r="I119" s="48">
        <f t="shared" si="32"/>
        <v>0</v>
      </c>
      <c r="J119" s="65"/>
    </row>
    <row r="120" spans="1:10" ht="63.75" customHeight="1" x14ac:dyDescent="0.2">
      <c r="A120" s="4" t="s">
        <v>354</v>
      </c>
      <c r="B120" s="3" t="s">
        <v>211</v>
      </c>
      <c r="C120" s="3">
        <v>13</v>
      </c>
      <c r="D120" s="3" t="s">
        <v>15</v>
      </c>
      <c r="E120" s="3" t="s">
        <v>12</v>
      </c>
      <c r="F120" s="3"/>
      <c r="G120" s="73">
        <f>G121</f>
        <v>97</v>
      </c>
      <c r="H120" s="73">
        <f t="shared" si="53"/>
        <v>0</v>
      </c>
      <c r="I120" s="48">
        <f t="shared" si="32"/>
        <v>0</v>
      </c>
      <c r="J120" s="65"/>
    </row>
    <row r="121" spans="1:10" ht="48" customHeight="1" x14ac:dyDescent="0.2">
      <c r="A121" s="4" t="s">
        <v>11</v>
      </c>
      <c r="B121" s="3" t="s">
        <v>211</v>
      </c>
      <c r="C121" s="3">
        <v>13</v>
      </c>
      <c r="D121" s="3" t="s">
        <v>15</v>
      </c>
      <c r="E121" s="3" t="s">
        <v>10</v>
      </c>
      <c r="F121" s="3"/>
      <c r="G121" s="73">
        <f t="shared" si="53"/>
        <v>97</v>
      </c>
      <c r="H121" s="73">
        <f t="shared" si="53"/>
        <v>0</v>
      </c>
      <c r="I121" s="48">
        <f t="shared" si="32"/>
        <v>0</v>
      </c>
      <c r="J121" s="65"/>
    </row>
    <row r="122" spans="1:10" ht="24" customHeight="1" x14ac:dyDescent="0.2">
      <c r="A122" s="4" t="s">
        <v>355</v>
      </c>
      <c r="B122" s="3" t="s">
        <v>211</v>
      </c>
      <c r="C122" s="3">
        <v>13</v>
      </c>
      <c r="D122" s="3" t="s">
        <v>15</v>
      </c>
      <c r="E122" s="3" t="s">
        <v>23</v>
      </c>
      <c r="F122" s="3"/>
      <c r="G122" s="73">
        <f t="shared" si="53"/>
        <v>97</v>
      </c>
      <c r="H122" s="73">
        <f t="shared" si="53"/>
        <v>0</v>
      </c>
      <c r="I122" s="48">
        <f t="shared" si="32"/>
        <v>0</v>
      </c>
      <c r="J122" s="65"/>
    </row>
    <row r="123" spans="1:10" ht="24" customHeight="1" x14ac:dyDescent="0.2">
      <c r="A123" s="4" t="s">
        <v>22</v>
      </c>
      <c r="B123" s="3" t="s">
        <v>211</v>
      </c>
      <c r="C123" s="3">
        <v>13</v>
      </c>
      <c r="D123" s="3" t="s">
        <v>15</v>
      </c>
      <c r="E123" s="3" t="s">
        <v>23</v>
      </c>
      <c r="F123" s="3" t="s">
        <v>21</v>
      </c>
      <c r="G123" s="48">
        <v>97</v>
      </c>
      <c r="H123" s="73"/>
      <c r="I123" s="48">
        <f t="shared" si="32"/>
        <v>0</v>
      </c>
      <c r="J123" s="65"/>
    </row>
    <row r="124" spans="1:10" ht="12.75" customHeight="1" x14ac:dyDescent="0.2">
      <c r="A124" s="4" t="s">
        <v>8</v>
      </c>
      <c r="B124" s="3" t="s">
        <v>211</v>
      </c>
      <c r="C124" s="3"/>
      <c r="D124" s="3"/>
      <c r="E124" s="3"/>
      <c r="F124" s="3"/>
      <c r="G124" s="48">
        <f>G168+G156+G125+G142+G162+G150</f>
        <v>40140.828429999994</v>
      </c>
      <c r="H124" s="48">
        <f>H168+H156+H125+H142+H162+H150</f>
        <v>13271.940639999999</v>
      </c>
      <c r="I124" s="48">
        <f t="shared" si="32"/>
        <v>33.063444774550213</v>
      </c>
      <c r="J124" s="65"/>
    </row>
    <row r="125" spans="1:10" ht="24" customHeight="1" x14ac:dyDescent="0.2">
      <c r="A125" s="7" t="s">
        <v>121</v>
      </c>
      <c r="B125" s="3" t="s">
        <v>211</v>
      </c>
      <c r="C125" s="3" t="s">
        <v>6</v>
      </c>
      <c r="D125" s="3"/>
      <c r="E125" s="3"/>
      <c r="F125" s="3"/>
      <c r="G125" s="48">
        <f>G126+G133</f>
        <v>1242.7594300000001</v>
      </c>
      <c r="H125" s="48">
        <f>H126+H133</f>
        <v>619.18799999999999</v>
      </c>
      <c r="I125" s="48">
        <f t="shared" si="32"/>
        <v>49.82364124969866</v>
      </c>
      <c r="J125" s="65"/>
    </row>
    <row r="126" spans="1:10" ht="29.25" customHeight="1" x14ac:dyDescent="0.2">
      <c r="A126" s="7" t="s">
        <v>120</v>
      </c>
      <c r="B126" s="3" t="s">
        <v>211</v>
      </c>
      <c r="C126" s="3" t="s">
        <v>6</v>
      </c>
      <c r="D126" s="3" t="s">
        <v>67</v>
      </c>
      <c r="E126" s="3"/>
      <c r="F126" s="3"/>
      <c r="G126" s="48">
        <f>G127+G131</f>
        <v>539.18799999999999</v>
      </c>
      <c r="H126" s="48">
        <f>H127+H131</f>
        <v>519.18799999999999</v>
      </c>
      <c r="I126" s="48">
        <f t="shared" si="32"/>
        <v>96.29071863617142</v>
      </c>
      <c r="J126" s="65"/>
    </row>
    <row r="127" spans="1:10" ht="57" customHeight="1" x14ac:dyDescent="0.2">
      <c r="A127" s="4" t="s">
        <v>354</v>
      </c>
      <c r="B127" s="3" t="s">
        <v>211</v>
      </c>
      <c r="C127" s="3" t="s">
        <v>6</v>
      </c>
      <c r="D127" s="3" t="s">
        <v>67</v>
      </c>
      <c r="E127" s="3" t="s">
        <v>12</v>
      </c>
      <c r="F127" s="3"/>
      <c r="G127" s="48">
        <f>G128</f>
        <v>20</v>
      </c>
      <c r="H127" s="48">
        <f t="shared" ref="H127:H128" si="54">H128</f>
        <v>0</v>
      </c>
      <c r="I127" s="48">
        <f t="shared" si="32"/>
        <v>0</v>
      </c>
      <c r="J127" s="65"/>
    </row>
    <row r="128" spans="1:10" ht="29.25" customHeight="1" x14ac:dyDescent="0.2">
      <c r="A128" s="7" t="s">
        <v>11</v>
      </c>
      <c r="B128" s="3" t="s">
        <v>211</v>
      </c>
      <c r="C128" s="3" t="s">
        <v>6</v>
      </c>
      <c r="D128" s="3" t="s">
        <v>67</v>
      </c>
      <c r="E128" s="3" t="s">
        <v>10</v>
      </c>
      <c r="F128" s="3"/>
      <c r="G128" s="48">
        <f>G129</f>
        <v>20</v>
      </c>
      <c r="H128" s="48">
        <f t="shared" si="54"/>
        <v>0</v>
      </c>
      <c r="I128" s="48">
        <f t="shared" ref="I128:I201" si="55">H128/G128*100</f>
        <v>0</v>
      </c>
      <c r="J128" s="65"/>
    </row>
    <row r="129" spans="1:10" ht="12.75" customHeight="1" x14ac:dyDescent="0.2">
      <c r="A129" s="7" t="s">
        <v>9</v>
      </c>
      <c r="B129" s="3" t="s">
        <v>211</v>
      </c>
      <c r="C129" s="3" t="s">
        <v>6</v>
      </c>
      <c r="D129" s="3" t="s">
        <v>67</v>
      </c>
      <c r="E129" s="3" t="s">
        <v>247</v>
      </c>
      <c r="F129" s="3"/>
      <c r="G129" s="48">
        <f>G130</f>
        <v>20</v>
      </c>
      <c r="H129" s="48">
        <f t="shared" ref="H129" si="56">H130</f>
        <v>0</v>
      </c>
      <c r="I129" s="48">
        <f t="shared" si="55"/>
        <v>0</v>
      </c>
      <c r="J129" s="65"/>
    </row>
    <row r="130" spans="1:10" ht="12.75" customHeight="1" x14ac:dyDescent="0.2">
      <c r="A130" s="7" t="s">
        <v>8</v>
      </c>
      <c r="B130" s="3" t="s">
        <v>211</v>
      </c>
      <c r="C130" s="3" t="s">
        <v>6</v>
      </c>
      <c r="D130" s="3" t="s">
        <v>67</v>
      </c>
      <c r="E130" s="3" t="s">
        <v>247</v>
      </c>
      <c r="F130" s="3" t="s">
        <v>5</v>
      </c>
      <c r="G130" s="48">
        <v>20</v>
      </c>
      <c r="H130" s="48"/>
      <c r="I130" s="48">
        <f t="shared" si="55"/>
        <v>0</v>
      </c>
      <c r="J130" s="65"/>
    </row>
    <row r="131" spans="1:10" ht="12.75" customHeight="1" x14ac:dyDescent="0.2">
      <c r="A131" s="4" t="s">
        <v>46</v>
      </c>
      <c r="B131" s="3" t="s">
        <v>211</v>
      </c>
      <c r="C131" s="3" t="s">
        <v>6</v>
      </c>
      <c r="D131" s="3" t="s">
        <v>67</v>
      </c>
      <c r="E131" s="3" t="s">
        <v>44</v>
      </c>
      <c r="F131" s="3"/>
      <c r="G131" s="48">
        <f>G132</f>
        <v>519.18799999999999</v>
      </c>
      <c r="H131" s="48">
        <f>H132</f>
        <v>519.18799999999999</v>
      </c>
      <c r="I131" s="48"/>
      <c r="J131" s="65"/>
    </row>
    <row r="132" spans="1:10" ht="12.75" customHeight="1" x14ac:dyDescent="0.2">
      <c r="A132" s="7" t="s">
        <v>8</v>
      </c>
      <c r="B132" s="3" t="s">
        <v>211</v>
      </c>
      <c r="C132" s="3" t="s">
        <v>6</v>
      </c>
      <c r="D132" s="3" t="s">
        <v>67</v>
      </c>
      <c r="E132" s="3" t="s">
        <v>44</v>
      </c>
      <c r="F132" s="3" t="s">
        <v>5</v>
      </c>
      <c r="G132" s="48">
        <v>519.18799999999999</v>
      </c>
      <c r="H132" s="48">
        <v>519.18799999999999</v>
      </c>
      <c r="I132" s="48"/>
      <c r="J132" s="65"/>
    </row>
    <row r="133" spans="1:10" ht="21" customHeight="1" x14ac:dyDescent="0.2">
      <c r="A133" s="4" t="s">
        <v>482</v>
      </c>
      <c r="B133" s="3" t="s">
        <v>211</v>
      </c>
      <c r="C133" s="3" t="s">
        <v>6</v>
      </c>
      <c r="D133" s="3" t="s">
        <v>54</v>
      </c>
      <c r="E133" s="3"/>
      <c r="F133" s="3"/>
      <c r="G133" s="48">
        <f>G134+G138</f>
        <v>703.57142999999996</v>
      </c>
      <c r="H133" s="48">
        <f t="shared" ref="H133" si="57">H134+H138</f>
        <v>100</v>
      </c>
      <c r="I133" s="48">
        <f t="shared" si="55"/>
        <v>14.213197940683864</v>
      </c>
      <c r="J133" s="65"/>
    </row>
    <row r="134" spans="1:10" ht="21" customHeight="1" x14ac:dyDescent="0.2">
      <c r="A134" s="4" t="s">
        <v>354</v>
      </c>
      <c r="B134" s="3" t="s">
        <v>211</v>
      </c>
      <c r="C134" s="3" t="s">
        <v>6</v>
      </c>
      <c r="D134" s="3" t="s">
        <v>54</v>
      </c>
      <c r="E134" s="3" t="s">
        <v>12</v>
      </c>
      <c r="F134" s="3"/>
      <c r="G134" s="48">
        <f>G135</f>
        <v>275</v>
      </c>
      <c r="H134" s="48">
        <f t="shared" ref="H134:H135" si="58">H135</f>
        <v>100</v>
      </c>
      <c r="I134" s="48">
        <f t="shared" si="55"/>
        <v>36.363636363636367</v>
      </c>
      <c r="J134" s="65"/>
    </row>
    <row r="135" spans="1:10" ht="21" customHeight="1" x14ac:dyDescent="0.2">
      <c r="A135" s="7" t="s">
        <v>11</v>
      </c>
      <c r="B135" s="3" t="s">
        <v>211</v>
      </c>
      <c r="C135" s="3" t="s">
        <v>6</v>
      </c>
      <c r="D135" s="3" t="s">
        <v>54</v>
      </c>
      <c r="E135" s="3" t="s">
        <v>10</v>
      </c>
      <c r="F135" s="3"/>
      <c r="G135" s="48">
        <f>G136</f>
        <v>275</v>
      </c>
      <c r="H135" s="48">
        <f t="shared" si="58"/>
        <v>100</v>
      </c>
      <c r="I135" s="48">
        <f t="shared" si="55"/>
        <v>36.363636363636367</v>
      </c>
      <c r="J135" s="65"/>
    </row>
    <row r="136" spans="1:10" ht="12.75" customHeight="1" x14ac:dyDescent="0.2">
      <c r="A136" s="7" t="s">
        <v>9</v>
      </c>
      <c r="B136" s="3" t="s">
        <v>211</v>
      </c>
      <c r="C136" s="3" t="s">
        <v>6</v>
      </c>
      <c r="D136" s="3" t="s">
        <v>54</v>
      </c>
      <c r="E136" s="3" t="s">
        <v>247</v>
      </c>
      <c r="F136" s="3"/>
      <c r="G136" s="48">
        <f>G137</f>
        <v>275</v>
      </c>
      <c r="H136" s="48">
        <f t="shared" ref="H136" si="59">H137</f>
        <v>100</v>
      </c>
      <c r="I136" s="48">
        <f t="shared" si="55"/>
        <v>36.363636363636367</v>
      </c>
      <c r="J136" s="65"/>
    </row>
    <row r="137" spans="1:10" ht="12.75" customHeight="1" x14ac:dyDescent="0.2">
      <c r="A137" s="7" t="s">
        <v>8</v>
      </c>
      <c r="B137" s="3" t="s">
        <v>211</v>
      </c>
      <c r="C137" s="3" t="s">
        <v>6</v>
      </c>
      <c r="D137" s="3" t="s">
        <v>54</v>
      </c>
      <c r="E137" s="3" t="s">
        <v>247</v>
      </c>
      <c r="F137" s="3" t="s">
        <v>5</v>
      </c>
      <c r="G137" s="48">
        <v>275</v>
      </c>
      <c r="H137" s="48">
        <v>100</v>
      </c>
      <c r="I137" s="48">
        <f t="shared" si="55"/>
        <v>36.363636363636367</v>
      </c>
      <c r="J137" s="65"/>
    </row>
    <row r="138" spans="1:10" ht="24" customHeight="1" x14ac:dyDescent="0.25">
      <c r="A138" s="4" t="s">
        <v>262</v>
      </c>
      <c r="B138" s="3" t="s">
        <v>211</v>
      </c>
      <c r="C138" s="3" t="s">
        <v>6</v>
      </c>
      <c r="D138" s="3" t="s">
        <v>54</v>
      </c>
      <c r="E138" s="3" t="s">
        <v>95</v>
      </c>
      <c r="F138" s="3"/>
      <c r="G138" s="86">
        <f>G139</f>
        <v>428.57143000000002</v>
      </c>
      <c r="H138" s="86">
        <f t="shared" ref="H138:H140" si="60">H139</f>
        <v>0</v>
      </c>
      <c r="I138" s="48">
        <f t="shared" si="55"/>
        <v>0</v>
      </c>
      <c r="J138" s="65"/>
    </row>
    <row r="139" spans="1:10" ht="24" customHeight="1" x14ac:dyDescent="0.25">
      <c r="A139" s="4" t="s">
        <v>116</v>
      </c>
      <c r="B139" s="3" t="s">
        <v>211</v>
      </c>
      <c r="C139" s="3" t="s">
        <v>6</v>
      </c>
      <c r="D139" s="3" t="s">
        <v>54</v>
      </c>
      <c r="E139" s="3" t="s">
        <v>266</v>
      </c>
      <c r="F139" s="3"/>
      <c r="G139" s="86">
        <f>G140</f>
        <v>428.57143000000002</v>
      </c>
      <c r="H139" s="86">
        <f t="shared" si="60"/>
        <v>0</v>
      </c>
      <c r="I139" s="48">
        <f t="shared" si="55"/>
        <v>0</v>
      </c>
      <c r="J139" s="65"/>
    </row>
    <row r="140" spans="1:10" ht="24" customHeight="1" x14ac:dyDescent="0.25">
      <c r="A140" s="4" t="s">
        <v>483</v>
      </c>
      <c r="B140" s="3" t="s">
        <v>211</v>
      </c>
      <c r="C140" s="3" t="s">
        <v>6</v>
      </c>
      <c r="D140" s="3" t="s">
        <v>54</v>
      </c>
      <c r="E140" s="3" t="s">
        <v>484</v>
      </c>
      <c r="F140" s="3"/>
      <c r="G140" s="86">
        <f>G141</f>
        <v>428.57143000000002</v>
      </c>
      <c r="H140" s="86">
        <f t="shared" si="60"/>
        <v>0</v>
      </c>
      <c r="I140" s="48">
        <f t="shared" si="55"/>
        <v>0</v>
      </c>
      <c r="J140" s="65"/>
    </row>
    <row r="141" spans="1:10" ht="24" customHeight="1" x14ac:dyDescent="0.25">
      <c r="A141" s="7" t="s">
        <v>8</v>
      </c>
      <c r="B141" s="3" t="s">
        <v>211</v>
      </c>
      <c r="C141" s="3" t="s">
        <v>6</v>
      </c>
      <c r="D141" s="3" t="s">
        <v>54</v>
      </c>
      <c r="E141" s="3" t="s">
        <v>484</v>
      </c>
      <c r="F141" s="3" t="s">
        <v>5</v>
      </c>
      <c r="G141" s="86">
        <v>428.57143000000002</v>
      </c>
      <c r="H141" s="87"/>
      <c r="I141" s="48">
        <f t="shared" si="55"/>
        <v>0</v>
      </c>
      <c r="J141" s="65"/>
    </row>
    <row r="142" spans="1:10" ht="12.75" customHeight="1" x14ac:dyDescent="0.2">
      <c r="A142" s="4" t="s">
        <v>111</v>
      </c>
      <c r="B142" s="3" t="s">
        <v>211</v>
      </c>
      <c r="C142" s="3" t="s">
        <v>59</v>
      </c>
      <c r="D142" s="3"/>
      <c r="E142" s="3"/>
      <c r="F142" s="3"/>
      <c r="G142" s="48">
        <f>G143</f>
        <v>322.46899999999999</v>
      </c>
      <c r="H142" s="48">
        <f t="shared" ref="H142:H146" si="61">H143</f>
        <v>322.46899999999999</v>
      </c>
      <c r="I142" s="48">
        <f t="shared" si="55"/>
        <v>100</v>
      </c>
      <c r="J142" s="65"/>
    </row>
    <row r="143" spans="1:10" ht="12.75" customHeight="1" x14ac:dyDescent="0.2">
      <c r="A143" s="4" t="s">
        <v>105</v>
      </c>
      <c r="B143" s="3" t="s">
        <v>211</v>
      </c>
      <c r="C143" s="3" t="s">
        <v>59</v>
      </c>
      <c r="D143" s="3" t="s">
        <v>67</v>
      </c>
      <c r="E143" s="3"/>
      <c r="F143" s="3"/>
      <c r="G143" s="48">
        <f>G144+G148</f>
        <v>322.46899999999999</v>
      </c>
      <c r="H143" s="48">
        <f>H144+H148</f>
        <v>322.46899999999999</v>
      </c>
      <c r="I143" s="48">
        <f t="shared" si="55"/>
        <v>100</v>
      </c>
      <c r="J143" s="65"/>
    </row>
    <row r="144" spans="1:10" ht="12.75" customHeight="1" x14ac:dyDescent="0.2">
      <c r="A144" s="4" t="s">
        <v>368</v>
      </c>
      <c r="B144" s="3" t="s">
        <v>211</v>
      </c>
      <c r="C144" s="3" t="s">
        <v>59</v>
      </c>
      <c r="D144" s="3" t="s">
        <v>67</v>
      </c>
      <c r="E144" s="3" t="s">
        <v>369</v>
      </c>
      <c r="F144" s="3"/>
      <c r="G144" s="48">
        <f>G145</f>
        <v>272.46899999999999</v>
      </c>
      <c r="H144" s="48">
        <f t="shared" si="61"/>
        <v>272.46899999999999</v>
      </c>
      <c r="I144" s="48">
        <f t="shared" si="55"/>
        <v>100</v>
      </c>
      <c r="J144" s="65"/>
    </row>
    <row r="145" spans="1:10" ht="12.75" customHeight="1" x14ac:dyDescent="0.2">
      <c r="A145" s="4" t="s">
        <v>479</v>
      </c>
      <c r="B145" s="3" t="s">
        <v>211</v>
      </c>
      <c r="C145" s="3" t="s">
        <v>59</v>
      </c>
      <c r="D145" s="3" t="s">
        <v>67</v>
      </c>
      <c r="E145" s="3" t="s">
        <v>370</v>
      </c>
      <c r="F145" s="3"/>
      <c r="G145" s="48">
        <f>G146</f>
        <v>272.46899999999999</v>
      </c>
      <c r="H145" s="48">
        <f t="shared" si="61"/>
        <v>272.46899999999999</v>
      </c>
      <c r="I145" s="48">
        <f t="shared" si="55"/>
        <v>100</v>
      </c>
      <c r="J145" s="65"/>
    </row>
    <row r="146" spans="1:10" ht="12.75" customHeight="1" x14ac:dyDescent="0.2">
      <c r="A146" s="4" t="s">
        <v>478</v>
      </c>
      <c r="B146" s="3" t="s">
        <v>211</v>
      </c>
      <c r="C146" s="3" t="s">
        <v>59</v>
      </c>
      <c r="D146" s="3" t="s">
        <v>67</v>
      </c>
      <c r="E146" s="3" t="s">
        <v>371</v>
      </c>
      <c r="F146" s="3"/>
      <c r="G146" s="48">
        <f>G147</f>
        <v>272.46899999999999</v>
      </c>
      <c r="H146" s="48">
        <f t="shared" si="61"/>
        <v>272.46899999999999</v>
      </c>
      <c r="I146" s="48">
        <f t="shared" si="55"/>
        <v>100</v>
      </c>
      <c r="J146" s="65"/>
    </row>
    <row r="147" spans="1:10" ht="12.75" customHeight="1" x14ac:dyDescent="0.2">
      <c r="A147" s="7" t="s">
        <v>8</v>
      </c>
      <c r="B147" s="3" t="s">
        <v>211</v>
      </c>
      <c r="C147" s="3" t="s">
        <v>59</v>
      </c>
      <c r="D147" s="3" t="s">
        <v>67</v>
      </c>
      <c r="E147" s="3" t="s">
        <v>371</v>
      </c>
      <c r="F147" s="3" t="s">
        <v>5</v>
      </c>
      <c r="G147" s="48">
        <v>272.46899999999999</v>
      </c>
      <c r="H147" s="48">
        <v>272.46899999999999</v>
      </c>
      <c r="I147" s="48">
        <f t="shared" si="55"/>
        <v>100</v>
      </c>
      <c r="J147" s="65"/>
    </row>
    <row r="148" spans="1:10" ht="12.75" customHeight="1" x14ac:dyDescent="0.2">
      <c r="A148" s="4" t="s">
        <v>46</v>
      </c>
      <c r="B148" s="3" t="s">
        <v>211</v>
      </c>
      <c r="C148" s="3" t="s">
        <v>59</v>
      </c>
      <c r="D148" s="3" t="s">
        <v>67</v>
      </c>
      <c r="E148" s="3" t="s">
        <v>44</v>
      </c>
      <c r="F148" s="3"/>
      <c r="G148" s="48">
        <f>G149</f>
        <v>50</v>
      </c>
      <c r="H148" s="48">
        <f>H149</f>
        <v>50</v>
      </c>
      <c r="I148" s="48"/>
      <c r="J148" s="65"/>
    </row>
    <row r="149" spans="1:10" ht="12.75" customHeight="1" x14ac:dyDescent="0.2">
      <c r="A149" s="7" t="s">
        <v>8</v>
      </c>
      <c r="B149" s="3" t="s">
        <v>211</v>
      </c>
      <c r="C149" s="3" t="s">
        <v>59</v>
      </c>
      <c r="D149" s="3" t="s">
        <v>67</v>
      </c>
      <c r="E149" s="3" t="s">
        <v>44</v>
      </c>
      <c r="F149" s="3" t="s">
        <v>5</v>
      </c>
      <c r="G149" s="48">
        <v>50</v>
      </c>
      <c r="H149" s="48">
        <v>50</v>
      </c>
      <c r="I149" s="48"/>
      <c r="J149" s="65"/>
    </row>
    <row r="150" spans="1:10" ht="12.75" customHeight="1" x14ac:dyDescent="0.2">
      <c r="A150" s="4" t="s">
        <v>100</v>
      </c>
      <c r="B150" s="3" t="s">
        <v>211</v>
      </c>
      <c r="C150" s="3" t="s">
        <v>36</v>
      </c>
      <c r="D150" s="3" t="s">
        <v>19</v>
      </c>
      <c r="E150" s="3"/>
      <c r="F150" s="3"/>
      <c r="G150" s="48">
        <f t="shared" ref="G150:H154" si="62">G151</f>
        <v>120</v>
      </c>
      <c r="H150" s="48">
        <f t="shared" si="62"/>
        <v>120</v>
      </c>
      <c r="I150" s="48"/>
      <c r="J150" s="65"/>
    </row>
    <row r="151" spans="1:10" ht="12.75" customHeight="1" x14ac:dyDescent="0.2">
      <c r="A151" s="4" t="s">
        <v>98</v>
      </c>
      <c r="B151" s="3" t="s">
        <v>211</v>
      </c>
      <c r="C151" s="3" t="s">
        <v>36</v>
      </c>
      <c r="D151" s="3" t="s">
        <v>27</v>
      </c>
      <c r="E151" s="3"/>
      <c r="F151" s="3"/>
      <c r="G151" s="48">
        <f t="shared" si="62"/>
        <v>120</v>
      </c>
      <c r="H151" s="48">
        <f t="shared" si="62"/>
        <v>120</v>
      </c>
      <c r="I151" s="48"/>
      <c r="J151" s="65"/>
    </row>
    <row r="152" spans="1:10" ht="22.5" customHeight="1" x14ac:dyDescent="0.25">
      <c r="A152" s="7" t="s">
        <v>385</v>
      </c>
      <c r="B152" s="3" t="s">
        <v>211</v>
      </c>
      <c r="C152" s="3" t="s">
        <v>36</v>
      </c>
      <c r="D152" s="3" t="s">
        <v>27</v>
      </c>
      <c r="E152" s="3" t="s">
        <v>91</v>
      </c>
      <c r="F152" s="3"/>
      <c r="G152" s="88">
        <f t="shared" si="62"/>
        <v>120</v>
      </c>
      <c r="H152" s="88">
        <f t="shared" si="62"/>
        <v>120</v>
      </c>
      <c r="I152" s="48">
        <f t="shared" ref="I152:I155" si="63">H152/G152*100</f>
        <v>100</v>
      </c>
      <c r="J152" s="65"/>
    </row>
    <row r="153" spans="1:10" ht="30.75" customHeight="1" x14ac:dyDescent="0.25">
      <c r="A153" s="7" t="s">
        <v>94</v>
      </c>
      <c r="B153" s="3" t="s">
        <v>211</v>
      </c>
      <c r="C153" s="3" t="s">
        <v>36</v>
      </c>
      <c r="D153" s="3" t="s">
        <v>27</v>
      </c>
      <c r="E153" s="3" t="s">
        <v>386</v>
      </c>
      <c r="F153" s="3"/>
      <c r="G153" s="88">
        <f t="shared" si="62"/>
        <v>120</v>
      </c>
      <c r="H153" s="88">
        <f t="shared" si="62"/>
        <v>120</v>
      </c>
      <c r="I153" s="48">
        <f t="shared" si="63"/>
        <v>100</v>
      </c>
      <c r="J153" s="65"/>
    </row>
    <row r="154" spans="1:10" ht="29.25" customHeight="1" x14ac:dyDescent="0.25">
      <c r="A154" s="7" t="s">
        <v>285</v>
      </c>
      <c r="B154" s="3" t="s">
        <v>211</v>
      </c>
      <c r="C154" s="3" t="s">
        <v>36</v>
      </c>
      <c r="D154" s="3" t="s">
        <v>27</v>
      </c>
      <c r="E154" s="3" t="s">
        <v>391</v>
      </c>
      <c r="F154" s="3"/>
      <c r="G154" s="88">
        <f t="shared" si="62"/>
        <v>120</v>
      </c>
      <c r="H154" s="88">
        <f t="shared" si="62"/>
        <v>120</v>
      </c>
      <c r="I154" s="48">
        <f t="shared" si="63"/>
        <v>100</v>
      </c>
      <c r="J154" s="65"/>
    </row>
    <row r="155" spans="1:10" ht="12.75" customHeight="1" x14ac:dyDescent="0.25">
      <c r="A155" s="7" t="s">
        <v>8</v>
      </c>
      <c r="B155" s="3" t="s">
        <v>211</v>
      </c>
      <c r="C155" s="3" t="s">
        <v>36</v>
      </c>
      <c r="D155" s="3" t="s">
        <v>27</v>
      </c>
      <c r="E155" s="3" t="s">
        <v>391</v>
      </c>
      <c r="F155" s="3" t="s">
        <v>5</v>
      </c>
      <c r="G155" s="86">
        <v>120</v>
      </c>
      <c r="H155" s="88">
        <v>120</v>
      </c>
      <c r="I155" s="48">
        <f t="shared" si="63"/>
        <v>100</v>
      </c>
      <c r="J155" s="65"/>
    </row>
    <row r="156" spans="1:10" ht="12.75" customHeight="1" x14ac:dyDescent="0.2">
      <c r="A156" s="4" t="s">
        <v>76</v>
      </c>
      <c r="B156" s="3" t="s">
        <v>211</v>
      </c>
      <c r="C156" s="3" t="s">
        <v>72</v>
      </c>
      <c r="D156" s="3"/>
      <c r="E156" s="3"/>
      <c r="F156" s="3"/>
      <c r="G156" s="48">
        <f>G157</f>
        <v>1230</v>
      </c>
      <c r="H156" s="48">
        <f t="shared" ref="H156:H160" si="64">H157</f>
        <v>287.49900000000002</v>
      </c>
      <c r="I156" s="48">
        <f t="shared" si="55"/>
        <v>23.373902439024391</v>
      </c>
      <c r="J156" s="65"/>
    </row>
    <row r="157" spans="1:10" ht="12.75" customHeight="1" x14ac:dyDescent="0.2">
      <c r="A157" s="4" t="s">
        <v>76</v>
      </c>
      <c r="B157" s="3" t="s">
        <v>211</v>
      </c>
      <c r="C157" s="3" t="s">
        <v>72</v>
      </c>
      <c r="D157" s="3" t="s">
        <v>15</v>
      </c>
      <c r="E157" s="3"/>
      <c r="F157" s="3"/>
      <c r="G157" s="48">
        <f>G158</f>
        <v>1230</v>
      </c>
      <c r="H157" s="48">
        <f t="shared" si="64"/>
        <v>287.49900000000002</v>
      </c>
      <c r="I157" s="48">
        <f t="shared" si="55"/>
        <v>23.373902439024391</v>
      </c>
      <c r="J157" s="65"/>
    </row>
    <row r="158" spans="1:10" ht="12.75" customHeight="1" x14ac:dyDescent="0.2">
      <c r="A158" s="4" t="s">
        <v>354</v>
      </c>
      <c r="B158" s="3" t="s">
        <v>211</v>
      </c>
      <c r="C158" s="3" t="s">
        <v>72</v>
      </c>
      <c r="D158" s="3" t="s">
        <v>15</v>
      </c>
      <c r="E158" s="3" t="s">
        <v>12</v>
      </c>
      <c r="F158" s="3"/>
      <c r="G158" s="48">
        <f>G159</f>
        <v>1230</v>
      </c>
      <c r="H158" s="48">
        <f t="shared" ref="H158" si="65">H159</f>
        <v>287.49900000000002</v>
      </c>
      <c r="I158" s="48">
        <f t="shared" si="55"/>
        <v>23.373902439024391</v>
      </c>
      <c r="J158" s="65"/>
    </row>
    <row r="159" spans="1:10" ht="48" customHeight="1" x14ac:dyDescent="0.2">
      <c r="A159" s="7" t="s">
        <v>11</v>
      </c>
      <c r="B159" s="3" t="s">
        <v>211</v>
      </c>
      <c r="C159" s="3" t="s">
        <v>72</v>
      </c>
      <c r="D159" s="3" t="s">
        <v>15</v>
      </c>
      <c r="E159" s="3" t="s">
        <v>10</v>
      </c>
      <c r="F159" s="3"/>
      <c r="G159" s="48">
        <f>G160</f>
        <v>1230</v>
      </c>
      <c r="H159" s="48">
        <f t="shared" si="64"/>
        <v>287.49900000000002</v>
      </c>
      <c r="I159" s="48">
        <f t="shared" si="55"/>
        <v>23.373902439024391</v>
      </c>
      <c r="J159" s="65"/>
    </row>
    <row r="160" spans="1:10" ht="22.5" customHeight="1" x14ac:dyDescent="0.2">
      <c r="A160" s="7" t="s">
        <v>9</v>
      </c>
      <c r="B160" s="3" t="s">
        <v>211</v>
      </c>
      <c r="C160" s="3" t="s">
        <v>72</v>
      </c>
      <c r="D160" s="3" t="s">
        <v>15</v>
      </c>
      <c r="E160" s="3" t="s">
        <v>247</v>
      </c>
      <c r="F160" s="3"/>
      <c r="G160" s="48">
        <f>G161</f>
        <v>1230</v>
      </c>
      <c r="H160" s="48">
        <f t="shared" si="64"/>
        <v>287.49900000000002</v>
      </c>
      <c r="I160" s="48">
        <f t="shared" si="55"/>
        <v>23.373902439024391</v>
      </c>
      <c r="J160" s="65"/>
    </row>
    <row r="161" spans="1:10" ht="12.75" customHeight="1" x14ac:dyDescent="0.2">
      <c r="A161" s="7" t="s">
        <v>8</v>
      </c>
      <c r="B161" s="3" t="s">
        <v>211</v>
      </c>
      <c r="C161" s="3" t="s">
        <v>72</v>
      </c>
      <c r="D161" s="3" t="s">
        <v>15</v>
      </c>
      <c r="E161" s="3" t="s">
        <v>247</v>
      </c>
      <c r="F161" s="3" t="s">
        <v>5</v>
      </c>
      <c r="G161" s="48">
        <v>1230</v>
      </c>
      <c r="H161" s="48">
        <v>287.49900000000002</v>
      </c>
      <c r="I161" s="48">
        <f t="shared" si="55"/>
        <v>23.373902439024391</v>
      </c>
      <c r="J161" s="65"/>
    </row>
    <row r="162" spans="1:10" ht="12.75" customHeight="1" x14ac:dyDescent="0.2">
      <c r="A162" s="4" t="s">
        <v>50</v>
      </c>
      <c r="B162" s="3" t="s">
        <v>211</v>
      </c>
      <c r="C162" s="3" t="s">
        <v>37</v>
      </c>
      <c r="D162" s="3"/>
      <c r="E162" s="3"/>
      <c r="F162" s="3"/>
      <c r="G162" s="48">
        <f>G163</f>
        <v>400</v>
      </c>
      <c r="H162" s="48">
        <f t="shared" ref="H162:H163" si="66">H163</f>
        <v>0</v>
      </c>
      <c r="I162" s="48">
        <f t="shared" si="55"/>
        <v>0</v>
      </c>
      <c r="J162" s="65"/>
    </row>
    <row r="163" spans="1:10" ht="12.75" customHeight="1" x14ac:dyDescent="0.2">
      <c r="A163" s="4" t="s">
        <v>49</v>
      </c>
      <c r="B163" s="3" t="s">
        <v>211</v>
      </c>
      <c r="C163" s="3" t="s">
        <v>37</v>
      </c>
      <c r="D163" s="3" t="s">
        <v>15</v>
      </c>
      <c r="E163" s="3"/>
      <c r="F163" s="3"/>
      <c r="G163" s="48">
        <f>G164</f>
        <v>400</v>
      </c>
      <c r="H163" s="48">
        <f t="shared" si="66"/>
        <v>0</v>
      </c>
      <c r="I163" s="48">
        <f t="shared" si="55"/>
        <v>0</v>
      </c>
      <c r="J163" s="65"/>
    </row>
    <row r="164" spans="1:10" ht="12.75" customHeight="1" x14ac:dyDescent="0.2">
      <c r="A164" s="4" t="s">
        <v>354</v>
      </c>
      <c r="B164" s="3" t="s">
        <v>211</v>
      </c>
      <c r="C164" s="3" t="s">
        <v>37</v>
      </c>
      <c r="D164" s="3" t="s">
        <v>15</v>
      </c>
      <c r="E164" s="3" t="s">
        <v>12</v>
      </c>
      <c r="F164" s="3"/>
      <c r="G164" s="48">
        <f>G165</f>
        <v>400</v>
      </c>
      <c r="H164" s="48">
        <f t="shared" ref="H164:H166" si="67">H165</f>
        <v>0</v>
      </c>
      <c r="I164" s="48">
        <f t="shared" si="55"/>
        <v>0</v>
      </c>
      <c r="J164" s="65"/>
    </row>
    <row r="165" spans="1:10" ht="12.75" customHeight="1" x14ac:dyDescent="0.2">
      <c r="A165" s="7" t="s">
        <v>11</v>
      </c>
      <c r="B165" s="3" t="s">
        <v>211</v>
      </c>
      <c r="C165" s="3" t="s">
        <v>37</v>
      </c>
      <c r="D165" s="3" t="s">
        <v>15</v>
      </c>
      <c r="E165" s="3" t="s">
        <v>10</v>
      </c>
      <c r="F165" s="3"/>
      <c r="G165" s="48">
        <f>G166</f>
        <v>400</v>
      </c>
      <c r="H165" s="48">
        <f t="shared" si="67"/>
        <v>0</v>
      </c>
      <c r="I165" s="48">
        <f t="shared" si="55"/>
        <v>0</v>
      </c>
      <c r="J165" s="65"/>
    </row>
    <row r="166" spans="1:10" ht="12.75" customHeight="1" x14ac:dyDescent="0.2">
      <c r="A166" s="7" t="s">
        <v>9</v>
      </c>
      <c r="B166" s="3" t="s">
        <v>211</v>
      </c>
      <c r="C166" s="3" t="s">
        <v>37</v>
      </c>
      <c r="D166" s="3" t="s">
        <v>15</v>
      </c>
      <c r="E166" s="3" t="s">
        <v>247</v>
      </c>
      <c r="F166" s="3"/>
      <c r="G166" s="48">
        <f>G167</f>
        <v>400</v>
      </c>
      <c r="H166" s="48">
        <f t="shared" si="67"/>
        <v>0</v>
      </c>
      <c r="I166" s="48">
        <f t="shared" si="55"/>
        <v>0</v>
      </c>
      <c r="J166" s="65"/>
    </row>
    <row r="167" spans="1:10" ht="12.75" customHeight="1" x14ac:dyDescent="0.2">
      <c r="A167" s="7" t="s">
        <v>8</v>
      </c>
      <c r="B167" s="3" t="s">
        <v>211</v>
      </c>
      <c r="C167" s="3" t="s">
        <v>37</v>
      </c>
      <c r="D167" s="3" t="s">
        <v>15</v>
      </c>
      <c r="E167" s="3" t="s">
        <v>247</v>
      </c>
      <c r="F167" s="3" t="s">
        <v>5</v>
      </c>
      <c r="G167" s="48">
        <v>400</v>
      </c>
      <c r="H167" s="48"/>
      <c r="I167" s="48">
        <f t="shared" si="55"/>
        <v>0</v>
      </c>
      <c r="J167" s="65"/>
    </row>
    <row r="168" spans="1:10" ht="24" customHeight="1" x14ac:dyDescent="0.2">
      <c r="A168" s="4" t="s">
        <v>20</v>
      </c>
      <c r="B168" s="3" t="s">
        <v>211</v>
      </c>
      <c r="C168" s="3" t="s">
        <v>7</v>
      </c>
      <c r="D168" s="3" t="s">
        <v>19</v>
      </c>
      <c r="E168" s="3"/>
      <c r="F168" s="3"/>
      <c r="G168" s="48">
        <f>G169+G176</f>
        <v>36825.599999999999</v>
      </c>
      <c r="H168" s="48">
        <f>H169+H176</f>
        <v>11922.78464</v>
      </c>
      <c r="I168" s="48">
        <f t="shared" si="55"/>
        <v>32.376348627042056</v>
      </c>
      <c r="J168" s="65"/>
    </row>
    <row r="169" spans="1:10" ht="24" customHeight="1" x14ac:dyDescent="0.2">
      <c r="A169" s="4" t="s">
        <v>18</v>
      </c>
      <c r="B169" s="3" t="s">
        <v>211</v>
      </c>
      <c r="C169" s="3" t="s">
        <v>7</v>
      </c>
      <c r="D169" s="3" t="s">
        <v>15</v>
      </c>
      <c r="E169" s="3"/>
      <c r="F169" s="3"/>
      <c r="G169" s="48">
        <f>G170</f>
        <v>25963.5</v>
      </c>
      <c r="H169" s="48">
        <f>H170</f>
        <v>9225.2596400000002</v>
      </c>
      <c r="I169" s="48">
        <f t="shared" si="55"/>
        <v>35.53164881468215</v>
      </c>
      <c r="J169" s="65"/>
    </row>
    <row r="170" spans="1:10" ht="69.75" customHeight="1" x14ac:dyDescent="0.2">
      <c r="A170" s="4" t="s">
        <v>354</v>
      </c>
      <c r="B170" s="3" t="s">
        <v>211</v>
      </c>
      <c r="C170" s="3" t="s">
        <v>7</v>
      </c>
      <c r="D170" s="3" t="s">
        <v>15</v>
      </c>
      <c r="E170" s="3" t="s">
        <v>12</v>
      </c>
      <c r="F170" s="3"/>
      <c r="G170" s="73">
        <f t="shared" ref="G170:H170" si="68">G171</f>
        <v>25963.5</v>
      </c>
      <c r="H170" s="73">
        <f t="shared" si="68"/>
        <v>9225.2596400000002</v>
      </c>
      <c r="I170" s="48">
        <f t="shared" si="55"/>
        <v>35.53164881468215</v>
      </c>
      <c r="J170" s="65"/>
    </row>
    <row r="171" spans="1:10" ht="36" customHeight="1" x14ac:dyDescent="0.2">
      <c r="A171" s="4" t="s">
        <v>11</v>
      </c>
      <c r="B171" s="3" t="s">
        <v>211</v>
      </c>
      <c r="C171" s="3" t="s">
        <v>7</v>
      </c>
      <c r="D171" s="3" t="s">
        <v>15</v>
      </c>
      <c r="E171" s="3" t="s">
        <v>10</v>
      </c>
      <c r="F171" s="3"/>
      <c r="G171" s="73">
        <f t="shared" ref="G171:H171" si="69">G172+G174</f>
        <v>25963.5</v>
      </c>
      <c r="H171" s="73">
        <f t="shared" si="69"/>
        <v>9225.2596400000002</v>
      </c>
      <c r="I171" s="48">
        <f t="shared" si="55"/>
        <v>35.53164881468215</v>
      </c>
      <c r="J171" s="65"/>
    </row>
    <row r="172" spans="1:10" ht="36" customHeight="1" x14ac:dyDescent="0.2">
      <c r="A172" s="4" t="s">
        <v>17</v>
      </c>
      <c r="B172" s="3" t="s">
        <v>211</v>
      </c>
      <c r="C172" s="3" t="s">
        <v>7</v>
      </c>
      <c r="D172" s="3" t="s">
        <v>15</v>
      </c>
      <c r="E172" s="3" t="s">
        <v>16</v>
      </c>
      <c r="F172" s="3"/>
      <c r="G172" s="73">
        <f t="shared" ref="G172:H172" si="70">G173</f>
        <v>20107</v>
      </c>
      <c r="H172" s="73">
        <f t="shared" si="70"/>
        <v>7273.0929999999998</v>
      </c>
      <c r="I172" s="48">
        <f t="shared" si="55"/>
        <v>36.171945093748448</v>
      </c>
      <c r="J172" s="65"/>
    </row>
    <row r="173" spans="1:10" ht="12.75" customHeight="1" x14ac:dyDescent="0.2">
      <c r="A173" s="4" t="s">
        <v>8</v>
      </c>
      <c r="B173" s="3" t="s">
        <v>211</v>
      </c>
      <c r="C173" s="3" t="s">
        <v>7</v>
      </c>
      <c r="D173" s="3" t="s">
        <v>15</v>
      </c>
      <c r="E173" s="3" t="s">
        <v>16</v>
      </c>
      <c r="F173" s="3" t="s">
        <v>5</v>
      </c>
      <c r="G173" s="48">
        <v>20107</v>
      </c>
      <c r="H173" s="73">
        <v>7273.0929999999998</v>
      </c>
      <c r="I173" s="48">
        <f t="shared" si="55"/>
        <v>36.171945093748448</v>
      </c>
      <c r="J173" s="65"/>
    </row>
    <row r="174" spans="1:10" ht="60" customHeight="1" x14ac:dyDescent="0.2">
      <c r="A174" s="4" t="s">
        <v>333</v>
      </c>
      <c r="B174" s="3" t="s">
        <v>211</v>
      </c>
      <c r="C174" s="3" t="s">
        <v>7</v>
      </c>
      <c r="D174" s="3" t="s">
        <v>15</v>
      </c>
      <c r="E174" s="3" t="s">
        <v>14</v>
      </c>
      <c r="F174" s="3"/>
      <c r="G174" s="73">
        <f t="shared" ref="G174:H174" si="71">G175</f>
        <v>5856.5</v>
      </c>
      <c r="H174" s="73">
        <f t="shared" si="71"/>
        <v>1952.1666399999999</v>
      </c>
      <c r="I174" s="48">
        <f t="shared" si="55"/>
        <v>33.333332877998807</v>
      </c>
      <c r="J174" s="65"/>
    </row>
    <row r="175" spans="1:10" ht="12.75" customHeight="1" x14ac:dyDescent="0.2">
      <c r="A175" s="4" t="s">
        <v>8</v>
      </c>
      <c r="B175" s="3" t="s">
        <v>211</v>
      </c>
      <c r="C175" s="3" t="s">
        <v>7</v>
      </c>
      <c r="D175" s="3" t="s">
        <v>15</v>
      </c>
      <c r="E175" s="3" t="s">
        <v>14</v>
      </c>
      <c r="F175" s="3" t="s">
        <v>5</v>
      </c>
      <c r="G175" s="48">
        <v>5856.5</v>
      </c>
      <c r="H175" s="73">
        <v>1952.1666399999999</v>
      </c>
      <c r="I175" s="48">
        <f t="shared" si="55"/>
        <v>33.333332877998807</v>
      </c>
      <c r="J175" s="65"/>
    </row>
    <row r="176" spans="1:10" ht="36" customHeight="1" x14ac:dyDescent="0.2">
      <c r="A176" s="4" t="s">
        <v>13</v>
      </c>
      <c r="B176" s="3" t="s">
        <v>211</v>
      </c>
      <c r="C176" s="3" t="s">
        <v>7</v>
      </c>
      <c r="D176" s="3" t="s">
        <v>6</v>
      </c>
      <c r="E176" s="3"/>
      <c r="F176" s="3"/>
      <c r="G176" s="48">
        <f>G177</f>
        <v>10862.1</v>
      </c>
      <c r="H176" s="48">
        <f t="shared" ref="H176" si="72">H177</f>
        <v>2697.5250000000001</v>
      </c>
      <c r="I176" s="48">
        <f t="shared" si="55"/>
        <v>24.834286187753747</v>
      </c>
      <c r="J176" s="65"/>
    </row>
    <row r="177" spans="1:10" ht="36" customHeight="1" x14ac:dyDescent="0.2">
      <c r="A177" s="4" t="s">
        <v>354</v>
      </c>
      <c r="B177" s="3" t="s">
        <v>211</v>
      </c>
      <c r="C177" s="3" t="s">
        <v>7</v>
      </c>
      <c r="D177" s="3" t="s">
        <v>6</v>
      </c>
      <c r="E177" s="3" t="s">
        <v>12</v>
      </c>
      <c r="F177" s="3"/>
      <c r="G177" s="84">
        <f t="shared" ref="G177:H177" si="73">G178</f>
        <v>10862.1</v>
      </c>
      <c r="H177" s="84">
        <f t="shared" si="73"/>
        <v>2697.5250000000001</v>
      </c>
      <c r="I177" s="48">
        <f t="shared" si="55"/>
        <v>24.834286187753747</v>
      </c>
      <c r="J177" s="65"/>
    </row>
    <row r="178" spans="1:10" ht="36" customHeight="1" x14ac:dyDescent="0.2">
      <c r="A178" s="4" t="s">
        <v>11</v>
      </c>
      <c r="B178" s="3" t="s">
        <v>211</v>
      </c>
      <c r="C178" s="3" t="s">
        <v>7</v>
      </c>
      <c r="D178" s="3" t="s">
        <v>6</v>
      </c>
      <c r="E178" s="3" t="s">
        <v>10</v>
      </c>
      <c r="F178" s="3"/>
      <c r="G178" s="84">
        <f>G181+G179</f>
        <v>10862.1</v>
      </c>
      <c r="H178" s="84">
        <f t="shared" ref="H178" si="74">H181+H179</f>
        <v>2697.5250000000001</v>
      </c>
      <c r="I178" s="48">
        <f t="shared" si="55"/>
        <v>24.834286187753747</v>
      </c>
      <c r="J178" s="65"/>
    </row>
    <row r="179" spans="1:10" ht="12.75" customHeight="1" x14ac:dyDescent="0.2">
      <c r="A179" s="7" t="s">
        <v>9</v>
      </c>
      <c r="B179" s="3" t="s">
        <v>211</v>
      </c>
      <c r="C179" s="3" t="s">
        <v>7</v>
      </c>
      <c r="D179" s="3" t="s">
        <v>6</v>
      </c>
      <c r="E179" s="3" t="s">
        <v>247</v>
      </c>
      <c r="F179" s="3"/>
      <c r="G179" s="48">
        <f>G180</f>
        <v>72</v>
      </c>
      <c r="H179" s="48">
        <f t="shared" ref="H179" si="75">H180</f>
        <v>0</v>
      </c>
      <c r="I179" s="48">
        <f t="shared" si="55"/>
        <v>0</v>
      </c>
      <c r="J179" s="65"/>
    </row>
    <row r="180" spans="1:10" ht="12.75" customHeight="1" x14ac:dyDescent="0.2">
      <c r="A180" s="7" t="s">
        <v>8</v>
      </c>
      <c r="B180" s="3" t="s">
        <v>211</v>
      </c>
      <c r="C180" s="3" t="s">
        <v>7</v>
      </c>
      <c r="D180" s="3" t="s">
        <v>6</v>
      </c>
      <c r="E180" s="3" t="s">
        <v>247</v>
      </c>
      <c r="F180" s="3" t="s">
        <v>5</v>
      </c>
      <c r="G180" s="48">
        <v>72</v>
      </c>
      <c r="H180" s="48"/>
      <c r="I180" s="48">
        <f t="shared" si="55"/>
        <v>0</v>
      </c>
      <c r="J180" s="65"/>
    </row>
    <row r="181" spans="1:10" ht="12.75" customHeight="1" x14ac:dyDescent="0.2">
      <c r="A181" s="7" t="s">
        <v>453</v>
      </c>
      <c r="B181" s="3" t="s">
        <v>211</v>
      </c>
      <c r="C181" s="3" t="s">
        <v>7</v>
      </c>
      <c r="D181" s="3" t="s">
        <v>6</v>
      </c>
      <c r="E181" s="3" t="s">
        <v>485</v>
      </c>
      <c r="F181" s="3"/>
      <c r="G181" s="48">
        <f>G182</f>
        <v>10790.1</v>
      </c>
      <c r="H181" s="48">
        <f t="shared" ref="H181" si="76">H182</f>
        <v>2697.5250000000001</v>
      </c>
      <c r="I181" s="48">
        <f t="shared" si="55"/>
        <v>25</v>
      </c>
      <c r="J181" s="65"/>
    </row>
    <row r="182" spans="1:10" ht="12.75" customHeight="1" x14ac:dyDescent="0.2">
      <c r="A182" s="4" t="s">
        <v>8</v>
      </c>
      <c r="B182" s="3" t="s">
        <v>211</v>
      </c>
      <c r="C182" s="3" t="s">
        <v>7</v>
      </c>
      <c r="D182" s="3" t="s">
        <v>6</v>
      </c>
      <c r="E182" s="3" t="s">
        <v>485</v>
      </c>
      <c r="F182" s="3" t="s">
        <v>5</v>
      </c>
      <c r="G182" s="48">
        <v>10790.1</v>
      </c>
      <c r="H182" s="84">
        <v>2697.5250000000001</v>
      </c>
      <c r="I182" s="48">
        <f t="shared" si="55"/>
        <v>25</v>
      </c>
      <c r="J182" s="65"/>
    </row>
    <row r="183" spans="1:10" ht="28.5" customHeight="1" x14ac:dyDescent="0.2">
      <c r="A183" s="45" t="s">
        <v>234</v>
      </c>
      <c r="B183" s="5" t="s">
        <v>79</v>
      </c>
      <c r="C183" s="5"/>
      <c r="D183" s="5"/>
      <c r="E183" s="5"/>
      <c r="F183" s="3"/>
      <c r="G183" s="96">
        <f>G184+G246+G270+G314+G357+G378+G404+G372+G410</f>
        <v>177880.69599999997</v>
      </c>
      <c r="H183" s="96">
        <f>H184+H246+H270+H314+H357+H378+H404+H372+H410</f>
        <v>17887.532380000001</v>
      </c>
      <c r="I183" s="47">
        <f t="shared" si="55"/>
        <v>10.055915443461052</v>
      </c>
      <c r="J183" s="65"/>
    </row>
    <row r="184" spans="1:10" ht="12.75" customHeight="1" x14ac:dyDescent="0.2">
      <c r="A184" s="4" t="s">
        <v>156</v>
      </c>
      <c r="B184" s="3" t="s">
        <v>79</v>
      </c>
      <c r="C184" s="3" t="s">
        <v>15</v>
      </c>
      <c r="D184" s="3"/>
      <c r="E184" s="3"/>
      <c r="F184" s="3"/>
      <c r="G184" s="48">
        <f>G185+G188+G194+G222+G218+G213</f>
        <v>18411.020109999998</v>
      </c>
      <c r="H184" s="48">
        <f>H185+H188+H194+H222+H218+H213</f>
        <v>4349.0657499999998</v>
      </c>
      <c r="I184" s="48">
        <f t="shared" si="55"/>
        <v>23.622079189614226</v>
      </c>
      <c r="J184" s="65"/>
    </row>
    <row r="185" spans="1:10" ht="36" customHeight="1" x14ac:dyDescent="0.2">
      <c r="A185" s="4" t="s">
        <v>155</v>
      </c>
      <c r="B185" s="3" t="s">
        <v>79</v>
      </c>
      <c r="C185" s="3" t="s">
        <v>15</v>
      </c>
      <c r="D185" s="3" t="s">
        <v>27</v>
      </c>
      <c r="E185" s="3"/>
      <c r="F185" s="3"/>
      <c r="G185" s="48">
        <f t="shared" ref="G185:H185" si="77">G186</f>
        <v>1457.55</v>
      </c>
      <c r="H185" s="48">
        <f t="shared" si="77"/>
        <v>391.00683000000004</v>
      </c>
      <c r="I185" s="48">
        <f t="shared" si="55"/>
        <v>26.82630647319132</v>
      </c>
      <c r="J185" s="65"/>
    </row>
    <row r="186" spans="1:10" ht="24" customHeight="1" x14ac:dyDescent="0.2">
      <c r="A186" s="4" t="s">
        <v>154</v>
      </c>
      <c r="B186" s="3" t="s">
        <v>79</v>
      </c>
      <c r="C186" s="3" t="s">
        <v>15</v>
      </c>
      <c r="D186" s="3" t="s">
        <v>27</v>
      </c>
      <c r="E186" s="3" t="s">
        <v>153</v>
      </c>
      <c r="F186" s="3"/>
      <c r="G186" s="79">
        <f t="shared" ref="G186:H186" si="78">G187</f>
        <v>1457.55</v>
      </c>
      <c r="H186" s="79">
        <f t="shared" si="78"/>
        <v>391.00683000000004</v>
      </c>
      <c r="I186" s="48">
        <f t="shared" si="55"/>
        <v>26.82630647319132</v>
      </c>
      <c r="J186" s="65"/>
    </row>
    <row r="187" spans="1:10" ht="60" customHeight="1" x14ac:dyDescent="0.2">
      <c r="A187" s="4" t="s">
        <v>38</v>
      </c>
      <c r="B187" s="3" t="s">
        <v>79</v>
      </c>
      <c r="C187" s="3" t="s">
        <v>15</v>
      </c>
      <c r="D187" s="3" t="s">
        <v>27</v>
      </c>
      <c r="E187" s="3" t="s">
        <v>153</v>
      </c>
      <c r="F187" s="3" t="s">
        <v>34</v>
      </c>
      <c r="G187" s="48">
        <f>1119.47005+338.07995</f>
        <v>1457.55</v>
      </c>
      <c r="H187" s="79">
        <f>337.88776+53.11907</f>
        <v>391.00683000000004</v>
      </c>
      <c r="I187" s="48">
        <f t="shared" si="55"/>
        <v>26.82630647319132</v>
      </c>
      <c r="J187" s="65"/>
    </row>
    <row r="188" spans="1:10" ht="38.25" customHeight="1" x14ac:dyDescent="0.2">
      <c r="A188" s="4" t="s">
        <v>152</v>
      </c>
      <c r="B188" s="3" t="s">
        <v>79</v>
      </c>
      <c r="C188" s="3" t="s">
        <v>15</v>
      </c>
      <c r="D188" s="3" t="s">
        <v>6</v>
      </c>
      <c r="E188" s="3"/>
      <c r="F188" s="3"/>
      <c r="G188" s="48">
        <f t="shared" ref="G188" si="79">G189+G191</f>
        <v>1903.8400000000001</v>
      </c>
      <c r="H188" s="48">
        <f>H189+H191</f>
        <v>401.87860999999998</v>
      </c>
      <c r="I188" s="48">
        <f t="shared" si="55"/>
        <v>21.10884370535339</v>
      </c>
      <c r="J188" s="65"/>
    </row>
    <row r="189" spans="1:10" ht="24" customHeight="1" x14ac:dyDescent="0.2">
      <c r="A189" s="4" t="s">
        <v>151</v>
      </c>
      <c r="B189" s="3" t="s">
        <v>79</v>
      </c>
      <c r="C189" s="3" t="s">
        <v>15</v>
      </c>
      <c r="D189" s="3" t="s">
        <v>6</v>
      </c>
      <c r="E189" s="3" t="s">
        <v>150</v>
      </c>
      <c r="F189" s="3"/>
      <c r="G189" s="79">
        <f t="shared" ref="G189:H189" si="80">G190</f>
        <v>1150.69</v>
      </c>
      <c r="H189" s="79">
        <f t="shared" si="80"/>
        <v>248.72307000000001</v>
      </c>
      <c r="I189" s="48">
        <f t="shared" si="55"/>
        <v>21.615123969096803</v>
      </c>
      <c r="J189" s="65"/>
    </row>
    <row r="190" spans="1:10" ht="60" customHeight="1" x14ac:dyDescent="0.2">
      <c r="A190" s="4" t="s">
        <v>38</v>
      </c>
      <c r="B190" s="3" t="s">
        <v>79</v>
      </c>
      <c r="C190" s="3" t="s">
        <v>15</v>
      </c>
      <c r="D190" s="3" t="s">
        <v>6</v>
      </c>
      <c r="E190" s="3" t="s">
        <v>150</v>
      </c>
      <c r="F190" s="3" t="s">
        <v>34</v>
      </c>
      <c r="G190" s="48">
        <f>883.78648+266.90352</f>
        <v>1150.69</v>
      </c>
      <c r="H190" s="79">
        <f>206.78672+41.93635</f>
        <v>248.72307000000001</v>
      </c>
      <c r="I190" s="48">
        <f t="shared" si="55"/>
        <v>21.615123969096803</v>
      </c>
      <c r="J190" s="65"/>
    </row>
    <row r="191" spans="1:10" ht="24" customHeight="1" x14ac:dyDescent="0.25">
      <c r="A191" s="4" t="s">
        <v>149</v>
      </c>
      <c r="B191" s="3">
        <v>800</v>
      </c>
      <c r="C191" s="3" t="s">
        <v>15</v>
      </c>
      <c r="D191" s="3" t="s">
        <v>6</v>
      </c>
      <c r="E191" s="3" t="s">
        <v>148</v>
      </c>
      <c r="F191" s="3"/>
      <c r="G191" s="97">
        <f>G192</f>
        <v>753.15</v>
      </c>
      <c r="H191" s="97">
        <f t="shared" ref="H191" si="81">H192</f>
        <v>153.15554</v>
      </c>
      <c r="I191" s="48">
        <f t="shared" si="55"/>
        <v>20.335330279492798</v>
      </c>
      <c r="J191" s="65"/>
    </row>
    <row r="192" spans="1:10" ht="30.75" customHeight="1" x14ac:dyDescent="0.25">
      <c r="A192" s="4" t="s">
        <v>147</v>
      </c>
      <c r="B192" s="3">
        <v>800</v>
      </c>
      <c r="C192" s="3" t="s">
        <v>15</v>
      </c>
      <c r="D192" s="3" t="s">
        <v>6</v>
      </c>
      <c r="E192" s="3" t="s">
        <v>146</v>
      </c>
      <c r="F192" s="3"/>
      <c r="G192" s="97">
        <f t="shared" ref="G192:H192" si="82">G193</f>
        <v>753.15</v>
      </c>
      <c r="H192" s="97">
        <f t="shared" si="82"/>
        <v>153.15554</v>
      </c>
      <c r="I192" s="48">
        <f t="shared" si="55"/>
        <v>20.335330279492798</v>
      </c>
      <c r="J192" s="65"/>
    </row>
    <row r="193" spans="1:10" ht="60" customHeight="1" x14ac:dyDescent="0.25">
      <c r="A193" s="4" t="s">
        <v>38</v>
      </c>
      <c r="B193" s="3" t="s">
        <v>79</v>
      </c>
      <c r="C193" s="3" t="s">
        <v>15</v>
      </c>
      <c r="D193" s="3" t="s">
        <v>6</v>
      </c>
      <c r="E193" s="3" t="s">
        <v>146</v>
      </c>
      <c r="F193" s="3" t="s">
        <v>34</v>
      </c>
      <c r="G193" s="86">
        <f>329.60829+324+99.54171</f>
        <v>753.15</v>
      </c>
      <c r="H193" s="97">
        <f>87.20364+51+14.9519</f>
        <v>153.15554</v>
      </c>
      <c r="I193" s="48">
        <f t="shared" si="55"/>
        <v>20.335330279492798</v>
      </c>
      <c r="J193" s="65"/>
    </row>
    <row r="194" spans="1:10" ht="48" customHeight="1" x14ac:dyDescent="0.2">
      <c r="A194" s="4" t="s">
        <v>145</v>
      </c>
      <c r="B194" s="3" t="s">
        <v>79</v>
      </c>
      <c r="C194" s="3" t="s">
        <v>15</v>
      </c>
      <c r="D194" s="3" t="s">
        <v>59</v>
      </c>
      <c r="E194" s="3"/>
      <c r="F194" s="3"/>
      <c r="G194" s="79">
        <f>G195+G204+G208</f>
        <v>12932.85787</v>
      </c>
      <c r="H194" s="79">
        <f t="shared" ref="H194" si="83">H195+H204+H208</f>
        <v>3165.5876699999999</v>
      </c>
      <c r="I194" s="48">
        <f t="shared" si="55"/>
        <v>24.477093167034088</v>
      </c>
      <c r="J194" s="65"/>
    </row>
    <row r="195" spans="1:10" ht="72" customHeight="1" x14ac:dyDescent="0.2">
      <c r="A195" s="4" t="s">
        <v>249</v>
      </c>
      <c r="B195" s="3" t="s">
        <v>79</v>
      </c>
      <c r="C195" s="3" t="s">
        <v>15</v>
      </c>
      <c r="D195" s="3" t="s">
        <v>59</v>
      </c>
      <c r="E195" s="3" t="s">
        <v>144</v>
      </c>
      <c r="F195" s="3"/>
      <c r="G195" s="79">
        <f>G196+G202</f>
        <v>11651.85787</v>
      </c>
      <c r="H195" s="79">
        <f t="shared" ref="H195" si="84">H196+H202</f>
        <v>2925.51406</v>
      </c>
      <c r="I195" s="48">
        <f t="shared" si="55"/>
        <v>25.10770464796272</v>
      </c>
      <c r="J195" s="65"/>
    </row>
    <row r="196" spans="1:10" ht="24.75" customHeight="1" x14ac:dyDescent="0.2">
      <c r="A196" s="4" t="s">
        <v>248</v>
      </c>
      <c r="B196" s="3" t="s">
        <v>79</v>
      </c>
      <c r="C196" s="3" t="s">
        <v>15</v>
      </c>
      <c r="D196" s="3" t="s">
        <v>59</v>
      </c>
      <c r="E196" s="3" t="s">
        <v>250</v>
      </c>
      <c r="F196" s="3"/>
      <c r="G196" s="79">
        <f t="shared" ref="G196" si="85">G197+G199</f>
        <v>10885.48047</v>
      </c>
      <c r="H196" s="79">
        <f>H197+H199</f>
        <v>2893.9788100000001</v>
      </c>
      <c r="I196" s="48">
        <f t="shared" si="55"/>
        <v>26.585678215818799</v>
      </c>
      <c r="J196" s="65"/>
    </row>
    <row r="197" spans="1:10" ht="24" customHeight="1" x14ac:dyDescent="0.2">
      <c r="A197" s="4" t="s">
        <v>143</v>
      </c>
      <c r="B197" s="3" t="s">
        <v>79</v>
      </c>
      <c r="C197" s="3" t="s">
        <v>15</v>
      </c>
      <c r="D197" s="3" t="s">
        <v>59</v>
      </c>
      <c r="E197" s="3" t="s">
        <v>142</v>
      </c>
      <c r="F197" s="3"/>
      <c r="G197" s="79">
        <f t="shared" ref="G197:H197" si="86">G198</f>
        <v>10185.490470000001</v>
      </c>
      <c r="H197" s="79">
        <f t="shared" si="86"/>
        <v>2766.4873900000002</v>
      </c>
      <c r="I197" s="48">
        <f t="shared" si="55"/>
        <v>27.161062082855203</v>
      </c>
      <c r="J197" s="65"/>
    </row>
    <row r="198" spans="1:10" ht="60" customHeight="1" x14ac:dyDescent="0.2">
      <c r="A198" s="4" t="s">
        <v>38</v>
      </c>
      <c r="B198" s="3" t="s">
        <v>79</v>
      </c>
      <c r="C198" s="3" t="s">
        <v>15</v>
      </c>
      <c r="D198" s="3" t="s">
        <v>59</v>
      </c>
      <c r="E198" s="3" t="s">
        <v>142</v>
      </c>
      <c r="F198" s="3" t="s">
        <v>34</v>
      </c>
      <c r="G198" s="48">
        <v>10185.490470000001</v>
      </c>
      <c r="H198" s="79">
        <f>2388.53025+20.55+357.40714</f>
        <v>2766.4873900000002</v>
      </c>
      <c r="I198" s="48">
        <f t="shared" si="55"/>
        <v>27.161062082855203</v>
      </c>
      <c r="J198" s="65"/>
    </row>
    <row r="199" spans="1:10" ht="24" customHeight="1" x14ac:dyDescent="0.2">
      <c r="A199" s="4" t="s">
        <v>141</v>
      </c>
      <c r="B199" s="3" t="s">
        <v>79</v>
      </c>
      <c r="C199" s="3" t="s">
        <v>15</v>
      </c>
      <c r="D199" s="3" t="s">
        <v>59</v>
      </c>
      <c r="E199" s="3" t="s">
        <v>140</v>
      </c>
      <c r="F199" s="3"/>
      <c r="G199" s="79">
        <f t="shared" ref="G199" si="87">G200+G201</f>
        <v>699.99</v>
      </c>
      <c r="H199" s="79">
        <f>H200+H201</f>
        <v>127.49142000000001</v>
      </c>
      <c r="I199" s="48">
        <f t="shared" si="55"/>
        <v>18.213320190288435</v>
      </c>
      <c r="J199" s="65"/>
    </row>
    <row r="200" spans="1:10" ht="24" customHeight="1" x14ac:dyDescent="0.2">
      <c r="A200" s="4" t="s">
        <v>47</v>
      </c>
      <c r="B200" s="3" t="s">
        <v>79</v>
      </c>
      <c r="C200" s="3" t="s">
        <v>15</v>
      </c>
      <c r="D200" s="3" t="s">
        <v>59</v>
      </c>
      <c r="E200" s="3" t="s">
        <v>140</v>
      </c>
      <c r="F200" s="3" t="s">
        <v>51</v>
      </c>
      <c r="G200" s="48">
        <v>699.99</v>
      </c>
      <c r="H200" s="79">
        <v>127.49142000000001</v>
      </c>
      <c r="I200" s="48">
        <f t="shared" si="55"/>
        <v>18.213320190288435</v>
      </c>
      <c r="J200" s="65"/>
    </row>
    <row r="201" spans="1:10" ht="24" customHeight="1" x14ac:dyDescent="0.2">
      <c r="A201" s="4" t="s">
        <v>73</v>
      </c>
      <c r="B201" s="3" t="s">
        <v>79</v>
      </c>
      <c r="C201" s="3" t="s">
        <v>15</v>
      </c>
      <c r="D201" s="3" t="s">
        <v>59</v>
      </c>
      <c r="E201" s="3" t="s">
        <v>140</v>
      </c>
      <c r="F201" s="3" t="s">
        <v>79</v>
      </c>
      <c r="G201" s="48"/>
      <c r="H201" s="79"/>
      <c r="I201" s="48" t="e">
        <f t="shared" si="55"/>
        <v>#DIV/0!</v>
      </c>
      <c r="J201" s="65"/>
    </row>
    <row r="202" spans="1:10" ht="24" customHeight="1" x14ac:dyDescent="0.2">
      <c r="A202" s="4" t="s">
        <v>453</v>
      </c>
      <c r="B202" s="3" t="s">
        <v>79</v>
      </c>
      <c r="C202" s="3" t="s">
        <v>15</v>
      </c>
      <c r="D202" s="3" t="s">
        <v>59</v>
      </c>
      <c r="E202" s="3" t="s">
        <v>465</v>
      </c>
      <c r="F202" s="3"/>
      <c r="G202" s="48">
        <f>G203</f>
        <v>766.37739999999997</v>
      </c>
      <c r="H202" s="48">
        <f t="shared" ref="H202" si="88">H203</f>
        <v>31.535249999999998</v>
      </c>
      <c r="I202" s="48">
        <f t="shared" ref="I202:I260" si="89">H202/G202*100</f>
        <v>4.1148460275577019</v>
      </c>
      <c r="J202" s="65"/>
    </row>
    <row r="203" spans="1:10" ht="60" customHeight="1" x14ac:dyDescent="0.2">
      <c r="A203" s="4" t="s">
        <v>38</v>
      </c>
      <c r="B203" s="3" t="s">
        <v>79</v>
      </c>
      <c r="C203" s="3" t="s">
        <v>15</v>
      </c>
      <c r="D203" s="3" t="s">
        <v>59</v>
      </c>
      <c r="E203" s="3" t="s">
        <v>465</v>
      </c>
      <c r="F203" s="3" t="s">
        <v>34</v>
      </c>
      <c r="G203" s="48">
        <v>766.37739999999997</v>
      </c>
      <c r="H203" s="79">
        <f>8.9118+22.62345</f>
        <v>31.535249999999998</v>
      </c>
      <c r="I203" s="48">
        <f t="shared" si="89"/>
        <v>4.1148460275577019</v>
      </c>
      <c r="J203" s="65"/>
    </row>
    <row r="204" spans="1:10" ht="68.25" customHeight="1" x14ac:dyDescent="0.2">
      <c r="A204" s="8" t="s">
        <v>251</v>
      </c>
      <c r="B204" s="3" t="s">
        <v>79</v>
      </c>
      <c r="C204" s="3" t="s">
        <v>15</v>
      </c>
      <c r="D204" s="3" t="s">
        <v>59</v>
      </c>
      <c r="E204" s="3" t="s">
        <v>57</v>
      </c>
      <c r="F204" s="3"/>
      <c r="G204" s="83">
        <f t="shared" ref="G204:H205" si="90">G205</f>
        <v>72</v>
      </c>
      <c r="H204" s="83">
        <f t="shared" si="90"/>
        <v>0</v>
      </c>
      <c r="I204" s="48">
        <f t="shared" si="89"/>
        <v>0</v>
      </c>
      <c r="J204" s="65"/>
    </row>
    <row r="205" spans="1:10" ht="37.5" customHeight="1" x14ac:dyDescent="0.2">
      <c r="A205" s="8" t="s">
        <v>55</v>
      </c>
      <c r="B205" s="3" t="s">
        <v>79</v>
      </c>
      <c r="C205" s="3" t="s">
        <v>15</v>
      </c>
      <c r="D205" s="3" t="s">
        <v>59</v>
      </c>
      <c r="E205" s="3" t="s">
        <v>252</v>
      </c>
      <c r="F205" s="3"/>
      <c r="G205" s="83">
        <f t="shared" si="90"/>
        <v>72</v>
      </c>
      <c r="H205" s="83">
        <f t="shared" si="90"/>
        <v>0</v>
      </c>
      <c r="I205" s="48">
        <f t="shared" si="89"/>
        <v>0</v>
      </c>
      <c r="J205" s="65"/>
    </row>
    <row r="206" spans="1:10" ht="51" customHeight="1" x14ac:dyDescent="0.2">
      <c r="A206" s="8" t="s">
        <v>325</v>
      </c>
      <c r="B206" s="3" t="s">
        <v>79</v>
      </c>
      <c r="C206" s="3" t="s">
        <v>15</v>
      </c>
      <c r="D206" s="3" t="s">
        <v>59</v>
      </c>
      <c r="E206" s="3" t="s">
        <v>56</v>
      </c>
      <c r="F206" s="3"/>
      <c r="G206" s="83">
        <f t="shared" ref="G206:H206" si="91">G207</f>
        <v>72</v>
      </c>
      <c r="H206" s="83">
        <f t="shared" si="91"/>
        <v>0</v>
      </c>
      <c r="I206" s="48">
        <f t="shared" si="89"/>
        <v>0</v>
      </c>
      <c r="J206" s="65"/>
    </row>
    <row r="207" spans="1:10" ht="60" customHeight="1" x14ac:dyDescent="0.2">
      <c r="A207" s="4" t="s">
        <v>38</v>
      </c>
      <c r="B207" s="3" t="s">
        <v>79</v>
      </c>
      <c r="C207" s="3" t="s">
        <v>15</v>
      </c>
      <c r="D207" s="3" t="s">
        <v>59</v>
      </c>
      <c r="E207" s="3" t="s">
        <v>56</v>
      </c>
      <c r="F207" s="3" t="s">
        <v>34</v>
      </c>
      <c r="G207" s="48">
        <f>55.29954+16.70046</f>
        <v>72</v>
      </c>
      <c r="H207" s="83"/>
      <c r="I207" s="48">
        <f t="shared" si="89"/>
        <v>0</v>
      </c>
      <c r="J207" s="65"/>
    </row>
    <row r="208" spans="1:10" ht="34.5" customHeight="1" x14ac:dyDescent="0.25">
      <c r="A208" s="4" t="s">
        <v>356</v>
      </c>
      <c r="B208" s="3" t="s">
        <v>79</v>
      </c>
      <c r="C208" s="3" t="s">
        <v>15</v>
      </c>
      <c r="D208" s="3" t="s">
        <v>59</v>
      </c>
      <c r="E208" s="3" t="s">
        <v>95</v>
      </c>
      <c r="F208" s="3"/>
      <c r="G208" s="89">
        <f>G209</f>
        <v>1209</v>
      </c>
      <c r="H208" s="89">
        <f t="shared" ref="H208" si="92">H209</f>
        <v>240.07361000000003</v>
      </c>
      <c r="I208" s="48">
        <f t="shared" si="89"/>
        <v>19.857205128205131</v>
      </c>
      <c r="J208" s="65"/>
    </row>
    <row r="209" spans="1:10" ht="24" customHeight="1" x14ac:dyDescent="0.25">
      <c r="A209" s="4" t="s">
        <v>253</v>
      </c>
      <c r="B209" s="3" t="s">
        <v>79</v>
      </c>
      <c r="C209" s="3" t="s">
        <v>15</v>
      </c>
      <c r="D209" s="3" t="s">
        <v>59</v>
      </c>
      <c r="E209" s="3" t="s">
        <v>357</v>
      </c>
      <c r="F209" s="3"/>
      <c r="G209" s="89">
        <f t="shared" ref="G209:H209" si="93">G210</f>
        <v>1209</v>
      </c>
      <c r="H209" s="89">
        <f t="shared" si="93"/>
        <v>240.07361000000003</v>
      </c>
      <c r="I209" s="48">
        <f t="shared" si="89"/>
        <v>19.857205128205131</v>
      </c>
      <c r="J209" s="65"/>
    </row>
    <row r="210" spans="1:10" ht="51" customHeight="1" x14ac:dyDescent="0.25">
      <c r="A210" s="4" t="s">
        <v>254</v>
      </c>
      <c r="B210" s="3" t="s">
        <v>79</v>
      </c>
      <c r="C210" s="3" t="s">
        <v>15</v>
      </c>
      <c r="D210" s="3" t="s">
        <v>59</v>
      </c>
      <c r="E210" s="3" t="s">
        <v>358</v>
      </c>
      <c r="F210" s="3"/>
      <c r="G210" s="89">
        <f t="shared" ref="G210:H210" si="94">G211+G212</f>
        <v>1209</v>
      </c>
      <c r="H210" s="89">
        <f t="shared" si="94"/>
        <v>240.07361000000003</v>
      </c>
      <c r="I210" s="48">
        <f t="shared" si="89"/>
        <v>19.857205128205131</v>
      </c>
      <c r="J210" s="65"/>
    </row>
    <row r="211" spans="1:10" ht="60" customHeight="1" x14ac:dyDescent="0.25">
      <c r="A211" s="4" t="s">
        <v>38</v>
      </c>
      <c r="B211" s="3" t="s">
        <v>79</v>
      </c>
      <c r="C211" s="3" t="s">
        <v>15</v>
      </c>
      <c r="D211" s="3" t="s">
        <v>59</v>
      </c>
      <c r="E211" s="3" t="s">
        <v>358</v>
      </c>
      <c r="F211" s="3" t="s">
        <v>34</v>
      </c>
      <c r="G211" s="86">
        <f>774.9616+234.0384</f>
        <v>1009</v>
      </c>
      <c r="H211" s="89">
        <f>47.376+14.30755+121.17332+19.07674</f>
        <v>201.93361000000002</v>
      </c>
      <c r="I211" s="48">
        <f t="shared" si="89"/>
        <v>20.013241823587713</v>
      </c>
      <c r="J211" s="65"/>
    </row>
    <row r="212" spans="1:10" ht="24" customHeight="1" x14ac:dyDescent="0.25">
      <c r="A212" s="4" t="s">
        <v>47</v>
      </c>
      <c r="B212" s="3" t="s">
        <v>79</v>
      </c>
      <c r="C212" s="3" t="s">
        <v>15</v>
      </c>
      <c r="D212" s="3" t="s">
        <v>59</v>
      </c>
      <c r="E212" s="3" t="s">
        <v>358</v>
      </c>
      <c r="F212" s="3" t="s">
        <v>51</v>
      </c>
      <c r="G212" s="86">
        <v>200</v>
      </c>
      <c r="H212" s="89">
        <f>38.14</f>
        <v>38.14</v>
      </c>
      <c r="I212" s="48">
        <f t="shared" si="89"/>
        <v>19.07</v>
      </c>
      <c r="J212" s="65"/>
    </row>
    <row r="213" spans="1:10" ht="24" customHeight="1" x14ac:dyDescent="0.2">
      <c r="A213" s="4" t="s">
        <v>201</v>
      </c>
      <c r="B213" s="3" t="s">
        <v>79</v>
      </c>
      <c r="C213" s="3" t="s">
        <v>15</v>
      </c>
      <c r="D213" s="3" t="s">
        <v>36</v>
      </c>
      <c r="E213" s="3"/>
      <c r="F213" s="3"/>
      <c r="G213" s="83">
        <f>G214</f>
        <v>9.6</v>
      </c>
      <c r="H213" s="83">
        <f t="shared" ref="H213" si="95">H214</f>
        <v>0</v>
      </c>
      <c r="I213" s="48">
        <f t="shared" si="89"/>
        <v>0</v>
      </c>
      <c r="J213" s="65"/>
    </row>
    <row r="214" spans="1:10" ht="36" customHeight="1" x14ac:dyDescent="0.2">
      <c r="A214" s="4" t="s">
        <v>354</v>
      </c>
      <c r="B214" s="3" t="s">
        <v>79</v>
      </c>
      <c r="C214" s="3" t="s">
        <v>15</v>
      </c>
      <c r="D214" s="3" t="s">
        <v>36</v>
      </c>
      <c r="E214" s="3" t="s">
        <v>12</v>
      </c>
      <c r="F214" s="3"/>
      <c r="G214" s="80">
        <f t="shared" ref="G214:H216" si="96">G215</f>
        <v>9.6</v>
      </c>
      <c r="H214" s="80">
        <f t="shared" si="96"/>
        <v>0</v>
      </c>
      <c r="I214" s="48">
        <f t="shared" si="89"/>
        <v>0</v>
      </c>
      <c r="J214" s="65"/>
    </row>
    <row r="215" spans="1:10" ht="36" customHeight="1" x14ac:dyDescent="0.2">
      <c r="A215" s="4" t="s">
        <v>361</v>
      </c>
      <c r="B215" s="3" t="s">
        <v>79</v>
      </c>
      <c r="C215" s="3" t="s">
        <v>15</v>
      </c>
      <c r="D215" s="3" t="s">
        <v>36</v>
      </c>
      <c r="E215" s="3" t="s">
        <v>10</v>
      </c>
      <c r="F215" s="3"/>
      <c r="G215" s="80">
        <f t="shared" si="96"/>
        <v>9.6</v>
      </c>
      <c r="H215" s="80">
        <f t="shared" si="96"/>
        <v>0</v>
      </c>
      <c r="I215" s="48">
        <f t="shared" si="89"/>
        <v>0</v>
      </c>
      <c r="J215" s="65"/>
    </row>
    <row r="216" spans="1:10" ht="48" customHeight="1" x14ac:dyDescent="0.2">
      <c r="A216" s="4" t="s">
        <v>123</v>
      </c>
      <c r="B216" s="3" t="s">
        <v>79</v>
      </c>
      <c r="C216" s="3" t="s">
        <v>15</v>
      </c>
      <c r="D216" s="3" t="s">
        <v>36</v>
      </c>
      <c r="E216" s="3" t="s">
        <v>443</v>
      </c>
      <c r="F216" s="3"/>
      <c r="G216" s="80">
        <f t="shared" si="96"/>
        <v>9.6</v>
      </c>
      <c r="H216" s="80">
        <f t="shared" si="96"/>
        <v>0</v>
      </c>
      <c r="I216" s="48">
        <f t="shared" si="89"/>
        <v>0</v>
      </c>
      <c r="J216" s="65"/>
    </row>
    <row r="217" spans="1:10" ht="24" customHeight="1" x14ac:dyDescent="0.2">
      <c r="A217" s="4" t="s">
        <v>47</v>
      </c>
      <c r="B217" s="3" t="s">
        <v>79</v>
      </c>
      <c r="C217" s="3" t="s">
        <v>15</v>
      </c>
      <c r="D217" s="3" t="s">
        <v>36</v>
      </c>
      <c r="E217" s="3" t="s">
        <v>443</v>
      </c>
      <c r="F217" s="3" t="s">
        <v>51</v>
      </c>
      <c r="G217" s="48">
        <v>9.6</v>
      </c>
      <c r="H217" s="80"/>
      <c r="I217" s="48">
        <f t="shared" si="89"/>
        <v>0</v>
      </c>
      <c r="J217" s="65"/>
    </row>
    <row r="218" spans="1:10" ht="24" customHeight="1" x14ac:dyDescent="0.2">
      <c r="A218" s="4" t="s">
        <v>139</v>
      </c>
      <c r="B218" s="3" t="s">
        <v>79</v>
      </c>
      <c r="C218" s="3" t="s">
        <v>15</v>
      </c>
      <c r="D218" s="3" t="s">
        <v>53</v>
      </c>
      <c r="E218" s="3"/>
      <c r="F218" s="3"/>
      <c r="G218" s="48">
        <f t="shared" ref="G218:H219" si="97">G219</f>
        <v>959.16000000000008</v>
      </c>
      <c r="H218" s="48">
        <f t="shared" si="97"/>
        <v>210.33663999999999</v>
      </c>
      <c r="I218" s="48">
        <f t="shared" si="89"/>
        <v>21.929254764585675</v>
      </c>
      <c r="J218" s="65"/>
    </row>
    <row r="219" spans="1:10" ht="28.5" customHeight="1" x14ac:dyDescent="0.2">
      <c r="A219" s="4" t="s">
        <v>133</v>
      </c>
      <c r="B219" s="3" t="s">
        <v>79</v>
      </c>
      <c r="C219" s="3" t="s">
        <v>15</v>
      </c>
      <c r="D219" s="3" t="s">
        <v>53</v>
      </c>
      <c r="E219" s="3" t="s">
        <v>132</v>
      </c>
      <c r="F219" s="3"/>
      <c r="G219" s="80">
        <f>G220</f>
        <v>959.16000000000008</v>
      </c>
      <c r="H219" s="80">
        <f t="shared" si="97"/>
        <v>210.33663999999999</v>
      </c>
      <c r="I219" s="48">
        <f t="shared" si="89"/>
        <v>21.929254764585675</v>
      </c>
      <c r="J219" s="65"/>
    </row>
    <row r="220" spans="1:10" ht="25.5" customHeight="1" x14ac:dyDescent="0.2">
      <c r="A220" s="4" t="s">
        <v>131</v>
      </c>
      <c r="B220" s="3" t="s">
        <v>79</v>
      </c>
      <c r="C220" s="3" t="s">
        <v>15</v>
      </c>
      <c r="D220" s="3" t="s">
        <v>53</v>
      </c>
      <c r="E220" s="3" t="s">
        <v>130</v>
      </c>
      <c r="F220" s="3"/>
      <c r="G220" s="80">
        <f t="shared" ref="G220:H220" si="98">G221</f>
        <v>959.16000000000008</v>
      </c>
      <c r="H220" s="80">
        <f t="shared" si="98"/>
        <v>210.33663999999999</v>
      </c>
      <c r="I220" s="48">
        <f t="shared" si="89"/>
        <v>21.929254764585675</v>
      </c>
      <c r="J220" s="65"/>
    </row>
    <row r="221" spans="1:10" ht="60" customHeight="1" x14ac:dyDescent="0.2">
      <c r="A221" s="4" t="s">
        <v>38</v>
      </c>
      <c r="B221" s="3" t="s">
        <v>79</v>
      </c>
      <c r="C221" s="3" t="s">
        <v>15</v>
      </c>
      <c r="D221" s="3" t="s">
        <v>53</v>
      </c>
      <c r="E221" s="3" t="s">
        <v>130</v>
      </c>
      <c r="F221" s="3" t="s">
        <v>34</v>
      </c>
      <c r="G221" s="48">
        <f>736.68203+222.47797</f>
        <v>959.16000000000008</v>
      </c>
      <c r="H221" s="80">
        <f>175.9475+34.38914</f>
        <v>210.33663999999999</v>
      </c>
      <c r="I221" s="48">
        <f t="shared" si="89"/>
        <v>21.929254764585675</v>
      </c>
      <c r="J221" s="65"/>
    </row>
    <row r="222" spans="1:10" ht="12.75" customHeight="1" x14ac:dyDescent="0.2">
      <c r="A222" s="4" t="s">
        <v>127</v>
      </c>
      <c r="B222" s="3" t="s">
        <v>79</v>
      </c>
      <c r="C222" s="3" t="s">
        <v>15</v>
      </c>
      <c r="D222" s="3" t="s">
        <v>24</v>
      </c>
      <c r="E222" s="3"/>
      <c r="F222" s="3"/>
      <c r="G222" s="48">
        <f>G223+G227+G232+G242+G238</f>
        <v>1148.01224</v>
      </c>
      <c r="H222" s="48">
        <f t="shared" ref="H222" si="99">H223+H227+H232+H242+H238</f>
        <v>180.256</v>
      </c>
      <c r="I222" s="48">
        <f t="shared" si="89"/>
        <v>15.701574749760509</v>
      </c>
      <c r="J222" s="65"/>
    </row>
    <row r="223" spans="1:10" ht="63" customHeight="1" x14ac:dyDescent="0.2">
      <c r="A223" s="7" t="s">
        <v>257</v>
      </c>
      <c r="B223" s="3" t="s">
        <v>79</v>
      </c>
      <c r="C223" s="3" t="s">
        <v>15</v>
      </c>
      <c r="D223" s="3" t="s">
        <v>24</v>
      </c>
      <c r="E223" s="3" t="s">
        <v>31</v>
      </c>
      <c r="F223" s="3"/>
      <c r="G223" s="80">
        <f t="shared" ref="G223:H223" si="100">G224</f>
        <v>55.7</v>
      </c>
      <c r="H223" s="80">
        <f t="shared" si="100"/>
        <v>0</v>
      </c>
      <c r="I223" s="48">
        <f t="shared" si="89"/>
        <v>0</v>
      </c>
      <c r="J223" s="65"/>
    </row>
    <row r="224" spans="1:10" ht="63" customHeight="1" x14ac:dyDescent="0.2">
      <c r="A224" s="4" t="s">
        <v>258</v>
      </c>
      <c r="B224" s="3" t="s">
        <v>79</v>
      </c>
      <c r="C224" s="3" t="s">
        <v>15</v>
      </c>
      <c r="D224" s="3" t="s">
        <v>24</v>
      </c>
      <c r="E224" s="3" t="s">
        <v>259</v>
      </c>
      <c r="F224" s="3"/>
      <c r="G224" s="80">
        <f t="shared" ref="G224:H224" si="101">G225</f>
        <v>55.7</v>
      </c>
      <c r="H224" s="80">
        <f t="shared" si="101"/>
        <v>0</v>
      </c>
      <c r="I224" s="48">
        <f t="shared" si="89"/>
        <v>0</v>
      </c>
      <c r="J224" s="65"/>
    </row>
    <row r="225" spans="1:10" ht="36" customHeight="1" x14ac:dyDescent="0.2">
      <c r="A225" s="4" t="s">
        <v>126</v>
      </c>
      <c r="B225" s="3" t="s">
        <v>79</v>
      </c>
      <c r="C225" s="3" t="s">
        <v>15</v>
      </c>
      <c r="D225" s="3" t="s">
        <v>24</v>
      </c>
      <c r="E225" s="3" t="s">
        <v>125</v>
      </c>
      <c r="F225" s="3"/>
      <c r="G225" s="80">
        <f t="shared" ref="G225:H225" si="102">G226</f>
        <v>55.7</v>
      </c>
      <c r="H225" s="80">
        <f t="shared" si="102"/>
        <v>0</v>
      </c>
      <c r="I225" s="48">
        <f t="shared" si="89"/>
        <v>0</v>
      </c>
      <c r="J225" s="65"/>
    </row>
    <row r="226" spans="1:10" ht="24" customHeight="1" x14ac:dyDescent="0.2">
      <c r="A226" s="4" t="s">
        <v>47</v>
      </c>
      <c r="B226" s="3" t="s">
        <v>79</v>
      </c>
      <c r="C226" s="3" t="s">
        <v>15</v>
      </c>
      <c r="D226" s="3" t="s">
        <v>24</v>
      </c>
      <c r="E226" s="3" t="s">
        <v>125</v>
      </c>
      <c r="F226" s="3">
        <v>200</v>
      </c>
      <c r="G226" s="48">
        <v>55.7</v>
      </c>
      <c r="H226" s="80"/>
      <c r="I226" s="48">
        <f t="shared" si="89"/>
        <v>0</v>
      </c>
      <c r="J226" s="65"/>
    </row>
    <row r="227" spans="1:10" ht="48" customHeight="1" x14ac:dyDescent="0.2">
      <c r="A227" s="4" t="s">
        <v>359</v>
      </c>
      <c r="B227" s="3" t="s">
        <v>79</v>
      </c>
      <c r="C227" s="3" t="s">
        <v>15</v>
      </c>
      <c r="D227" s="3" t="s">
        <v>24</v>
      </c>
      <c r="E227" s="3" t="s">
        <v>41</v>
      </c>
      <c r="F227" s="3"/>
      <c r="G227" s="80">
        <f t="shared" ref="G227:H228" si="103">G228</f>
        <v>769.50000000000011</v>
      </c>
      <c r="H227" s="80">
        <f t="shared" si="103"/>
        <v>125.39382000000001</v>
      </c>
      <c r="I227" s="48">
        <f t="shared" si="89"/>
        <v>16.295493177387911</v>
      </c>
      <c r="J227" s="65"/>
    </row>
    <row r="228" spans="1:10" ht="50.25" customHeight="1" x14ac:dyDescent="0.2">
      <c r="A228" s="4" t="s">
        <v>318</v>
      </c>
      <c r="B228" s="3" t="s">
        <v>79</v>
      </c>
      <c r="C228" s="3" t="s">
        <v>15</v>
      </c>
      <c r="D228" s="3" t="s">
        <v>24</v>
      </c>
      <c r="E228" s="3" t="s">
        <v>261</v>
      </c>
      <c r="F228" s="3"/>
      <c r="G228" s="80">
        <f t="shared" si="103"/>
        <v>769.50000000000011</v>
      </c>
      <c r="H228" s="80">
        <f t="shared" si="103"/>
        <v>125.39382000000001</v>
      </c>
      <c r="I228" s="48">
        <f t="shared" si="89"/>
        <v>16.295493177387911</v>
      </c>
      <c r="J228" s="65"/>
    </row>
    <row r="229" spans="1:10" ht="48" customHeight="1" x14ac:dyDescent="0.2">
      <c r="A229" s="4" t="s">
        <v>360</v>
      </c>
      <c r="B229" s="3" t="s">
        <v>79</v>
      </c>
      <c r="C229" s="3" t="s">
        <v>15</v>
      </c>
      <c r="D229" s="3" t="s">
        <v>24</v>
      </c>
      <c r="E229" s="3" t="s">
        <v>124</v>
      </c>
      <c r="F229" s="3"/>
      <c r="G229" s="80">
        <f t="shared" ref="G229:H229" si="104">G230+G231</f>
        <v>769.50000000000011</v>
      </c>
      <c r="H229" s="80">
        <f t="shared" si="104"/>
        <v>125.39382000000001</v>
      </c>
      <c r="I229" s="48">
        <f t="shared" si="89"/>
        <v>16.295493177387911</v>
      </c>
      <c r="J229" s="65"/>
    </row>
    <row r="230" spans="1:10" ht="24" customHeight="1" x14ac:dyDescent="0.2">
      <c r="A230" s="4" t="s">
        <v>38</v>
      </c>
      <c r="B230" s="3" t="s">
        <v>79</v>
      </c>
      <c r="C230" s="3" t="s">
        <v>15</v>
      </c>
      <c r="D230" s="3" t="s">
        <v>24</v>
      </c>
      <c r="E230" s="3" t="s">
        <v>124</v>
      </c>
      <c r="F230" s="3" t="s">
        <v>34</v>
      </c>
      <c r="G230" s="48">
        <f>423.23502+4.848+127.81698</f>
        <v>555.90000000000009</v>
      </c>
      <c r="H230" s="80">
        <f>107.78601+17.60781</f>
        <v>125.39382000000001</v>
      </c>
      <c r="I230" s="48">
        <f t="shared" si="89"/>
        <v>22.55690232056125</v>
      </c>
      <c r="J230" s="65"/>
    </row>
    <row r="231" spans="1:10" ht="24" customHeight="1" x14ac:dyDescent="0.2">
      <c r="A231" s="4" t="s">
        <v>47</v>
      </c>
      <c r="B231" s="3" t="s">
        <v>79</v>
      </c>
      <c r="C231" s="3" t="s">
        <v>15</v>
      </c>
      <c r="D231" s="3" t="s">
        <v>24</v>
      </c>
      <c r="E231" s="3" t="s">
        <v>124</v>
      </c>
      <c r="F231" s="3" t="s">
        <v>51</v>
      </c>
      <c r="G231" s="48">
        <v>213.6</v>
      </c>
      <c r="H231" s="80"/>
      <c r="I231" s="48">
        <f t="shared" si="89"/>
        <v>0</v>
      </c>
      <c r="J231" s="65"/>
    </row>
    <row r="232" spans="1:10" ht="59.25" customHeight="1" x14ac:dyDescent="0.2">
      <c r="A232" s="4" t="s">
        <v>353</v>
      </c>
      <c r="B232" s="3" t="s">
        <v>79</v>
      </c>
      <c r="C232" s="3" t="s">
        <v>15</v>
      </c>
      <c r="D232" s="3" t="s">
        <v>24</v>
      </c>
      <c r="E232" s="3" t="s">
        <v>12</v>
      </c>
      <c r="F232" s="3"/>
      <c r="G232" s="80">
        <f t="shared" ref="G232:H232" si="105">G233</f>
        <v>277.2</v>
      </c>
      <c r="H232" s="80">
        <f t="shared" si="105"/>
        <v>54.862180000000002</v>
      </c>
      <c r="I232" s="48">
        <f t="shared" si="89"/>
        <v>19.791551226551228</v>
      </c>
      <c r="J232" s="65"/>
    </row>
    <row r="233" spans="1:10" ht="49.5" customHeight="1" x14ac:dyDescent="0.2">
      <c r="A233" s="4" t="s">
        <v>361</v>
      </c>
      <c r="B233" s="3" t="s">
        <v>79</v>
      </c>
      <c r="C233" s="3" t="s">
        <v>15</v>
      </c>
      <c r="D233" s="3" t="s">
        <v>24</v>
      </c>
      <c r="E233" s="3" t="s">
        <v>10</v>
      </c>
      <c r="F233" s="3"/>
      <c r="G233" s="80">
        <f t="shared" ref="G233:H233" si="106">G234+G236</f>
        <v>277.2</v>
      </c>
      <c r="H233" s="80">
        <f t="shared" si="106"/>
        <v>54.862180000000002</v>
      </c>
      <c r="I233" s="48">
        <f t="shared" si="89"/>
        <v>19.791551226551228</v>
      </c>
      <c r="J233" s="65"/>
    </row>
    <row r="234" spans="1:10" ht="36" customHeight="1" x14ac:dyDescent="0.2">
      <c r="A234" s="4" t="s">
        <v>326</v>
      </c>
      <c r="B234" s="3" t="s">
        <v>79</v>
      </c>
      <c r="C234" s="3" t="s">
        <v>15</v>
      </c>
      <c r="D234" s="3" t="s">
        <v>24</v>
      </c>
      <c r="E234" s="3" t="s">
        <v>362</v>
      </c>
      <c r="F234" s="3"/>
      <c r="G234" s="80">
        <f t="shared" ref="G234:H234" si="107">G235</f>
        <v>52.1</v>
      </c>
      <c r="H234" s="80">
        <f t="shared" si="107"/>
        <v>0</v>
      </c>
      <c r="I234" s="48">
        <f t="shared" si="89"/>
        <v>0</v>
      </c>
      <c r="J234" s="65"/>
    </row>
    <row r="235" spans="1:10" ht="24" customHeight="1" x14ac:dyDescent="0.2">
      <c r="A235" s="4" t="s">
        <v>47</v>
      </c>
      <c r="B235" s="3" t="s">
        <v>79</v>
      </c>
      <c r="C235" s="3" t="s">
        <v>15</v>
      </c>
      <c r="D235" s="3" t="s">
        <v>24</v>
      </c>
      <c r="E235" s="3" t="s">
        <v>362</v>
      </c>
      <c r="F235" s="3" t="s">
        <v>51</v>
      </c>
      <c r="G235" s="48">
        <v>52.1</v>
      </c>
      <c r="H235" s="80"/>
      <c r="I235" s="48">
        <f t="shared" si="89"/>
        <v>0</v>
      </c>
      <c r="J235" s="65"/>
    </row>
    <row r="236" spans="1:10" ht="60" customHeight="1" x14ac:dyDescent="0.2">
      <c r="A236" s="4" t="s">
        <v>327</v>
      </c>
      <c r="B236" s="3" t="s">
        <v>79</v>
      </c>
      <c r="C236" s="3" t="s">
        <v>15</v>
      </c>
      <c r="D236" s="3" t="s">
        <v>24</v>
      </c>
      <c r="E236" s="3" t="s">
        <v>363</v>
      </c>
      <c r="F236" s="3"/>
      <c r="G236" s="80">
        <f t="shared" ref="G236:H236" si="108">G237</f>
        <v>225.1</v>
      </c>
      <c r="H236" s="80">
        <f t="shared" si="108"/>
        <v>54.862180000000002</v>
      </c>
      <c r="I236" s="48">
        <f t="shared" si="89"/>
        <v>24.372358951577077</v>
      </c>
      <c r="J236" s="65"/>
    </row>
    <row r="237" spans="1:10" ht="60" customHeight="1" x14ac:dyDescent="0.2">
      <c r="A237" s="4" t="s">
        <v>38</v>
      </c>
      <c r="B237" s="3" t="s">
        <v>79</v>
      </c>
      <c r="C237" s="3" t="s">
        <v>15</v>
      </c>
      <c r="D237" s="3" t="s">
        <v>24</v>
      </c>
      <c r="E237" s="3" t="s">
        <v>363</v>
      </c>
      <c r="F237" s="3" t="s">
        <v>34</v>
      </c>
      <c r="G237" s="48">
        <f>172.88786+52.21214</f>
        <v>225.1</v>
      </c>
      <c r="H237" s="80">
        <f>45.323+9.53918</f>
        <v>54.862180000000002</v>
      </c>
      <c r="I237" s="48">
        <f t="shared" si="89"/>
        <v>24.372358951577077</v>
      </c>
      <c r="J237" s="65"/>
    </row>
    <row r="238" spans="1:10" ht="34.5" customHeight="1" x14ac:dyDescent="0.25">
      <c r="A238" s="4" t="s">
        <v>356</v>
      </c>
      <c r="B238" s="3" t="s">
        <v>79</v>
      </c>
      <c r="C238" s="3" t="s">
        <v>15</v>
      </c>
      <c r="D238" s="3" t="s">
        <v>24</v>
      </c>
      <c r="E238" s="3" t="s">
        <v>95</v>
      </c>
      <c r="F238" s="3"/>
      <c r="G238" s="89">
        <f>G239</f>
        <v>30.61224</v>
      </c>
      <c r="H238" s="89">
        <f t="shared" ref="H238" si="109">H239</f>
        <v>0</v>
      </c>
      <c r="I238" s="48">
        <f t="shared" si="89"/>
        <v>0</v>
      </c>
      <c r="J238" s="65"/>
    </row>
    <row r="239" spans="1:10" ht="24" customHeight="1" x14ac:dyDescent="0.25">
      <c r="A239" s="4" t="s">
        <v>263</v>
      </c>
      <c r="B239" s="3" t="s">
        <v>79</v>
      </c>
      <c r="C239" s="3" t="s">
        <v>15</v>
      </c>
      <c r="D239" s="3" t="s">
        <v>24</v>
      </c>
      <c r="E239" s="3" t="s">
        <v>264</v>
      </c>
      <c r="F239" s="3"/>
      <c r="G239" s="87">
        <f t="shared" ref="G239:H240" si="110">G240</f>
        <v>30.61224</v>
      </c>
      <c r="H239" s="87">
        <f t="shared" si="110"/>
        <v>0</v>
      </c>
      <c r="I239" s="48">
        <f t="shared" si="89"/>
        <v>0</v>
      </c>
      <c r="J239" s="65"/>
    </row>
    <row r="240" spans="1:10" ht="24" customHeight="1" x14ac:dyDescent="0.25">
      <c r="A240" s="4" t="s">
        <v>229</v>
      </c>
      <c r="B240" s="3" t="s">
        <v>79</v>
      </c>
      <c r="C240" s="3" t="s">
        <v>15</v>
      </c>
      <c r="D240" s="3" t="s">
        <v>24</v>
      </c>
      <c r="E240" s="3" t="s">
        <v>366</v>
      </c>
      <c r="F240" s="3"/>
      <c r="G240" s="87">
        <f>G241</f>
        <v>30.61224</v>
      </c>
      <c r="H240" s="87">
        <f t="shared" si="110"/>
        <v>0</v>
      </c>
      <c r="I240" s="48">
        <f t="shared" si="89"/>
        <v>0</v>
      </c>
      <c r="J240" s="65"/>
    </row>
    <row r="241" spans="1:10" ht="24" customHeight="1" x14ac:dyDescent="0.25">
      <c r="A241" s="4" t="s">
        <v>45</v>
      </c>
      <c r="B241" s="3" t="s">
        <v>79</v>
      </c>
      <c r="C241" s="3" t="s">
        <v>15</v>
      </c>
      <c r="D241" s="3" t="s">
        <v>24</v>
      </c>
      <c r="E241" s="3" t="s">
        <v>366</v>
      </c>
      <c r="F241" s="3" t="s">
        <v>43</v>
      </c>
      <c r="G241" s="86">
        <v>30.61224</v>
      </c>
      <c r="H241" s="87"/>
      <c r="I241" s="48">
        <f t="shared" si="89"/>
        <v>0</v>
      </c>
      <c r="J241" s="65"/>
    </row>
    <row r="242" spans="1:10" ht="57" customHeight="1" x14ac:dyDescent="0.25">
      <c r="A242" s="4" t="s">
        <v>364</v>
      </c>
      <c r="B242" s="3" t="s">
        <v>79</v>
      </c>
      <c r="C242" s="3" t="s">
        <v>15</v>
      </c>
      <c r="D242" s="3" t="s">
        <v>24</v>
      </c>
      <c r="E242" s="3" t="s">
        <v>398</v>
      </c>
      <c r="F242" s="3"/>
      <c r="G242" s="87">
        <f t="shared" ref="G242:H244" si="111">G243</f>
        <v>15</v>
      </c>
      <c r="H242" s="87">
        <f t="shared" si="111"/>
        <v>0</v>
      </c>
      <c r="I242" s="48">
        <f t="shared" si="89"/>
        <v>0</v>
      </c>
      <c r="J242" s="65"/>
    </row>
    <row r="243" spans="1:10" ht="36" customHeight="1" x14ac:dyDescent="0.25">
      <c r="A243" s="4" t="s">
        <v>365</v>
      </c>
      <c r="B243" s="3" t="s">
        <v>79</v>
      </c>
      <c r="C243" s="3" t="s">
        <v>15</v>
      </c>
      <c r="D243" s="3" t="s">
        <v>24</v>
      </c>
      <c r="E243" s="3" t="s">
        <v>444</v>
      </c>
      <c r="F243" s="3"/>
      <c r="G243" s="87">
        <f t="shared" si="111"/>
        <v>15</v>
      </c>
      <c r="H243" s="87">
        <f t="shared" si="111"/>
        <v>0</v>
      </c>
      <c r="I243" s="48">
        <f t="shared" si="89"/>
        <v>0</v>
      </c>
      <c r="J243" s="65"/>
    </row>
    <row r="244" spans="1:10" ht="29.25" customHeight="1" x14ac:dyDescent="0.25">
      <c r="A244" s="4" t="s">
        <v>335</v>
      </c>
      <c r="B244" s="3" t="s">
        <v>79</v>
      </c>
      <c r="C244" s="3" t="s">
        <v>15</v>
      </c>
      <c r="D244" s="3" t="s">
        <v>24</v>
      </c>
      <c r="E244" s="3" t="s">
        <v>445</v>
      </c>
      <c r="F244" s="3"/>
      <c r="G244" s="87">
        <f t="shared" si="111"/>
        <v>15</v>
      </c>
      <c r="H244" s="87">
        <f t="shared" si="111"/>
        <v>0</v>
      </c>
      <c r="I244" s="48">
        <f t="shared" si="89"/>
        <v>0</v>
      </c>
      <c r="J244" s="65"/>
    </row>
    <row r="245" spans="1:10" ht="24" customHeight="1" x14ac:dyDescent="0.25">
      <c r="A245" s="4" t="s">
        <v>47</v>
      </c>
      <c r="B245" s="3" t="s">
        <v>79</v>
      </c>
      <c r="C245" s="3" t="s">
        <v>15</v>
      </c>
      <c r="D245" s="3" t="s">
        <v>24</v>
      </c>
      <c r="E245" s="3" t="s">
        <v>445</v>
      </c>
      <c r="F245" s="3" t="s">
        <v>51</v>
      </c>
      <c r="G245" s="86">
        <v>15</v>
      </c>
      <c r="H245" s="87"/>
      <c r="I245" s="48">
        <f t="shared" si="89"/>
        <v>0</v>
      </c>
      <c r="J245" s="65"/>
    </row>
    <row r="246" spans="1:10" ht="24" customHeight="1" x14ac:dyDescent="0.2">
      <c r="A246" s="4" t="s">
        <v>121</v>
      </c>
      <c r="B246" s="3" t="s">
        <v>79</v>
      </c>
      <c r="C246" s="3" t="s">
        <v>6</v>
      </c>
      <c r="D246" s="3"/>
      <c r="E246" s="3"/>
      <c r="F246" s="3"/>
      <c r="G246" s="79">
        <f>G247+G260</f>
        <v>5508.50767</v>
      </c>
      <c r="H246" s="79">
        <f>H247+H260</f>
        <v>911.42750999999998</v>
      </c>
      <c r="I246" s="48">
        <f t="shared" si="89"/>
        <v>16.545815393227908</v>
      </c>
      <c r="J246" s="65"/>
    </row>
    <row r="247" spans="1:10" ht="36" customHeight="1" x14ac:dyDescent="0.2">
      <c r="A247" s="4" t="s">
        <v>120</v>
      </c>
      <c r="B247" s="3" t="s">
        <v>79</v>
      </c>
      <c r="C247" s="3" t="s">
        <v>6</v>
      </c>
      <c r="D247" s="3" t="s">
        <v>67</v>
      </c>
      <c r="E247" s="3"/>
      <c r="F247" s="3"/>
      <c r="G247" s="48">
        <f t="shared" ref="G247" si="112">G248+G257</f>
        <v>5462.7933800000001</v>
      </c>
      <c r="H247" s="48">
        <f>H248+H257</f>
        <v>911.42750999999998</v>
      </c>
      <c r="I247" s="48">
        <f t="shared" si="89"/>
        <v>16.684275728546773</v>
      </c>
      <c r="J247" s="65"/>
    </row>
    <row r="248" spans="1:10" ht="83.25" customHeight="1" x14ac:dyDescent="0.25">
      <c r="A248" s="4" t="s">
        <v>319</v>
      </c>
      <c r="B248" s="3" t="s">
        <v>79</v>
      </c>
      <c r="C248" s="3" t="s">
        <v>6</v>
      </c>
      <c r="D248" s="3" t="s">
        <v>67</v>
      </c>
      <c r="E248" s="3" t="s">
        <v>226</v>
      </c>
      <c r="F248" s="3"/>
      <c r="G248" s="87">
        <f>G249+G255</f>
        <v>3261.7400000000002</v>
      </c>
      <c r="H248" s="87">
        <f t="shared" ref="H248" si="113">H249+H255</f>
        <v>776.37050999999997</v>
      </c>
      <c r="I248" s="48">
        <f t="shared" si="89"/>
        <v>23.802342001508396</v>
      </c>
      <c r="J248" s="65"/>
    </row>
    <row r="249" spans="1:10" ht="28.5" customHeight="1" x14ac:dyDescent="0.25">
      <c r="A249" s="4" t="s">
        <v>320</v>
      </c>
      <c r="B249" s="3" t="s">
        <v>79</v>
      </c>
      <c r="C249" s="3" t="s">
        <v>6</v>
      </c>
      <c r="D249" s="3" t="s">
        <v>67</v>
      </c>
      <c r="E249" s="3" t="s">
        <v>119</v>
      </c>
      <c r="F249" s="3"/>
      <c r="G249" s="87">
        <f t="shared" ref="G249:H249" si="114">G250+G252</f>
        <v>3163.98</v>
      </c>
      <c r="H249" s="87">
        <f t="shared" si="114"/>
        <v>723.67813999999998</v>
      </c>
      <c r="I249" s="48">
        <f t="shared" si="89"/>
        <v>22.872399319843993</v>
      </c>
      <c r="J249" s="65"/>
    </row>
    <row r="250" spans="1:10" ht="28.5" customHeight="1" x14ac:dyDescent="0.25">
      <c r="A250" s="4" t="s">
        <v>222</v>
      </c>
      <c r="B250" s="3" t="s">
        <v>79</v>
      </c>
      <c r="C250" s="3" t="s">
        <v>6</v>
      </c>
      <c r="D250" s="3" t="s">
        <v>67</v>
      </c>
      <c r="E250" s="3" t="s">
        <v>118</v>
      </c>
      <c r="F250" s="3"/>
      <c r="G250" s="87">
        <f t="shared" ref="G250:H250" si="115">G251</f>
        <v>3024.38</v>
      </c>
      <c r="H250" s="87">
        <f t="shared" si="115"/>
        <v>713.98031000000003</v>
      </c>
      <c r="I250" s="48">
        <f t="shared" si="89"/>
        <v>23.607493436671316</v>
      </c>
      <c r="J250" s="65"/>
    </row>
    <row r="251" spans="1:10" ht="60" customHeight="1" x14ac:dyDescent="0.25">
      <c r="A251" s="4" t="s">
        <v>38</v>
      </c>
      <c r="B251" s="3" t="s">
        <v>79</v>
      </c>
      <c r="C251" s="3" t="s">
        <v>6</v>
      </c>
      <c r="D251" s="3" t="s">
        <v>67</v>
      </c>
      <c r="E251" s="3" t="s">
        <v>118</v>
      </c>
      <c r="F251" s="3">
        <v>100</v>
      </c>
      <c r="G251" s="86">
        <f>2307.51152+20+696.86848</f>
        <v>3024.38</v>
      </c>
      <c r="H251" s="87">
        <f>544.43493+169.54538</f>
        <v>713.98031000000003</v>
      </c>
      <c r="I251" s="48">
        <f t="shared" si="89"/>
        <v>23.607493436671316</v>
      </c>
      <c r="J251" s="65"/>
    </row>
    <row r="252" spans="1:10" ht="18" customHeight="1" x14ac:dyDescent="0.25">
      <c r="A252" s="4" t="s">
        <v>223</v>
      </c>
      <c r="B252" s="3" t="s">
        <v>79</v>
      </c>
      <c r="C252" s="3" t="s">
        <v>6</v>
      </c>
      <c r="D252" s="3" t="s">
        <v>67</v>
      </c>
      <c r="E252" s="3" t="s">
        <v>117</v>
      </c>
      <c r="F252" s="3"/>
      <c r="G252" s="87">
        <f t="shared" ref="G252" si="116">G253+G254</f>
        <v>139.6</v>
      </c>
      <c r="H252" s="87">
        <f>H253+H254</f>
        <v>9.6978299999999997</v>
      </c>
      <c r="I252" s="48">
        <f t="shared" si="89"/>
        <v>6.9468696275071631</v>
      </c>
      <c r="J252" s="65"/>
    </row>
    <row r="253" spans="1:10" ht="24" customHeight="1" x14ac:dyDescent="0.25">
      <c r="A253" s="4" t="s">
        <v>47</v>
      </c>
      <c r="B253" s="3" t="s">
        <v>79</v>
      </c>
      <c r="C253" s="3" t="s">
        <v>6</v>
      </c>
      <c r="D253" s="3" t="s">
        <v>67</v>
      </c>
      <c r="E253" s="3" t="s">
        <v>117</v>
      </c>
      <c r="F253" s="3" t="s">
        <v>51</v>
      </c>
      <c r="G253" s="86">
        <v>125.85</v>
      </c>
      <c r="H253" s="87">
        <f>2.39783</f>
        <v>2.3978299999999999</v>
      </c>
      <c r="I253" s="48">
        <f t="shared" si="89"/>
        <v>1.9053079062375844</v>
      </c>
      <c r="J253" s="65"/>
    </row>
    <row r="254" spans="1:10" ht="17.25" customHeight="1" x14ac:dyDescent="0.25">
      <c r="A254" s="7" t="s">
        <v>73</v>
      </c>
      <c r="B254" s="3" t="s">
        <v>79</v>
      </c>
      <c r="C254" s="3" t="s">
        <v>6</v>
      </c>
      <c r="D254" s="3" t="s">
        <v>67</v>
      </c>
      <c r="E254" s="3" t="s">
        <v>117</v>
      </c>
      <c r="F254" s="3" t="s">
        <v>79</v>
      </c>
      <c r="G254" s="86">
        <v>13.75</v>
      </c>
      <c r="H254" s="87">
        <v>7.3</v>
      </c>
      <c r="I254" s="48">
        <f t="shared" si="89"/>
        <v>53.090909090909086</v>
      </c>
      <c r="J254" s="65"/>
    </row>
    <row r="255" spans="1:10" ht="28.5" customHeight="1" x14ac:dyDescent="0.25">
      <c r="A255" s="4" t="s">
        <v>453</v>
      </c>
      <c r="B255" s="3" t="s">
        <v>79</v>
      </c>
      <c r="C255" s="3" t="s">
        <v>6</v>
      </c>
      <c r="D255" s="3" t="s">
        <v>67</v>
      </c>
      <c r="E255" s="3" t="s">
        <v>464</v>
      </c>
      <c r="F255" s="3"/>
      <c r="G255" s="86">
        <f>G256</f>
        <v>97.76</v>
      </c>
      <c r="H255" s="86">
        <f t="shared" ref="H255" si="117">H256</f>
        <v>52.692369999999997</v>
      </c>
      <c r="I255" s="48">
        <f t="shared" si="89"/>
        <v>53.899723813420621</v>
      </c>
      <c r="J255" s="65"/>
    </row>
    <row r="256" spans="1:10" ht="26.25" customHeight="1" x14ac:dyDescent="0.25">
      <c r="A256" s="4" t="s">
        <v>38</v>
      </c>
      <c r="B256" s="3" t="s">
        <v>79</v>
      </c>
      <c r="C256" s="3" t="s">
        <v>6</v>
      </c>
      <c r="D256" s="3" t="s">
        <v>67</v>
      </c>
      <c r="E256" s="3" t="s">
        <v>464</v>
      </c>
      <c r="F256" s="3">
        <v>100</v>
      </c>
      <c r="G256" s="86">
        <v>97.76</v>
      </c>
      <c r="H256" s="87">
        <f>38.78038+13.91199</f>
        <v>52.692369999999997</v>
      </c>
      <c r="I256" s="48">
        <f t="shared" si="89"/>
        <v>53.899723813420621</v>
      </c>
      <c r="J256" s="65"/>
    </row>
    <row r="257" spans="1:10" ht="24" customHeight="1" x14ac:dyDescent="0.25">
      <c r="A257" s="4" t="s">
        <v>262</v>
      </c>
      <c r="B257" s="3" t="s">
        <v>79</v>
      </c>
      <c r="C257" s="3" t="s">
        <v>6</v>
      </c>
      <c r="D257" s="3" t="s">
        <v>67</v>
      </c>
      <c r="E257" s="3" t="s">
        <v>95</v>
      </c>
      <c r="F257" s="3"/>
      <c r="G257" s="87">
        <f t="shared" ref="G257:H257" si="118">G258</f>
        <v>2201.0533799999998</v>
      </c>
      <c r="H257" s="87">
        <f t="shared" si="118"/>
        <v>135.05699999999999</v>
      </c>
      <c r="I257" s="48">
        <f t="shared" si="89"/>
        <v>6.1360165649412828</v>
      </c>
      <c r="J257" s="65"/>
    </row>
    <row r="258" spans="1:10" ht="72" customHeight="1" x14ac:dyDescent="0.25">
      <c r="A258" s="4" t="s">
        <v>116</v>
      </c>
      <c r="B258" s="3" t="s">
        <v>79</v>
      </c>
      <c r="C258" s="3" t="s">
        <v>6</v>
      </c>
      <c r="D258" s="3" t="s">
        <v>67</v>
      </c>
      <c r="E258" s="3" t="s">
        <v>266</v>
      </c>
      <c r="F258" s="3"/>
      <c r="G258" s="87">
        <f>G259</f>
        <v>2201.0533799999998</v>
      </c>
      <c r="H258" s="87">
        <f>H259</f>
        <v>135.05699999999999</v>
      </c>
      <c r="I258" s="48">
        <f t="shared" si="89"/>
        <v>6.1360165649412828</v>
      </c>
      <c r="J258" s="65"/>
    </row>
    <row r="259" spans="1:10" ht="24" customHeight="1" x14ac:dyDescent="0.25">
      <c r="A259" s="4" t="s">
        <v>47</v>
      </c>
      <c r="B259" s="3" t="s">
        <v>79</v>
      </c>
      <c r="C259" s="3" t="s">
        <v>6</v>
      </c>
      <c r="D259" s="3" t="s">
        <v>67</v>
      </c>
      <c r="E259" s="3" t="s">
        <v>367</v>
      </c>
      <c r="F259" s="3" t="s">
        <v>51</v>
      </c>
      <c r="G259" s="86">
        <v>2201.0533799999998</v>
      </c>
      <c r="H259" s="87">
        <v>135.05699999999999</v>
      </c>
      <c r="I259" s="48">
        <f t="shared" si="89"/>
        <v>6.1360165649412828</v>
      </c>
      <c r="J259" s="65"/>
    </row>
    <row r="260" spans="1:10" ht="24" customHeight="1" x14ac:dyDescent="0.2">
      <c r="A260" s="4" t="s">
        <v>115</v>
      </c>
      <c r="B260" s="3" t="s">
        <v>79</v>
      </c>
      <c r="C260" s="3" t="s">
        <v>6</v>
      </c>
      <c r="D260" s="3" t="s">
        <v>7</v>
      </c>
      <c r="E260" s="3"/>
      <c r="F260" s="3"/>
      <c r="G260" s="79">
        <f t="shared" ref="G260:H260" si="119">G261</f>
        <v>45.714289999999998</v>
      </c>
      <c r="H260" s="79">
        <f t="shared" si="119"/>
        <v>0</v>
      </c>
      <c r="I260" s="48">
        <f t="shared" si="89"/>
        <v>0</v>
      </c>
      <c r="J260" s="65"/>
    </row>
    <row r="261" spans="1:10" ht="24" customHeight="1" x14ac:dyDescent="0.25">
      <c r="A261" s="4" t="s">
        <v>262</v>
      </c>
      <c r="B261" s="3" t="s">
        <v>79</v>
      </c>
      <c r="C261" s="3" t="s">
        <v>6</v>
      </c>
      <c r="D261" s="3">
        <v>14</v>
      </c>
      <c r="E261" s="3" t="s">
        <v>95</v>
      </c>
      <c r="F261" s="3"/>
      <c r="G261" s="87">
        <f>G262+G265</f>
        <v>45.714289999999998</v>
      </c>
      <c r="H261" s="87">
        <f>H262+H265</f>
        <v>0</v>
      </c>
      <c r="I261" s="48">
        <f t="shared" ref="I261:I315" si="120">H261/G261*100</f>
        <v>0</v>
      </c>
      <c r="J261" s="65"/>
    </row>
    <row r="262" spans="1:10" ht="60" customHeight="1" x14ac:dyDescent="0.25">
      <c r="A262" s="4" t="s">
        <v>114</v>
      </c>
      <c r="B262" s="3" t="s">
        <v>79</v>
      </c>
      <c r="C262" s="3" t="s">
        <v>6</v>
      </c>
      <c r="D262" s="3" t="s">
        <v>7</v>
      </c>
      <c r="E262" s="3" t="s">
        <v>264</v>
      </c>
      <c r="F262" s="3"/>
      <c r="G262" s="87">
        <f t="shared" ref="G262:H263" si="121">G263</f>
        <v>15</v>
      </c>
      <c r="H262" s="87">
        <f t="shared" si="121"/>
        <v>0</v>
      </c>
      <c r="I262" s="48">
        <f t="shared" si="120"/>
        <v>0</v>
      </c>
      <c r="J262" s="65"/>
    </row>
    <row r="263" spans="1:10" ht="24.75" customHeight="1" x14ac:dyDescent="0.25">
      <c r="A263" s="4" t="s">
        <v>267</v>
      </c>
      <c r="B263" s="3" t="s">
        <v>79</v>
      </c>
      <c r="C263" s="3" t="s">
        <v>6</v>
      </c>
      <c r="D263" s="3" t="s">
        <v>7</v>
      </c>
      <c r="E263" s="3" t="s">
        <v>113</v>
      </c>
      <c r="F263" s="3"/>
      <c r="G263" s="87">
        <f t="shared" si="121"/>
        <v>15</v>
      </c>
      <c r="H263" s="87">
        <f t="shared" si="121"/>
        <v>0</v>
      </c>
      <c r="I263" s="48">
        <f t="shared" si="120"/>
        <v>0</v>
      </c>
      <c r="J263" s="65"/>
    </row>
    <row r="264" spans="1:10" ht="24" customHeight="1" x14ac:dyDescent="0.25">
      <c r="A264" s="4" t="s">
        <v>47</v>
      </c>
      <c r="B264" s="3" t="s">
        <v>79</v>
      </c>
      <c r="C264" s="3" t="s">
        <v>6</v>
      </c>
      <c r="D264" s="3">
        <v>14</v>
      </c>
      <c r="E264" s="3" t="s">
        <v>113</v>
      </c>
      <c r="F264" s="3">
        <v>200</v>
      </c>
      <c r="G264" s="86">
        <v>15</v>
      </c>
      <c r="H264" s="87"/>
      <c r="I264" s="48">
        <f t="shared" si="120"/>
        <v>0</v>
      </c>
      <c r="J264" s="65"/>
    </row>
    <row r="265" spans="1:10" ht="38.25" customHeight="1" x14ac:dyDescent="0.25">
      <c r="A265" s="7" t="s">
        <v>112</v>
      </c>
      <c r="B265" s="3" t="s">
        <v>79</v>
      </c>
      <c r="C265" s="3" t="s">
        <v>6</v>
      </c>
      <c r="D265" s="3" t="s">
        <v>7</v>
      </c>
      <c r="E265" s="3" t="s">
        <v>268</v>
      </c>
      <c r="F265" s="3"/>
      <c r="G265" s="87">
        <f t="shared" ref="G265:H265" si="122">G266+G268</f>
        <v>30.714289999999998</v>
      </c>
      <c r="H265" s="87">
        <f t="shared" si="122"/>
        <v>0</v>
      </c>
      <c r="I265" s="48">
        <f t="shared" si="120"/>
        <v>0</v>
      </c>
      <c r="J265" s="65"/>
    </row>
    <row r="266" spans="1:10" ht="37.5" customHeight="1" x14ac:dyDescent="0.25">
      <c r="A266" s="4" t="s">
        <v>270</v>
      </c>
      <c r="B266" s="3" t="s">
        <v>79</v>
      </c>
      <c r="C266" s="3" t="s">
        <v>6</v>
      </c>
      <c r="D266" s="3" t="s">
        <v>7</v>
      </c>
      <c r="E266" s="3" t="s">
        <v>269</v>
      </c>
      <c r="F266" s="3"/>
      <c r="G266" s="87">
        <f t="shared" ref="G266:H266" si="123">G267</f>
        <v>15</v>
      </c>
      <c r="H266" s="87">
        <f t="shared" si="123"/>
        <v>0</v>
      </c>
      <c r="I266" s="48">
        <f t="shared" si="120"/>
        <v>0</v>
      </c>
      <c r="J266" s="65"/>
    </row>
    <row r="267" spans="1:10" ht="24" customHeight="1" x14ac:dyDescent="0.25">
      <c r="A267" s="4" t="s">
        <v>47</v>
      </c>
      <c r="B267" s="3" t="s">
        <v>79</v>
      </c>
      <c r="C267" s="3" t="s">
        <v>6</v>
      </c>
      <c r="D267" s="3">
        <v>14</v>
      </c>
      <c r="E267" s="3" t="s">
        <v>269</v>
      </c>
      <c r="F267" s="3">
        <v>200</v>
      </c>
      <c r="G267" s="86">
        <v>15</v>
      </c>
      <c r="H267" s="87"/>
      <c r="I267" s="48">
        <f t="shared" si="120"/>
        <v>0</v>
      </c>
      <c r="J267" s="65"/>
    </row>
    <row r="268" spans="1:10" ht="60" customHeight="1" x14ac:dyDescent="0.25">
      <c r="A268" s="4" t="s">
        <v>480</v>
      </c>
      <c r="B268" s="3" t="s">
        <v>79</v>
      </c>
      <c r="C268" s="3" t="s">
        <v>6</v>
      </c>
      <c r="D268" s="3">
        <v>14</v>
      </c>
      <c r="E268" s="3" t="s">
        <v>481</v>
      </c>
      <c r="F268" s="3"/>
      <c r="G268" s="87">
        <f>G269</f>
        <v>15.71429</v>
      </c>
      <c r="H268" s="87">
        <f t="shared" ref="H268" si="124">H269</f>
        <v>0</v>
      </c>
      <c r="I268" s="48">
        <f t="shared" si="120"/>
        <v>0</v>
      </c>
      <c r="J268" s="65"/>
    </row>
    <row r="269" spans="1:10" ht="24" customHeight="1" x14ac:dyDescent="0.25">
      <c r="A269" s="4" t="s">
        <v>47</v>
      </c>
      <c r="B269" s="3" t="s">
        <v>79</v>
      </c>
      <c r="C269" s="3" t="s">
        <v>6</v>
      </c>
      <c r="D269" s="3">
        <v>14</v>
      </c>
      <c r="E269" s="3" t="s">
        <v>481</v>
      </c>
      <c r="F269" s="3">
        <v>200</v>
      </c>
      <c r="G269" s="86">
        <v>15.71429</v>
      </c>
      <c r="H269" s="87"/>
      <c r="I269" s="48">
        <f t="shared" si="120"/>
        <v>0</v>
      </c>
      <c r="J269" s="65"/>
    </row>
    <row r="270" spans="1:10" ht="12.75" customHeight="1" x14ac:dyDescent="0.2">
      <c r="A270" s="4" t="s">
        <v>111</v>
      </c>
      <c r="B270" s="3" t="s">
        <v>79</v>
      </c>
      <c r="C270" s="3" t="s">
        <v>59</v>
      </c>
      <c r="D270" s="3"/>
      <c r="E270" s="3"/>
      <c r="F270" s="3"/>
      <c r="G270" s="79">
        <f>G271+G288+G281</f>
        <v>24729.108509999998</v>
      </c>
      <c r="H270" s="79">
        <f>H271+H288+H281</f>
        <v>6191.2470000000003</v>
      </c>
      <c r="I270" s="48">
        <f t="shared" si="120"/>
        <v>25.036272526752729</v>
      </c>
      <c r="J270" s="65"/>
    </row>
    <row r="271" spans="1:10" ht="12.75" customHeight="1" x14ac:dyDescent="0.2">
      <c r="A271" s="4" t="s">
        <v>110</v>
      </c>
      <c r="B271" s="3" t="s">
        <v>79</v>
      </c>
      <c r="C271" s="3" t="s">
        <v>59</v>
      </c>
      <c r="D271" s="3" t="s">
        <v>36</v>
      </c>
      <c r="E271" s="3"/>
      <c r="F271" s="3"/>
      <c r="G271" s="79">
        <f t="shared" ref="G271:H272" si="125">G272</f>
        <v>1040.3</v>
      </c>
      <c r="H271" s="79">
        <f t="shared" si="125"/>
        <v>43.807200000000002</v>
      </c>
      <c r="I271" s="48">
        <f t="shared" si="120"/>
        <v>4.2110160530616172</v>
      </c>
      <c r="J271" s="65"/>
    </row>
    <row r="272" spans="1:10" ht="72" customHeight="1" x14ac:dyDescent="0.2">
      <c r="A272" s="4" t="s">
        <v>256</v>
      </c>
      <c r="B272" s="3" t="s">
        <v>79</v>
      </c>
      <c r="C272" s="3" t="s">
        <v>59</v>
      </c>
      <c r="D272" s="3" t="s">
        <v>36</v>
      </c>
      <c r="E272" s="3" t="s">
        <v>63</v>
      </c>
      <c r="F272" s="3"/>
      <c r="G272" s="80">
        <f t="shared" si="125"/>
        <v>1040.3</v>
      </c>
      <c r="H272" s="80">
        <f t="shared" si="125"/>
        <v>43.807200000000002</v>
      </c>
      <c r="I272" s="48">
        <f t="shared" si="120"/>
        <v>4.2110160530616172</v>
      </c>
      <c r="J272" s="65"/>
    </row>
    <row r="273" spans="1:10" ht="48" customHeight="1" x14ac:dyDescent="0.2">
      <c r="A273" s="4" t="s">
        <v>109</v>
      </c>
      <c r="B273" s="3" t="s">
        <v>79</v>
      </c>
      <c r="C273" s="3" t="s">
        <v>59</v>
      </c>
      <c r="D273" s="3" t="s">
        <v>36</v>
      </c>
      <c r="E273" s="3" t="s">
        <v>271</v>
      </c>
      <c r="F273" s="3"/>
      <c r="G273" s="80">
        <f t="shared" ref="G273" si="126">G274+G277+G279</f>
        <v>1040.3</v>
      </c>
      <c r="H273" s="80">
        <f>H274+H277+H279</f>
        <v>43.807200000000002</v>
      </c>
      <c r="I273" s="48">
        <f t="shared" si="120"/>
        <v>4.2110160530616172</v>
      </c>
      <c r="J273" s="65"/>
    </row>
    <row r="274" spans="1:10" ht="22.5" customHeight="1" x14ac:dyDescent="0.2">
      <c r="A274" s="4" t="s">
        <v>272</v>
      </c>
      <c r="B274" s="3" t="s">
        <v>79</v>
      </c>
      <c r="C274" s="3" t="s">
        <v>59</v>
      </c>
      <c r="D274" s="3" t="s">
        <v>36</v>
      </c>
      <c r="E274" s="3" t="s">
        <v>108</v>
      </c>
      <c r="F274" s="3"/>
      <c r="G274" s="80">
        <f t="shared" ref="G274" si="127">G275+G276</f>
        <v>490</v>
      </c>
      <c r="H274" s="80">
        <f>H275+H276</f>
        <v>0</v>
      </c>
      <c r="I274" s="48">
        <f t="shared" si="120"/>
        <v>0</v>
      </c>
      <c r="J274" s="65"/>
    </row>
    <row r="275" spans="1:10" ht="24" customHeight="1" x14ac:dyDescent="0.2">
      <c r="A275" s="4" t="s">
        <v>47</v>
      </c>
      <c r="B275" s="3" t="s">
        <v>79</v>
      </c>
      <c r="C275" s="3" t="s">
        <v>59</v>
      </c>
      <c r="D275" s="3" t="s">
        <v>36</v>
      </c>
      <c r="E275" s="3" t="s">
        <v>108</v>
      </c>
      <c r="F275" s="3">
        <v>200</v>
      </c>
      <c r="G275" s="48">
        <v>290</v>
      </c>
      <c r="H275" s="80"/>
      <c r="I275" s="48">
        <f t="shared" si="120"/>
        <v>0</v>
      </c>
      <c r="J275" s="65"/>
    </row>
    <row r="276" spans="1:10" ht="21" customHeight="1" x14ac:dyDescent="0.2">
      <c r="A276" s="7" t="s">
        <v>73</v>
      </c>
      <c r="B276" s="3" t="s">
        <v>79</v>
      </c>
      <c r="C276" s="3" t="s">
        <v>59</v>
      </c>
      <c r="D276" s="3" t="s">
        <v>36</v>
      </c>
      <c r="E276" s="3" t="s">
        <v>108</v>
      </c>
      <c r="F276" s="3" t="s">
        <v>79</v>
      </c>
      <c r="G276" s="48">
        <v>200</v>
      </c>
      <c r="H276" s="80"/>
      <c r="I276" s="48">
        <f t="shared" si="120"/>
        <v>0</v>
      </c>
      <c r="J276" s="65"/>
    </row>
    <row r="277" spans="1:10" ht="108" customHeight="1" x14ac:dyDescent="0.2">
      <c r="A277" s="4" t="s">
        <v>328</v>
      </c>
      <c r="B277" s="3" t="s">
        <v>79</v>
      </c>
      <c r="C277" s="3" t="s">
        <v>59</v>
      </c>
      <c r="D277" s="3" t="s">
        <v>36</v>
      </c>
      <c r="E277" s="3" t="s">
        <v>107</v>
      </c>
      <c r="F277" s="3"/>
      <c r="G277" s="80">
        <f t="shared" ref="G277:H277" si="128">G278</f>
        <v>191.8</v>
      </c>
      <c r="H277" s="80">
        <f t="shared" si="128"/>
        <v>0</v>
      </c>
      <c r="I277" s="48">
        <f t="shared" si="120"/>
        <v>0</v>
      </c>
      <c r="J277" s="65"/>
    </row>
    <row r="278" spans="1:10" ht="24" customHeight="1" x14ac:dyDescent="0.2">
      <c r="A278" s="4" t="s">
        <v>47</v>
      </c>
      <c r="B278" s="3" t="s">
        <v>79</v>
      </c>
      <c r="C278" s="3" t="s">
        <v>59</v>
      </c>
      <c r="D278" s="3" t="s">
        <v>36</v>
      </c>
      <c r="E278" s="3" t="s">
        <v>107</v>
      </c>
      <c r="F278" s="3" t="s">
        <v>51</v>
      </c>
      <c r="G278" s="48">
        <v>191.8</v>
      </c>
      <c r="H278" s="80"/>
      <c r="I278" s="48">
        <f t="shared" si="120"/>
        <v>0</v>
      </c>
      <c r="J278" s="65"/>
    </row>
    <row r="279" spans="1:10" ht="36" customHeight="1" x14ac:dyDescent="0.2">
      <c r="A279" s="4" t="s">
        <v>329</v>
      </c>
      <c r="B279" s="3" t="s">
        <v>79</v>
      </c>
      <c r="C279" s="3" t="s">
        <v>59</v>
      </c>
      <c r="D279" s="3" t="s">
        <v>36</v>
      </c>
      <c r="E279" s="3" t="s">
        <v>106</v>
      </c>
      <c r="F279" s="3"/>
      <c r="G279" s="80">
        <f t="shared" ref="G279:H279" si="129">G280</f>
        <v>358.5</v>
      </c>
      <c r="H279" s="80">
        <f t="shared" si="129"/>
        <v>43.807200000000002</v>
      </c>
      <c r="I279" s="48">
        <f t="shared" si="120"/>
        <v>12.219581589958159</v>
      </c>
      <c r="J279" s="65"/>
    </row>
    <row r="280" spans="1:10" ht="24" customHeight="1" x14ac:dyDescent="0.2">
      <c r="A280" s="4" t="s">
        <v>47</v>
      </c>
      <c r="B280" s="3" t="s">
        <v>79</v>
      </c>
      <c r="C280" s="3" t="s">
        <v>59</v>
      </c>
      <c r="D280" s="3" t="s">
        <v>36</v>
      </c>
      <c r="E280" s="3" t="s">
        <v>106</v>
      </c>
      <c r="F280" s="3" t="s">
        <v>51</v>
      </c>
      <c r="G280" s="48">
        <v>358.5</v>
      </c>
      <c r="H280" s="80">
        <v>43.807200000000002</v>
      </c>
      <c r="I280" s="48">
        <f t="shared" si="120"/>
        <v>12.219581589958159</v>
      </c>
      <c r="J280" s="65"/>
    </row>
    <row r="281" spans="1:10" ht="19.5" customHeight="1" x14ac:dyDescent="0.2">
      <c r="A281" s="4" t="s">
        <v>105</v>
      </c>
      <c r="B281" s="3" t="s">
        <v>79</v>
      </c>
      <c r="C281" s="3" t="s">
        <v>59</v>
      </c>
      <c r="D281" s="3" t="s">
        <v>67</v>
      </c>
      <c r="E281" s="3"/>
      <c r="F281" s="3"/>
      <c r="G281" s="48">
        <f>G282</f>
        <v>5279.3310000000001</v>
      </c>
      <c r="H281" s="48">
        <f t="shared" ref="H281" si="130">H282</f>
        <v>609.04100000000005</v>
      </c>
      <c r="I281" s="48">
        <f t="shared" si="120"/>
        <v>11.536329129581002</v>
      </c>
      <c r="J281" s="65"/>
    </row>
    <row r="282" spans="1:10" ht="47.25" customHeight="1" x14ac:dyDescent="0.25">
      <c r="A282" s="4" t="s">
        <v>368</v>
      </c>
      <c r="B282" s="3" t="s">
        <v>79</v>
      </c>
      <c r="C282" s="3" t="s">
        <v>59</v>
      </c>
      <c r="D282" s="3" t="s">
        <v>67</v>
      </c>
      <c r="E282" s="3" t="s">
        <v>369</v>
      </c>
      <c r="F282" s="3"/>
      <c r="G282" s="87">
        <f t="shared" ref="G282:H286" si="131">G283</f>
        <v>5279.3310000000001</v>
      </c>
      <c r="H282" s="87">
        <f t="shared" si="131"/>
        <v>609.04100000000005</v>
      </c>
      <c r="I282" s="48">
        <f t="shared" si="120"/>
        <v>11.536329129581002</v>
      </c>
      <c r="J282" s="65"/>
    </row>
    <row r="283" spans="1:10" ht="24" customHeight="1" x14ac:dyDescent="0.25">
      <c r="A283" s="4" t="s">
        <v>479</v>
      </c>
      <c r="B283" s="3" t="s">
        <v>79</v>
      </c>
      <c r="C283" s="3" t="s">
        <v>59</v>
      </c>
      <c r="D283" s="3" t="s">
        <v>67</v>
      </c>
      <c r="E283" s="3" t="s">
        <v>370</v>
      </c>
      <c r="F283" s="3"/>
      <c r="G283" s="87">
        <f>G284+G286</f>
        <v>5279.3310000000001</v>
      </c>
      <c r="H283" s="87">
        <f t="shared" ref="H283" si="132">H284+H286</f>
        <v>609.04100000000005</v>
      </c>
      <c r="I283" s="48">
        <f t="shared" si="120"/>
        <v>11.536329129581002</v>
      </c>
      <c r="J283" s="65"/>
    </row>
    <row r="284" spans="1:10" ht="36.75" customHeight="1" x14ac:dyDescent="0.25">
      <c r="A284" s="4" t="s">
        <v>478</v>
      </c>
      <c r="B284" s="3" t="s">
        <v>79</v>
      </c>
      <c r="C284" s="3" t="s">
        <v>59</v>
      </c>
      <c r="D284" s="3" t="s">
        <v>67</v>
      </c>
      <c r="E284" s="3" t="s">
        <v>371</v>
      </c>
      <c r="F284" s="3"/>
      <c r="G284" s="87">
        <f t="shared" si="131"/>
        <v>5172.3310000000001</v>
      </c>
      <c r="H284" s="87">
        <f t="shared" si="131"/>
        <v>609.04100000000005</v>
      </c>
      <c r="I284" s="48">
        <f t="shared" si="120"/>
        <v>11.77498114486486</v>
      </c>
      <c r="J284" s="65"/>
    </row>
    <row r="285" spans="1:10" ht="24" customHeight="1" x14ac:dyDescent="0.25">
      <c r="A285" s="4" t="s">
        <v>47</v>
      </c>
      <c r="B285" s="3" t="s">
        <v>79</v>
      </c>
      <c r="C285" s="3" t="s">
        <v>59</v>
      </c>
      <c r="D285" s="3" t="s">
        <v>67</v>
      </c>
      <c r="E285" s="3" t="s">
        <v>371</v>
      </c>
      <c r="F285" s="3" t="s">
        <v>51</v>
      </c>
      <c r="G285" s="86">
        <v>5172.3310000000001</v>
      </c>
      <c r="H285" s="87">
        <v>609.04100000000005</v>
      </c>
      <c r="I285" s="48">
        <f t="shared" si="120"/>
        <v>11.77498114486486</v>
      </c>
      <c r="J285" s="65"/>
    </row>
    <row r="286" spans="1:10" ht="36.75" customHeight="1" x14ac:dyDescent="0.25">
      <c r="A286" s="4" t="s">
        <v>487</v>
      </c>
      <c r="B286" s="3" t="s">
        <v>79</v>
      </c>
      <c r="C286" s="3" t="s">
        <v>59</v>
      </c>
      <c r="D286" s="3" t="s">
        <v>67</v>
      </c>
      <c r="E286" s="3" t="s">
        <v>477</v>
      </c>
      <c r="F286" s="3"/>
      <c r="G286" s="87">
        <f t="shared" si="131"/>
        <v>107</v>
      </c>
      <c r="H286" s="87">
        <f t="shared" si="131"/>
        <v>0</v>
      </c>
      <c r="I286" s="48">
        <f t="shared" si="120"/>
        <v>0</v>
      </c>
      <c r="J286" s="65"/>
    </row>
    <row r="287" spans="1:10" ht="24" customHeight="1" x14ac:dyDescent="0.25">
      <c r="A287" s="4" t="s">
        <v>47</v>
      </c>
      <c r="B287" s="3" t="s">
        <v>79</v>
      </c>
      <c r="C287" s="3" t="s">
        <v>59</v>
      </c>
      <c r="D287" s="3" t="s">
        <v>67</v>
      </c>
      <c r="E287" s="3" t="s">
        <v>477</v>
      </c>
      <c r="F287" s="3" t="s">
        <v>51</v>
      </c>
      <c r="G287" s="86">
        <v>107</v>
      </c>
      <c r="H287" s="87"/>
      <c r="I287" s="48">
        <f t="shared" si="120"/>
        <v>0</v>
      </c>
      <c r="J287" s="65"/>
    </row>
    <row r="288" spans="1:10" ht="23.25" customHeight="1" x14ac:dyDescent="0.2">
      <c r="A288" s="7" t="s">
        <v>104</v>
      </c>
      <c r="B288" s="3" t="s">
        <v>79</v>
      </c>
      <c r="C288" s="3" t="s">
        <v>59</v>
      </c>
      <c r="D288" s="3" t="s">
        <v>28</v>
      </c>
      <c r="E288" s="3"/>
      <c r="F288" s="3"/>
      <c r="G288" s="79">
        <f>G289+G305+G310+G296</f>
        <v>18409.477510000001</v>
      </c>
      <c r="H288" s="79">
        <f>H289+H305+H310+H296</f>
        <v>5538.3987999999999</v>
      </c>
      <c r="I288" s="48">
        <f t="shared" si="120"/>
        <v>30.084497493161059</v>
      </c>
      <c r="J288" s="65"/>
    </row>
    <row r="289" spans="1:10" ht="51.75" customHeight="1" x14ac:dyDescent="0.2">
      <c r="A289" s="4" t="s">
        <v>273</v>
      </c>
      <c r="B289" s="3" t="s">
        <v>79</v>
      </c>
      <c r="C289" s="3" t="s">
        <v>59</v>
      </c>
      <c r="D289" s="3" t="s">
        <v>28</v>
      </c>
      <c r="E289" s="3" t="s">
        <v>103</v>
      </c>
      <c r="F289" s="3"/>
      <c r="G289" s="81">
        <f t="shared" ref="G289" si="133">G290+G293</f>
        <v>780</v>
      </c>
      <c r="H289" s="81">
        <f>H290+H293</f>
        <v>0</v>
      </c>
      <c r="I289" s="48">
        <f t="shared" si="120"/>
        <v>0</v>
      </c>
      <c r="J289" s="65"/>
    </row>
    <row r="290" spans="1:10" ht="36" customHeight="1" x14ac:dyDescent="0.2">
      <c r="A290" s="4" t="s">
        <v>210</v>
      </c>
      <c r="B290" s="3" t="s">
        <v>79</v>
      </c>
      <c r="C290" s="3" t="s">
        <v>59</v>
      </c>
      <c r="D290" s="3" t="s">
        <v>28</v>
      </c>
      <c r="E290" s="3" t="s">
        <v>274</v>
      </c>
      <c r="F290" s="3"/>
      <c r="G290" s="81">
        <f t="shared" ref="G290:H291" si="134">G291</f>
        <v>730</v>
      </c>
      <c r="H290" s="81">
        <f t="shared" si="134"/>
        <v>0</v>
      </c>
      <c r="I290" s="48">
        <f t="shared" si="120"/>
        <v>0</v>
      </c>
      <c r="J290" s="65"/>
    </row>
    <row r="291" spans="1:10" ht="44.25" customHeight="1" x14ac:dyDescent="0.2">
      <c r="A291" s="4" t="s">
        <v>275</v>
      </c>
      <c r="B291" s="3" t="s">
        <v>79</v>
      </c>
      <c r="C291" s="3" t="s">
        <v>59</v>
      </c>
      <c r="D291" s="3" t="s">
        <v>28</v>
      </c>
      <c r="E291" s="3" t="s">
        <v>102</v>
      </c>
      <c r="F291" s="3"/>
      <c r="G291" s="81">
        <f t="shared" si="134"/>
        <v>730</v>
      </c>
      <c r="H291" s="81">
        <f t="shared" si="134"/>
        <v>0</v>
      </c>
      <c r="I291" s="48">
        <f t="shared" si="120"/>
        <v>0</v>
      </c>
      <c r="J291" s="65"/>
    </row>
    <row r="292" spans="1:10" ht="24" customHeight="1" x14ac:dyDescent="0.2">
      <c r="A292" s="4" t="s">
        <v>73</v>
      </c>
      <c r="B292" s="3" t="s">
        <v>79</v>
      </c>
      <c r="C292" s="3" t="s">
        <v>59</v>
      </c>
      <c r="D292" s="3" t="s">
        <v>28</v>
      </c>
      <c r="E292" s="3" t="s">
        <v>102</v>
      </c>
      <c r="F292" s="3" t="s">
        <v>79</v>
      </c>
      <c r="G292" s="48">
        <v>730</v>
      </c>
      <c r="H292" s="81"/>
      <c r="I292" s="48">
        <f t="shared" si="120"/>
        <v>0</v>
      </c>
      <c r="J292" s="65"/>
    </row>
    <row r="293" spans="1:10" ht="32.25" customHeight="1" x14ac:dyDescent="0.2">
      <c r="A293" s="7" t="s">
        <v>278</v>
      </c>
      <c r="B293" s="3" t="s">
        <v>79</v>
      </c>
      <c r="C293" s="3" t="s">
        <v>59</v>
      </c>
      <c r="D293" s="3" t="s">
        <v>28</v>
      </c>
      <c r="E293" s="3" t="s">
        <v>276</v>
      </c>
      <c r="F293" s="3"/>
      <c r="G293" s="81">
        <f t="shared" ref="G293:H293" si="135">G294</f>
        <v>50</v>
      </c>
      <c r="H293" s="81">
        <f t="shared" si="135"/>
        <v>0</v>
      </c>
      <c r="I293" s="48">
        <f t="shared" si="120"/>
        <v>0</v>
      </c>
      <c r="J293" s="65"/>
    </row>
    <row r="294" spans="1:10" ht="24" customHeight="1" x14ac:dyDescent="0.2">
      <c r="A294" s="4" t="s">
        <v>279</v>
      </c>
      <c r="B294" s="3" t="s">
        <v>79</v>
      </c>
      <c r="C294" s="3" t="s">
        <v>59</v>
      </c>
      <c r="D294" s="3" t="s">
        <v>28</v>
      </c>
      <c r="E294" s="3" t="s">
        <v>277</v>
      </c>
      <c r="F294" s="3"/>
      <c r="G294" s="81">
        <f t="shared" ref="G294:H294" si="136">G295</f>
        <v>50</v>
      </c>
      <c r="H294" s="81">
        <f t="shared" si="136"/>
        <v>0</v>
      </c>
      <c r="I294" s="48">
        <f t="shared" si="120"/>
        <v>0</v>
      </c>
      <c r="J294" s="65"/>
    </row>
    <row r="295" spans="1:10" ht="24" customHeight="1" x14ac:dyDescent="0.2">
      <c r="A295" s="4" t="s">
        <v>47</v>
      </c>
      <c r="B295" s="3" t="s">
        <v>79</v>
      </c>
      <c r="C295" s="3" t="s">
        <v>59</v>
      </c>
      <c r="D295" s="3" t="s">
        <v>28</v>
      </c>
      <c r="E295" s="3" t="s">
        <v>277</v>
      </c>
      <c r="F295" s="3" t="s">
        <v>51</v>
      </c>
      <c r="G295" s="48">
        <v>50</v>
      </c>
      <c r="H295" s="81"/>
      <c r="I295" s="48">
        <f t="shared" si="120"/>
        <v>0</v>
      </c>
      <c r="J295" s="65"/>
    </row>
    <row r="296" spans="1:10" ht="48" customHeight="1" x14ac:dyDescent="0.25">
      <c r="A296" s="4" t="s">
        <v>280</v>
      </c>
      <c r="B296" s="4" t="s">
        <v>79</v>
      </c>
      <c r="C296" s="4" t="s">
        <v>59</v>
      </c>
      <c r="D296" s="4" t="s">
        <v>28</v>
      </c>
      <c r="E296" s="4" t="s">
        <v>490</v>
      </c>
      <c r="F296" s="4"/>
      <c r="G296" s="88">
        <f>G297+G303</f>
        <v>8064.7295100000001</v>
      </c>
      <c r="H296" s="88">
        <f>H297+H303</f>
        <v>2247.84897</v>
      </c>
      <c r="I296" s="48">
        <f t="shared" si="120"/>
        <v>27.872589740458636</v>
      </c>
      <c r="J296" s="65"/>
    </row>
    <row r="297" spans="1:10" ht="48" customHeight="1" x14ac:dyDescent="0.25">
      <c r="A297" s="4" t="s">
        <v>265</v>
      </c>
      <c r="B297" s="4" t="s">
        <v>79</v>
      </c>
      <c r="C297" s="4" t="s">
        <v>59</v>
      </c>
      <c r="D297" s="4" t="s">
        <v>28</v>
      </c>
      <c r="E297" s="4" t="s">
        <v>491</v>
      </c>
      <c r="F297" s="4"/>
      <c r="G297" s="88">
        <f t="shared" ref="G297" si="137">G298+G300</f>
        <v>6860.38591</v>
      </c>
      <c r="H297" s="88">
        <f>H298+H300</f>
        <v>2026.35239</v>
      </c>
      <c r="I297" s="48">
        <f t="shared" si="120"/>
        <v>29.537002970143412</v>
      </c>
      <c r="J297" s="65"/>
    </row>
    <row r="298" spans="1:10" ht="36" customHeight="1" x14ac:dyDescent="0.25">
      <c r="A298" s="4" t="s">
        <v>227</v>
      </c>
      <c r="B298" s="4" t="s">
        <v>79</v>
      </c>
      <c r="C298" s="4" t="s">
        <v>59</v>
      </c>
      <c r="D298" s="4" t="s">
        <v>28</v>
      </c>
      <c r="E298" s="4" t="s">
        <v>492</v>
      </c>
      <c r="F298" s="4"/>
      <c r="G298" s="88">
        <f t="shared" ref="G298:H298" si="138">G299</f>
        <v>3445.8595300000002</v>
      </c>
      <c r="H298" s="88">
        <f t="shared" si="138"/>
        <v>913.11186999999995</v>
      </c>
      <c r="I298" s="48">
        <f t="shared" si="120"/>
        <v>26.498812910113024</v>
      </c>
      <c r="J298" s="65"/>
    </row>
    <row r="299" spans="1:10" ht="60" customHeight="1" x14ac:dyDescent="0.25">
      <c r="A299" s="4" t="s">
        <v>38</v>
      </c>
      <c r="B299" s="4" t="s">
        <v>79</v>
      </c>
      <c r="C299" s="4" t="s">
        <v>59</v>
      </c>
      <c r="D299" s="4" t="s">
        <v>28</v>
      </c>
      <c r="E299" s="4" t="s">
        <v>492</v>
      </c>
      <c r="F299" s="4" t="s">
        <v>34</v>
      </c>
      <c r="G299" s="86">
        <v>3445.8595300000002</v>
      </c>
      <c r="H299" s="88">
        <f>696.01731+12.8+204.29456</f>
        <v>913.11186999999995</v>
      </c>
      <c r="I299" s="48">
        <f t="shared" si="120"/>
        <v>26.498812910113024</v>
      </c>
      <c r="J299" s="65"/>
    </row>
    <row r="300" spans="1:10" ht="36" customHeight="1" x14ac:dyDescent="0.25">
      <c r="A300" s="4" t="s">
        <v>228</v>
      </c>
      <c r="B300" s="4" t="s">
        <v>79</v>
      </c>
      <c r="C300" s="4" t="s">
        <v>59</v>
      </c>
      <c r="D300" s="4" t="s">
        <v>28</v>
      </c>
      <c r="E300" s="4" t="s">
        <v>493</v>
      </c>
      <c r="F300" s="4"/>
      <c r="G300" s="88">
        <f t="shared" ref="G300" si="139">G301+G302</f>
        <v>3414.5263799999998</v>
      </c>
      <c r="H300" s="88">
        <f>H301+H302</f>
        <v>1113.2405200000001</v>
      </c>
      <c r="I300" s="48">
        <f t="shared" si="120"/>
        <v>32.603072757633818</v>
      </c>
      <c r="J300" s="65"/>
    </row>
    <row r="301" spans="1:10" ht="24" customHeight="1" x14ac:dyDescent="0.25">
      <c r="A301" s="4" t="s">
        <v>47</v>
      </c>
      <c r="B301" s="4" t="s">
        <v>79</v>
      </c>
      <c r="C301" s="4" t="s">
        <v>59</v>
      </c>
      <c r="D301" s="4" t="s">
        <v>28</v>
      </c>
      <c r="E301" s="4" t="s">
        <v>493</v>
      </c>
      <c r="F301" s="4" t="s">
        <v>51</v>
      </c>
      <c r="G301" s="86">
        <v>2844.9263799999999</v>
      </c>
      <c r="H301" s="88">
        <v>890.47582999999997</v>
      </c>
      <c r="I301" s="48">
        <f t="shared" si="120"/>
        <v>31.300487642144187</v>
      </c>
      <c r="J301" s="65"/>
    </row>
    <row r="302" spans="1:10" ht="24" customHeight="1" x14ac:dyDescent="0.25">
      <c r="A302" s="4" t="s">
        <v>73</v>
      </c>
      <c r="B302" s="4" t="s">
        <v>79</v>
      </c>
      <c r="C302" s="4" t="s">
        <v>59</v>
      </c>
      <c r="D302" s="4" t="s">
        <v>28</v>
      </c>
      <c r="E302" s="4" t="s">
        <v>493</v>
      </c>
      <c r="F302" s="4" t="s">
        <v>79</v>
      </c>
      <c r="G302" s="86">
        <v>569.6</v>
      </c>
      <c r="H302" s="88">
        <f>204.012+13.026+5.72669</f>
        <v>222.76469</v>
      </c>
      <c r="I302" s="48">
        <f t="shared" si="120"/>
        <v>39.108969452247187</v>
      </c>
      <c r="J302" s="65"/>
    </row>
    <row r="303" spans="1:10" ht="28.5" customHeight="1" x14ac:dyDescent="0.25">
      <c r="A303" s="4" t="s">
        <v>453</v>
      </c>
      <c r="B303" s="3" t="s">
        <v>79</v>
      </c>
      <c r="C303" s="3" t="s">
        <v>59</v>
      </c>
      <c r="D303" s="3" t="s">
        <v>28</v>
      </c>
      <c r="E303" s="3" t="s">
        <v>494</v>
      </c>
      <c r="F303" s="3"/>
      <c r="G303" s="86">
        <f>G304</f>
        <v>1204.3435999999999</v>
      </c>
      <c r="H303" s="86">
        <f t="shared" ref="H303" si="140">H304</f>
        <v>221.49657999999999</v>
      </c>
      <c r="I303" s="48">
        <f t="shared" si="120"/>
        <v>18.391477315942062</v>
      </c>
      <c r="J303" s="65"/>
    </row>
    <row r="304" spans="1:10" ht="26.25" customHeight="1" x14ac:dyDescent="0.25">
      <c r="A304" s="4" t="s">
        <v>38</v>
      </c>
      <c r="B304" s="3" t="s">
        <v>79</v>
      </c>
      <c r="C304" s="3" t="s">
        <v>59</v>
      </c>
      <c r="D304" s="3" t="s">
        <v>28</v>
      </c>
      <c r="E304" s="3" t="s">
        <v>494</v>
      </c>
      <c r="F304" s="3">
        <v>100</v>
      </c>
      <c r="G304" s="86">
        <v>1204.3435999999999</v>
      </c>
      <c r="H304" s="87">
        <f>170.12013+51.37645</f>
        <v>221.49657999999999</v>
      </c>
      <c r="I304" s="48">
        <f t="shared" si="120"/>
        <v>18.391477315942062</v>
      </c>
      <c r="J304" s="65"/>
    </row>
    <row r="305" spans="1:10" ht="48" customHeight="1" x14ac:dyDescent="0.2">
      <c r="A305" s="4" t="s">
        <v>372</v>
      </c>
      <c r="B305" s="3" t="s">
        <v>79</v>
      </c>
      <c r="C305" s="3" t="s">
        <v>59</v>
      </c>
      <c r="D305" s="3" t="s">
        <v>28</v>
      </c>
      <c r="E305" s="3" t="s">
        <v>373</v>
      </c>
      <c r="F305" s="3"/>
      <c r="G305" s="81">
        <f t="shared" ref="G305:H306" si="141">G306</f>
        <v>8030.6580000000004</v>
      </c>
      <c r="H305" s="81">
        <f t="shared" si="141"/>
        <v>3290.5498299999999</v>
      </c>
      <c r="I305" s="48">
        <f t="shared" si="120"/>
        <v>40.974847017517121</v>
      </c>
      <c r="J305" s="65"/>
    </row>
    <row r="306" spans="1:10" ht="48" customHeight="1" x14ac:dyDescent="0.2">
      <c r="A306" s="4" t="s">
        <v>96</v>
      </c>
      <c r="B306" s="3" t="s">
        <v>79</v>
      </c>
      <c r="C306" s="3" t="s">
        <v>59</v>
      </c>
      <c r="D306" s="3" t="s">
        <v>28</v>
      </c>
      <c r="E306" s="3" t="s">
        <v>374</v>
      </c>
      <c r="F306" s="3"/>
      <c r="G306" s="81">
        <f t="shared" si="141"/>
        <v>8030.6580000000004</v>
      </c>
      <c r="H306" s="81">
        <f t="shared" si="141"/>
        <v>3290.5498299999999</v>
      </c>
      <c r="I306" s="48">
        <f t="shared" si="120"/>
        <v>40.974847017517121</v>
      </c>
      <c r="J306" s="65"/>
    </row>
    <row r="307" spans="1:10" ht="35.25" customHeight="1" x14ac:dyDescent="0.2">
      <c r="A307" s="4" t="s">
        <v>281</v>
      </c>
      <c r="B307" s="3" t="s">
        <v>79</v>
      </c>
      <c r="C307" s="3" t="s">
        <v>59</v>
      </c>
      <c r="D307" s="3" t="s">
        <v>28</v>
      </c>
      <c r="E307" s="3" t="s">
        <v>375</v>
      </c>
      <c r="F307" s="3"/>
      <c r="G307" s="81">
        <f t="shared" ref="G307" si="142">G308+G309</f>
        <v>8030.6580000000004</v>
      </c>
      <c r="H307" s="81">
        <f>H308+H309</f>
        <v>3290.5498299999999</v>
      </c>
      <c r="I307" s="48">
        <f t="shared" si="120"/>
        <v>40.974847017517121</v>
      </c>
      <c r="J307" s="65"/>
    </row>
    <row r="308" spans="1:10" ht="24" customHeight="1" x14ac:dyDescent="0.2">
      <c r="A308" s="4" t="s">
        <v>47</v>
      </c>
      <c r="B308" s="3" t="s">
        <v>79</v>
      </c>
      <c r="C308" s="3" t="s">
        <v>59</v>
      </c>
      <c r="D308" s="3" t="s">
        <v>28</v>
      </c>
      <c r="E308" s="3" t="s">
        <v>375</v>
      </c>
      <c r="F308" s="3" t="s">
        <v>51</v>
      </c>
      <c r="G308" s="48">
        <v>7361.1480000000001</v>
      </c>
      <c r="H308" s="81">
        <f>2830.11883</f>
        <v>2830.1188299999999</v>
      </c>
      <c r="I308" s="48">
        <f t="shared" si="120"/>
        <v>38.446704644438611</v>
      </c>
      <c r="J308" s="65"/>
    </row>
    <row r="309" spans="1:10" ht="16.5" customHeight="1" x14ac:dyDescent="0.2">
      <c r="A309" s="7" t="s">
        <v>73</v>
      </c>
      <c r="B309" s="3" t="s">
        <v>79</v>
      </c>
      <c r="C309" s="3" t="s">
        <v>59</v>
      </c>
      <c r="D309" s="3" t="s">
        <v>28</v>
      </c>
      <c r="E309" s="3" t="s">
        <v>375</v>
      </c>
      <c r="F309" s="3" t="s">
        <v>79</v>
      </c>
      <c r="G309" s="48">
        <f>649.67+19.84</f>
        <v>669.51</v>
      </c>
      <c r="H309" s="81">
        <v>460.43099999999998</v>
      </c>
      <c r="I309" s="48">
        <f t="shared" si="120"/>
        <v>68.771340233902407</v>
      </c>
      <c r="J309" s="65"/>
    </row>
    <row r="310" spans="1:10" ht="57.75" customHeight="1" x14ac:dyDescent="0.2">
      <c r="A310" s="4" t="s">
        <v>376</v>
      </c>
      <c r="B310" s="3" t="s">
        <v>79</v>
      </c>
      <c r="C310" s="3" t="s">
        <v>59</v>
      </c>
      <c r="D310" s="3" t="s">
        <v>28</v>
      </c>
      <c r="E310" s="3" t="s">
        <v>377</v>
      </c>
      <c r="F310" s="3"/>
      <c r="G310" s="81">
        <f>G311</f>
        <v>1534.09</v>
      </c>
      <c r="H310" s="81">
        <f t="shared" ref="H310:H311" si="143">H311</f>
        <v>0</v>
      </c>
      <c r="I310" s="48">
        <f t="shared" si="120"/>
        <v>0</v>
      </c>
      <c r="J310" s="65"/>
    </row>
    <row r="311" spans="1:10" ht="39" customHeight="1" x14ac:dyDescent="0.2">
      <c r="A311" s="4" t="s">
        <v>101</v>
      </c>
      <c r="B311" s="3" t="s">
        <v>79</v>
      </c>
      <c r="C311" s="3" t="s">
        <v>59</v>
      </c>
      <c r="D311" s="3" t="s">
        <v>28</v>
      </c>
      <c r="E311" s="3" t="s">
        <v>378</v>
      </c>
      <c r="F311" s="3"/>
      <c r="G311" s="81">
        <f>G312</f>
        <v>1534.09</v>
      </c>
      <c r="H311" s="81">
        <f t="shared" si="143"/>
        <v>0</v>
      </c>
      <c r="I311" s="48">
        <f t="shared" si="120"/>
        <v>0</v>
      </c>
      <c r="J311" s="65"/>
    </row>
    <row r="312" spans="1:10" ht="30.75" customHeight="1" x14ac:dyDescent="0.2">
      <c r="A312" s="4" t="s">
        <v>282</v>
      </c>
      <c r="B312" s="3" t="s">
        <v>79</v>
      </c>
      <c r="C312" s="3" t="s">
        <v>59</v>
      </c>
      <c r="D312" s="3" t="s">
        <v>28</v>
      </c>
      <c r="E312" s="3" t="s">
        <v>379</v>
      </c>
      <c r="F312" s="3"/>
      <c r="G312" s="81">
        <f t="shared" ref="G312:H312" si="144">G313</f>
        <v>1534.09</v>
      </c>
      <c r="H312" s="81">
        <f t="shared" si="144"/>
        <v>0</v>
      </c>
      <c r="I312" s="48">
        <f t="shared" si="120"/>
        <v>0</v>
      </c>
      <c r="J312" s="65"/>
    </row>
    <row r="313" spans="1:10" ht="24" customHeight="1" x14ac:dyDescent="0.2">
      <c r="A313" s="4" t="s">
        <v>47</v>
      </c>
      <c r="B313" s="3" t="s">
        <v>79</v>
      </c>
      <c r="C313" s="3" t="s">
        <v>59</v>
      </c>
      <c r="D313" s="3" t="s">
        <v>28</v>
      </c>
      <c r="E313" s="3" t="s">
        <v>379</v>
      </c>
      <c r="F313" s="3" t="s">
        <v>51</v>
      </c>
      <c r="G313" s="48">
        <v>1534.09</v>
      </c>
      <c r="H313" s="81"/>
      <c r="I313" s="48">
        <f t="shared" si="120"/>
        <v>0</v>
      </c>
      <c r="J313" s="65"/>
    </row>
    <row r="314" spans="1:10" ht="12.75" customHeight="1" x14ac:dyDescent="0.2">
      <c r="A314" s="4" t="s">
        <v>100</v>
      </c>
      <c r="B314" s="3" t="s">
        <v>79</v>
      </c>
      <c r="C314" s="3" t="s">
        <v>36</v>
      </c>
      <c r="D314" s="3"/>
      <c r="E314" s="3"/>
      <c r="F314" s="3"/>
      <c r="G314" s="85">
        <f>G320+G352+G315</f>
        <v>20763.655309999998</v>
      </c>
      <c r="H314" s="85">
        <f>H320+H352+H315</f>
        <v>956.56570999999997</v>
      </c>
      <c r="I314" s="48">
        <f t="shared" si="120"/>
        <v>4.6069234714145333</v>
      </c>
      <c r="J314" s="65"/>
    </row>
    <row r="315" spans="1:10" ht="12.75" customHeight="1" x14ac:dyDescent="0.2">
      <c r="A315" s="4" t="s">
        <v>99</v>
      </c>
      <c r="B315" s="3" t="s">
        <v>79</v>
      </c>
      <c r="C315" s="3" t="s">
        <v>36</v>
      </c>
      <c r="D315" s="3" t="s">
        <v>15</v>
      </c>
      <c r="E315" s="3"/>
      <c r="F315" s="3"/>
      <c r="G315" s="85">
        <f>G316</f>
        <v>11</v>
      </c>
      <c r="H315" s="85">
        <f t="shared" ref="H315" si="145">H316</f>
        <v>0</v>
      </c>
      <c r="I315" s="48">
        <f t="shared" si="120"/>
        <v>0</v>
      </c>
      <c r="J315" s="65"/>
    </row>
    <row r="316" spans="1:10" ht="36" customHeight="1" x14ac:dyDescent="0.25">
      <c r="A316" s="4" t="s">
        <v>383</v>
      </c>
      <c r="B316" s="3" t="s">
        <v>79</v>
      </c>
      <c r="C316" s="3" t="s">
        <v>36</v>
      </c>
      <c r="D316" s="3" t="s">
        <v>15</v>
      </c>
      <c r="E316" s="3" t="s">
        <v>91</v>
      </c>
      <c r="F316" s="3"/>
      <c r="G316" s="98">
        <f t="shared" ref="G316:H318" si="146">G317</f>
        <v>11</v>
      </c>
      <c r="H316" s="98">
        <f t="shared" si="146"/>
        <v>0</v>
      </c>
      <c r="I316" s="48">
        <f t="shared" ref="I316:I382" si="147">H316/G316*100</f>
        <v>0</v>
      </c>
      <c r="J316" s="65"/>
    </row>
    <row r="317" spans="1:10" ht="36" customHeight="1" x14ac:dyDescent="0.25">
      <c r="A317" s="4" t="s">
        <v>231</v>
      </c>
      <c r="B317" s="3" t="s">
        <v>79</v>
      </c>
      <c r="C317" s="3" t="s">
        <v>36</v>
      </c>
      <c r="D317" s="3" t="s">
        <v>15</v>
      </c>
      <c r="E317" s="3" t="s">
        <v>255</v>
      </c>
      <c r="F317" s="3"/>
      <c r="G317" s="98">
        <f t="shared" si="146"/>
        <v>11</v>
      </c>
      <c r="H317" s="98">
        <f t="shared" si="146"/>
        <v>0</v>
      </c>
      <c r="I317" s="48">
        <f t="shared" si="147"/>
        <v>0</v>
      </c>
      <c r="J317" s="65"/>
    </row>
    <row r="318" spans="1:10" ht="24" customHeight="1" x14ac:dyDescent="0.25">
      <c r="A318" s="4" t="s">
        <v>283</v>
      </c>
      <c r="B318" s="3" t="s">
        <v>79</v>
      </c>
      <c r="C318" s="3" t="s">
        <v>36</v>
      </c>
      <c r="D318" s="3" t="s">
        <v>15</v>
      </c>
      <c r="E318" s="3" t="s">
        <v>286</v>
      </c>
      <c r="F318" s="3"/>
      <c r="G318" s="98">
        <f t="shared" si="146"/>
        <v>11</v>
      </c>
      <c r="H318" s="98">
        <f t="shared" si="146"/>
        <v>0</v>
      </c>
      <c r="I318" s="48">
        <f t="shared" si="147"/>
        <v>0</v>
      </c>
      <c r="J318" s="65"/>
    </row>
    <row r="319" spans="1:10" s="35" customFormat="1" ht="24" customHeight="1" x14ac:dyDescent="0.25">
      <c r="A319" s="4" t="s">
        <v>47</v>
      </c>
      <c r="B319" s="3" t="s">
        <v>79</v>
      </c>
      <c r="C319" s="3" t="s">
        <v>36</v>
      </c>
      <c r="D319" s="3" t="s">
        <v>15</v>
      </c>
      <c r="E319" s="3" t="s">
        <v>286</v>
      </c>
      <c r="F319" s="3" t="s">
        <v>51</v>
      </c>
      <c r="G319" s="86">
        <v>11</v>
      </c>
      <c r="H319" s="86"/>
      <c r="I319" s="48">
        <f t="shared" si="147"/>
        <v>0</v>
      </c>
      <c r="J319" s="64"/>
    </row>
    <row r="320" spans="1:10" ht="12.75" customHeight="1" x14ac:dyDescent="0.2">
      <c r="A320" s="4" t="s">
        <v>98</v>
      </c>
      <c r="B320" s="3" t="s">
        <v>79</v>
      </c>
      <c r="C320" s="3" t="s">
        <v>36</v>
      </c>
      <c r="D320" s="3" t="s">
        <v>27</v>
      </c>
      <c r="E320" s="3"/>
      <c r="F320" s="3"/>
      <c r="G320" s="79">
        <f>G321+G325+G345</f>
        <v>20074.835309999999</v>
      </c>
      <c r="H320" s="79">
        <f t="shared" ref="H320" si="148">H321+H325+H345</f>
        <v>930.65370999999993</v>
      </c>
      <c r="I320" s="48">
        <f t="shared" si="147"/>
        <v>4.6359220169363367</v>
      </c>
      <c r="J320" s="65"/>
    </row>
    <row r="321" spans="1:10" ht="24" customHeight="1" x14ac:dyDescent="0.2">
      <c r="A321" s="4" t="s">
        <v>256</v>
      </c>
      <c r="B321" s="3">
        <v>800</v>
      </c>
      <c r="C321" s="3" t="s">
        <v>36</v>
      </c>
      <c r="D321" s="3" t="s">
        <v>27</v>
      </c>
      <c r="E321" s="3" t="s">
        <v>63</v>
      </c>
      <c r="F321" s="3"/>
      <c r="G321" s="73">
        <f t="shared" ref="G321:H322" si="149">G322</f>
        <v>7518.7755100000004</v>
      </c>
      <c r="H321" s="73">
        <f t="shared" si="149"/>
        <v>0</v>
      </c>
      <c r="I321" s="48">
        <f t="shared" si="147"/>
        <v>0</v>
      </c>
      <c r="J321" s="65"/>
    </row>
    <row r="322" spans="1:10" ht="24" customHeight="1" x14ac:dyDescent="0.2">
      <c r="A322" s="4" t="s">
        <v>87</v>
      </c>
      <c r="B322" s="3">
        <v>800</v>
      </c>
      <c r="C322" s="3" t="s">
        <v>36</v>
      </c>
      <c r="D322" s="3" t="s">
        <v>27</v>
      </c>
      <c r="E322" s="3" t="s">
        <v>284</v>
      </c>
      <c r="F322" s="3"/>
      <c r="G322" s="80">
        <f>G323</f>
        <v>7518.7755100000004</v>
      </c>
      <c r="H322" s="80">
        <f t="shared" si="149"/>
        <v>0</v>
      </c>
      <c r="I322" s="48">
        <f t="shared" si="147"/>
        <v>0</v>
      </c>
      <c r="J322" s="65"/>
    </row>
    <row r="323" spans="1:10" ht="38.25" customHeight="1" x14ac:dyDescent="0.2">
      <c r="A323" s="4" t="s">
        <v>384</v>
      </c>
      <c r="B323" s="3">
        <v>800</v>
      </c>
      <c r="C323" s="3" t="s">
        <v>36</v>
      </c>
      <c r="D323" s="3" t="s">
        <v>27</v>
      </c>
      <c r="E323" s="3" t="s">
        <v>475</v>
      </c>
      <c r="F323" s="3"/>
      <c r="G323" s="73">
        <f t="shared" ref="G323:H323" si="150">G324</f>
        <v>7518.7755100000004</v>
      </c>
      <c r="H323" s="73">
        <f t="shared" si="150"/>
        <v>0</v>
      </c>
      <c r="I323" s="48">
        <f t="shared" si="147"/>
        <v>0</v>
      </c>
      <c r="J323" s="65"/>
    </row>
    <row r="324" spans="1:10" ht="24" customHeight="1" x14ac:dyDescent="0.2">
      <c r="A324" s="4" t="s">
        <v>70</v>
      </c>
      <c r="B324" s="3">
        <v>800</v>
      </c>
      <c r="C324" s="3" t="s">
        <v>36</v>
      </c>
      <c r="D324" s="3" t="s">
        <v>27</v>
      </c>
      <c r="E324" s="3" t="s">
        <v>475</v>
      </c>
      <c r="F324" s="3">
        <v>400</v>
      </c>
      <c r="G324" s="48">
        <v>7518.7755100000004</v>
      </c>
      <c r="H324" s="73"/>
      <c r="I324" s="48">
        <f t="shared" si="147"/>
        <v>0</v>
      </c>
      <c r="J324" s="65"/>
    </row>
    <row r="325" spans="1:10" ht="45.75" customHeight="1" x14ac:dyDescent="0.25">
      <c r="A325" s="4" t="s">
        <v>385</v>
      </c>
      <c r="B325" s="3" t="s">
        <v>79</v>
      </c>
      <c r="C325" s="3" t="s">
        <v>36</v>
      </c>
      <c r="D325" s="3" t="s">
        <v>27</v>
      </c>
      <c r="E325" s="3" t="s">
        <v>91</v>
      </c>
      <c r="F325" s="3"/>
      <c r="G325" s="88">
        <f>G326+G333+G340</f>
        <v>7066.2197999999989</v>
      </c>
      <c r="H325" s="88">
        <f>H326+H333+H340</f>
        <v>930.65370999999993</v>
      </c>
      <c r="I325" s="48">
        <f t="shared" si="147"/>
        <v>13.170460816970342</v>
      </c>
      <c r="J325" s="65"/>
    </row>
    <row r="326" spans="1:10" ht="36" customHeight="1" x14ac:dyDescent="0.25">
      <c r="A326" s="4" t="s">
        <v>94</v>
      </c>
      <c r="B326" s="3" t="s">
        <v>79</v>
      </c>
      <c r="C326" s="3" t="s">
        <v>36</v>
      </c>
      <c r="D326" s="3" t="s">
        <v>27</v>
      </c>
      <c r="E326" s="3" t="s">
        <v>386</v>
      </c>
      <c r="F326" s="3"/>
      <c r="G326" s="88">
        <f>G330+G327</f>
        <v>2619.4399999999996</v>
      </c>
      <c r="H326" s="88">
        <f>H330+H327</f>
        <v>58.632840000000002</v>
      </c>
      <c r="I326" s="48">
        <f t="shared" si="147"/>
        <v>2.2383730873774552</v>
      </c>
      <c r="J326" s="65"/>
    </row>
    <row r="327" spans="1:10" ht="36" customHeight="1" x14ac:dyDescent="0.25">
      <c r="A327" s="4" t="s">
        <v>387</v>
      </c>
      <c r="B327" s="3" t="s">
        <v>79</v>
      </c>
      <c r="C327" s="3" t="s">
        <v>36</v>
      </c>
      <c r="D327" s="3" t="s">
        <v>27</v>
      </c>
      <c r="E327" s="3" t="s">
        <v>390</v>
      </c>
      <c r="F327" s="3"/>
      <c r="G327" s="88">
        <f>G329+G328</f>
        <v>1120.3399999999999</v>
      </c>
      <c r="H327" s="88">
        <f t="shared" ref="H327" si="151">H329+H328</f>
        <v>0</v>
      </c>
      <c r="I327" s="48">
        <f t="shared" si="147"/>
        <v>0</v>
      </c>
      <c r="J327" s="65"/>
    </row>
    <row r="328" spans="1:10" ht="24" customHeight="1" x14ac:dyDescent="0.25">
      <c r="A328" s="4" t="s">
        <v>47</v>
      </c>
      <c r="B328" s="3" t="s">
        <v>79</v>
      </c>
      <c r="C328" s="3" t="s">
        <v>36</v>
      </c>
      <c r="D328" s="3" t="s">
        <v>27</v>
      </c>
      <c r="E328" s="3" t="s">
        <v>390</v>
      </c>
      <c r="F328" s="3" t="s">
        <v>51</v>
      </c>
      <c r="G328" s="86">
        <v>15</v>
      </c>
      <c r="H328" s="88"/>
      <c r="I328" s="48">
        <f t="shared" si="147"/>
        <v>0</v>
      </c>
      <c r="J328" s="65"/>
    </row>
    <row r="329" spans="1:10" ht="36" customHeight="1" x14ac:dyDescent="0.25">
      <c r="A329" s="4" t="s">
        <v>70</v>
      </c>
      <c r="B329" s="3" t="s">
        <v>79</v>
      </c>
      <c r="C329" s="3" t="s">
        <v>36</v>
      </c>
      <c r="D329" s="3" t="s">
        <v>27</v>
      </c>
      <c r="E329" s="3" t="s">
        <v>390</v>
      </c>
      <c r="F329" s="3" t="s">
        <v>69</v>
      </c>
      <c r="G329" s="88">
        <v>1105.3399999999999</v>
      </c>
      <c r="H329" s="88"/>
      <c r="I329" s="48">
        <f t="shared" si="147"/>
        <v>0</v>
      </c>
      <c r="J329" s="65"/>
    </row>
    <row r="330" spans="1:10" ht="36" customHeight="1" x14ac:dyDescent="0.25">
      <c r="A330" s="4" t="s">
        <v>285</v>
      </c>
      <c r="B330" s="3" t="s">
        <v>79</v>
      </c>
      <c r="C330" s="3" t="s">
        <v>36</v>
      </c>
      <c r="D330" s="3" t="s">
        <v>27</v>
      </c>
      <c r="E330" s="3" t="s">
        <v>391</v>
      </c>
      <c r="F330" s="3"/>
      <c r="G330" s="88">
        <f>G331+G332</f>
        <v>1499.1</v>
      </c>
      <c r="H330" s="88">
        <f>H331+H332</f>
        <v>58.632840000000002</v>
      </c>
      <c r="I330" s="48">
        <f t="shared" si="147"/>
        <v>3.9112027216329803</v>
      </c>
      <c r="J330" s="65"/>
    </row>
    <row r="331" spans="1:10" ht="24" customHeight="1" x14ac:dyDescent="0.25">
      <c r="A331" s="4" t="s">
        <v>47</v>
      </c>
      <c r="B331" s="3" t="s">
        <v>79</v>
      </c>
      <c r="C331" s="3" t="s">
        <v>36</v>
      </c>
      <c r="D331" s="3" t="s">
        <v>27</v>
      </c>
      <c r="E331" s="3" t="s">
        <v>391</v>
      </c>
      <c r="F331" s="3" t="s">
        <v>51</v>
      </c>
      <c r="G331" s="86">
        <v>1476.6</v>
      </c>
      <c r="H331" s="88">
        <v>51.132840000000002</v>
      </c>
      <c r="I331" s="48">
        <f t="shared" si="147"/>
        <v>3.462876879317351</v>
      </c>
      <c r="J331" s="65"/>
    </row>
    <row r="332" spans="1:10" ht="24" customHeight="1" x14ac:dyDescent="0.25">
      <c r="A332" s="4" t="s">
        <v>73</v>
      </c>
      <c r="B332" s="3" t="s">
        <v>79</v>
      </c>
      <c r="C332" s="3" t="s">
        <v>36</v>
      </c>
      <c r="D332" s="3" t="s">
        <v>27</v>
      </c>
      <c r="E332" s="3" t="s">
        <v>391</v>
      </c>
      <c r="F332" s="3" t="s">
        <v>79</v>
      </c>
      <c r="G332" s="86">
        <v>22.5</v>
      </c>
      <c r="H332" s="88">
        <v>7.5</v>
      </c>
      <c r="I332" s="48">
        <f t="shared" si="147"/>
        <v>33.333333333333329</v>
      </c>
      <c r="J332" s="65"/>
    </row>
    <row r="333" spans="1:10" ht="24" customHeight="1" x14ac:dyDescent="0.25">
      <c r="A333" s="4" t="s">
        <v>287</v>
      </c>
      <c r="B333" s="3" t="s">
        <v>79</v>
      </c>
      <c r="C333" s="3" t="s">
        <v>36</v>
      </c>
      <c r="D333" s="3" t="s">
        <v>27</v>
      </c>
      <c r="E333" s="3" t="s">
        <v>288</v>
      </c>
      <c r="F333" s="3"/>
      <c r="G333" s="88">
        <f t="shared" ref="G333" si="152">G334+G336+G338</f>
        <v>2912.6044899999997</v>
      </c>
      <c r="H333" s="88">
        <f>H334+H336+H338</f>
        <v>872.02086999999995</v>
      </c>
      <c r="I333" s="48">
        <f t="shared" si="147"/>
        <v>29.939556606259298</v>
      </c>
      <c r="J333" s="65"/>
    </row>
    <row r="334" spans="1:10" ht="24" customHeight="1" x14ac:dyDescent="0.25">
      <c r="A334" s="4" t="s">
        <v>388</v>
      </c>
      <c r="B334" s="3" t="s">
        <v>79</v>
      </c>
      <c r="C334" s="3" t="s">
        <v>36</v>
      </c>
      <c r="D334" s="3" t="s">
        <v>27</v>
      </c>
      <c r="E334" s="3" t="s">
        <v>389</v>
      </c>
      <c r="F334" s="3"/>
      <c r="G334" s="88">
        <f>G335</f>
        <v>872.08</v>
      </c>
      <c r="H334" s="88">
        <f t="shared" ref="H334" si="153">H335</f>
        <v>872.02086999999995</v>
      </c>
      <c r="I334" s="48">
        <f t="shared" si="147"/>
        <v>99.993219658746895</v>
      </c>
      <c r="J334" s="65"/>
    </row>
    <row r="335" spans="1:10" ht="24" customHeight="1" x14ac:dyDescent="0.25">
      <c r="A335" s="4" t="s">
        <v>73</v>
      </c>
      <c r="B335" s="3" t="s">
        <v>79</v>
      </c>
      <c r="C335" s="3" t="s">
        <v>36</v>
      </c>
      <c r="D335" s="3" t="s">
        <v>27</v>
      </c>
      <c r="E335" s="3" t="s">
        <v>389</v>
      </c>
      <c r="F335" s="3" t="s">
        <v>79</v>
      </c>
      <c r="G335" s="86">
        <v>872.08</v>
      </c>
      <c r="H335" s="88">
        <v>872.02086999999995</v>
      </c>
      <c r="I335" s="48">
        <f t="shared" si="147"/>
        <v>99.993219658746895</v>
      </c>
      <c r="J335" s="65"/>
    </row>
    <row r="336" spans="1:10" ht="48" customHeight="1" x14ac:dyDescent="0.25">
      <c r="A336" s="7" t="s">
        <v>336</v>
      </c>
      <c r="B336" s="3" t="s">
        <v>79</v>
      </c>
      <c r="C336" s="3" t="s">
        <v>36</v>
      </c>
      <c r="D336" s="3" t="s">
        <v>27</v>
      </c>
      <c r="E336" s="3" t="s">
        <v>446</v>
      </c>
      <c r="F336" s="3"/>
      <c r="G336" s="88">
        <f t="shared" ref="G336:H336" si="154">G337</f>
        <v>1249.82449</v>
      </c>
      <c r="H336" s="88">
        <f t="shared" si="154"/>
        <v>0</v>
      </c>
      <c r="I336" s="48">
        <f t="shared" si="147"/>
        <v>0</v>
      </c>
      <c r="J336" s="65"/>
    </row>
    <row r="337" spans="1:10" ht="24" customHeight="1" x14ac:dyDescent="0.25">
      <c r="A337" s="4" t="s">
        <v>70</v>
      </c>
      <c r="B337" s="3" t="s">
        <v>79</v>
      </c>
      <c r="C337" s="3" t="s">
        <v>36</v>
      </c>
      <c r="D337" s="3" t="s">
        <v>27</v>
      </c>
      <c r="E337" s="3" t="s">
        <v>446</v>
      </c>
      <c r="F337" s="3" t="s">
        <v>51</v>
      </c>
      <c r="G337" s="86">
        <v>1249.82449</v>
      </c>
      <c r="H337" s="88"/>
      <c r="I337" s="48">
        <f t="shared" si="147"/>
        <v>0</v>
      </c>
      <c r="J337" s="65"/>
    </row>
    <row r="338" spans="1:10" ht="60" customHeight="1" x14ac:dyDescent="0.25">
      <c r="A338" s="4" t="s">
        <v>330</v>
      </c>
      <c r="B338" s="3" t="s">
        <v>79</v>
      </c>
      <c r="C338" s="3" t="s">
        <v>36</v>
      </c>
      <c r="D338" s="3" t="s">
        <v>27</v>
      </c>
      <c r="E338" s="3" t="s">
        <v>93</v>
      </c>
      <c r="F338" s="3"/>
      <c r="G338" s="88">
        <f>G339</f>
        <v>790.7</v>
      </c>
      <c r="H338" s="88">
        <f t="shared" ref="H338" si="155">H339</f>
        <v>0</v>
      </c>
      <c r="I338" s="48">
        <f t="shared" si="147"/>
        <v>0</v>
      </c>
      <c r="J338" s="65"/>
    </row>
    <row r="339" spans="1:10" ht="24" customHeight="1" x14ac:dyDescent="0.25">
      <c r="A339" s="4" t="s">
        <v>73</v>
      </c>
      <c r="B339" s="3" t="s">
        <v>79</v>
      </c>
      <c r="C339" s="3" t="s">
        <v>36</v>
      </c>
      <c r="D339" s="3" t="s">
        <v>27</v>
      </c>
      <c r="E339" s="3" t="s">
        <v>93</v>
      </c>
      <c r="F339" s="3" t="s">
        <v>79</v>
      </c>
      <c r="G339" s="86">
        <v>790.7</v>
      </c>
      <c r="H339" s="88"/>
      <c r="I339" s="48">
        <f t="shared" si="147"/>
        <v>0</v>
      </c>
      <c r="J339" s="65"/>
    </row>
    <row r="340" spans="1:10" ht="24" customHeight="1" x14ac:dyDescent="0.25">
      <c r="A340" s="4" t="s">
        <v>224</v>
      </c>
      <c r="B340" s="3" t="s">
        <v>79</v>
      </c>
      <c r="C340" s="3" t="s">
        <v>36</v>
      </c>
      <c r="D340" s="3" t="s">
        <v>27</v>
      </c>
      <c r="E340" s="3" t="s">
        <v>289</v>
      </c>
      <c r="F340" s="3"/>
      <c r="G340" s="87">
        <f>G343+G341</f>
        <v>1534.1753100000001</v>
      </c>
      <c r="H340" s="87">
        <f t="shared" ref="H340" si="156">H343+H341</f>
        <v>0</v>
      </c>
      <c r="I340" s="48">
        <f t="shared" si="147"/>
        <v>0</v>
      </c>
      <c r="J340" s="65"/>
    </row>
    <row r="341" spans="1:10" ht="24" customHeight="1" x14ac:dyDescent="0.25">
      <c r="A341" s="4" t="s">
        <v>495</v>
      </c>
      <c r="B341" s="3" t="s">
        <v>79</v>
      </c>
      <c r="C341" s="3" t="s">
        <v>36</v>
      </c>
      <c r="D341" s="3" t="s">
        <v>27</v>
      </c>
      <c r="E341" s="3" t="s">
        <v>496</v>
      </c>
      <c r="F341" s="3"/>
      <c r="G341" s="87">
        <f>G342</f>
        <v>530</v>
      </c>
      <c r="H341" s="87">
        <f t="shared" ref="H341" si="157">H342</f>
        <v>0</v>
      </c>
      <c r="I341" s="48">
        <f t="shared" si="147"/>
        <v>0</v>
      </c>
      <c r="J341" s="65"/>
    </row>
    <row r="342" spans="1:10" ht="24" customHeight="1" x14ac:dyDescent="0.25">
      <c r="A342" s="4" t="s">
        <v>47</v>
      </c>
      <c r="B342" s="3" t="s">
        <v>79</v>
      </c>
      <c r="C342" s="3" t="s">
        <v>36</v>
      </c>
      <c r="D342" s="3" t="s">
        <v>27</v>
      </c>
      <c r="E342" s="3" t="s">
        <v>496</v>
      </c>
      <c r="F342" s="3" t="s">
        <v>51</v>
      </c>
      <c r="G342" s="87">
        <v>530</v>
      </c>
      <c r="H342" s="87"/>
      <c r="I342" s="48">
        <f t="shared" si="147"/>
        <v>0</v>
      </c>
      <c r="J342" s="65"/>
    </row>
    <row r="343" spans="1:10" ht="44.25" customHeight="1" x14ac:dyDescent="0.25">
      <c r="A343" s="4" t="s">
        <v>474</v>
      </c>
      <c r="B343" s="3" t="s">
        <v>79</v>
      </c>
      <c r="C343" s="3" t="s">
        <v>36</v>
      </c>
      <c r="D343" s="3" t="s">
        <v>27</v>
      </c>
      <c r="E343" s="3" t="s">
        <v>473</v>
      </c>
      <c r="F343" s="3"/>
      <c r="G343" s="87">
        <f t="shared" ref="G343:H343" si="158">G344</f>
        <v>1004.17531</v>
      </c>
      <c r="H343" s="87">
        <f t="shared" si="158"/>
        <v>0</v>
      </c>
      <c r="I343" s="48">
        <f t="shared" si="147"/>
        <v>0</v>
      </c>
      <c r="J343" s="65"/>
    </row>
    <row r="344" spans="1:10" ht="24" customHeight="1" x14ac:dyDescent="0.25">
      <c r="A344" s="4" t="s">
        <v>47</v>
      </c>
      <c r="B344" s="3" t="s">
        <v>79</v>
      </c>
      <c r="C344" s="3" t="s">
        <v>36</v>
      </c>
      <c r="D344" s="3" t="s">
        <v>27</v>
      </c>
      <c r="E344" s="3" t="s">
        <v>473</v>
      </c>
      <c r="F344" s="3" t="s">
        <v>51</v>
      </c>
      <c r="G344" s="86">
        <v>1004.17531</v>
      </c>
      <c r="H344" s="87"/>
      <c r="I344" s="48">
        <f t="shared" si="147"/>
        <v>0</v>
      </c>
      <c r="J344" s="65"/>
    </row>
    <row r="345" spans="1:10" ht="62.25" customHeight="1" x14ac:dyDescent="0.2">
      <c r="A345" s="7" t="s">
        <v>372</v>
      </c>
      <c r="B345" s="3" t="s">
        <v>79</v>
      </c>
      <c r="C345" s="3" t="s">
        <v>36</v>
      </c>
      <c r="D345" s="3" t="s">
        <v>27</v>
      </c>
      <c r="E345" s="3" t="s">
        <v>381</v>
      </c>
      <c r="F345" s="3"/>
      <c r="G345" s="81">
        <f t="shared" ref="G345:H346" si="159">G346</f>
        <v>5489.84</v>
      </c>
      <c r="H345" s="81">
        <f t="shared" si="159"/>
        <v>0</v>
      </c>
      <c r="I345" s="48">
        <f t="shared" si="147"/>
        <v>0</v>
      </c>
      <c r="J345" s="65"/>
    </row>
    <row r="346" spans="1:10" ht="48" customHeight="1" x14ac:dyDescent="0.2">
      <c r="A346" s="4" t="s">
        <v>96</v>
      </c>
      <c r="B346" s="3" t="s">
        <v>79</v>
      </c>
      <c r="C346" s="3" t="s">
        <v>36</v>
      </c>
      <c r="D346" s="3" t="s">
        <v>27</v>
      </c>
      <c r="E346" s="3" t="s">
        <v>374</v>
      </c>
      <c r="F346" s="3"/>
      <c r="G346" s="81">
        <f t="shared" si="159"/>
        <v>5489.84</v>
      </c>
      <c r="H346" s="81">
        <f t="shared" si="159"/>
        <v>0</v>
      </c>
      <c r="I346" s="48">
        <f t="shared" si="147"/>
        <v>0</v>
      </c>
      <c r="J346" s="65"/>
    </row>
    <row r="347" spans="1:10" ht="36.75" customHeight="1" x14ac:dyDescent="0.2">
      <c r="A347" s="7" t="s">
        <v>281</v>
      </c>
      <c r="B347" s="3" t="s">
        <v>79</v>
      </c>
      <c r="C347" s="3" t="s">
        <v>36</v>
      </c>
      <c r="D347" s="3" t="s">
        <v>27</v>
      </c>
      <c r="E347" s="3" t="s">
        <v>375</v>
      </c>
      <c r="F347" s="3"/>
      <c r="G347" s="81">
        <f>G348+G349+G350</f>
        <v>5489.84</v>
      </c>
      <c r="H347" s="81">
        <f t="shared" ref="H347" si="160">H348+H349+H350</f>
        <v>0</v>
      </c>
      <c r="I347" s="48">
        <f t="shared" si="147"/>
        <v>0</v>
      </c>
      <c r="J347" s="65"/>
    </row>
    <row r="348" spans="1:10" ht="24" customHeight="1" x14ac:dyDescent="0.2">
      <c r="A348" s="4" t="s">
        <v>47</v>
      </c>
      <c r="B348" s="3" t="s">
        <v>79</v>
      </c>
      <c r="C348" s="3" t="s">
        <v>36</v>
      </c>
      <c r="D348" s="3" t="s">
        <v>27</v>
      </c>
      <c r="E348" s="3" t="s">
        <v>375</v>
      </c>
      <c r="F348" s="3" t="s">
        <v>51</v>
      </c>
      <c r="G348" s="48">
        <v>5075.6000000000004</v>
      </c>
      <c r="H348" s="81"/>
      <c r="I348" s="48">
        <f t="shared" si="147"/>
        <v>0</v>
      </c>
      <c r="J348" s="65"/>
    </row>
    <row r="349" spans="1:10" ht="24" customHeight="1" x14ac:dyDescent="0.2">
      <c r="A349" s="4" t="s">
        <v>73</v>
      </c>
      <c r="B349" s="3" t="s">
        <v>79</v>
      </c>
      <c r="C349" s="3" t="s">
        <v>36</v>
      </c>
      <c r="D349" s="3" t="s">
        <v>27</v>
      </c>
      <c r="E349" s="3" t="s">
        <v>375</v>
      </c>
      <c r="F349" s="3" t="s">
        <v>79</v>
      </c>
      <c r="G349" s="48">
        <v>314.24</v>
      </c>
      <c r="H349" s="81"/>
      <c r="I349" s="48">
        <f t="shared" si="147"/>
        <v>0</v>
      </c>
      <c r="J349" s="65"/>
    </row>
    <row r="350" spans="1:10" ht="24" customHeight="1" x14ac:dyDescent="0.2">
      <c r="A350" s="4" t="s">
        <v>503</v>
      </c>
      <c r="B350" s="3" t="s">
        <v>79</v>
      </c>
      <c r="C350" s="3" t="s">
        <v>36</v>
      </c>
      <c r="D350" s="3" t="s">
        <v>27</v>
      </c>
      <c r="E350" s="3" t="s">
        <v>502</v>
      </c>
      <c r="F350" s="3"/>
      <c r="G350" s="48">
        <f>G351</f>
        <v>100</v>
      </c>
      <c r="H350" s="48">
        <f>H351</f>
        <v>0</v>
      </c>
      <c r="I350" s="48">
        <f t="shared" si="147"/>
        <v>0</v>
      </c>
      <c r="J350" s="65"/>
    </row>
    <row r="351" spans="1:10" ht="24" customHeight="1" x14ac:dyDescent="0.2">
      <c r="A351" s="4" t="s">
        <v>73</v>
      </c>
      <c r="B351" s="3" t="s">
        <v>79</v>
      </c>
      <c r="C351" s="3" t="s">
        <v>36</v>
      </c>
      <c r="D351" s="3" t="s">
        <v>27</v>
      </c>
      <c r="E351" s="3" t="s">
        <v>502</v>
      </c>
      <c r="F351" s="3" t="s">
        <v>79</v>
      </c>
      <c r="G351" s="48">
        <v>100</v>
      </c>
      <c r="H351" s="81"/>
      <c r="I351" s="48">
        <f t="shared" si="147"/>
        <v>0</v>
      </c>
      <c r="J351" s="65"/>
    </row>
    <row r="352" spans="1:10" ht="15" customHeight="1" x14ac:dyDescent="0.2">
      <c r="A352" s="4" t="s">
        <v>92</v>
      </c>
      <c r="B352" s="3" t="s">
        <v>79</v>
      </c>
      <c r="C352" s="3" t="s">
        <v>36</v>
      </c>
      <c r="D352" s="3" t="s">
        <v>6</v>
      </c>
      <c r="E352" s="3"/>
      <c r="F352" s="3"/>
      <c r="G352" s="79">
        <f>G353</f>
        <v>677.82</v>
      </c>
      <c r="H352" s="79">
        <f t="shared" ref="H352" si="161">H353</f>
        <v>25.911999999999999</v>
      </c>
      <c r="I352" s="48">
        <f t="shared" si="147"/>
        <v>3.8228438228438222</v>
      </c>
      <c r="J352" s="65"/>
    </row>
    <row r="353" spans="1:10" ht="61.5" customHeight="1" x14ac:dyDescent="0.25">
      <c r="A353" s="4" t="s">
        <v>385</v>
      </c>
      <c r="B353" s="3" t="s">
        <v>79</v>
      </c>
      <c r="C353" s="3" t="s">
        <v>36</v>
      </c>
      <c r="D353" s="3" t="s">
        <v>6</v>
      </c>
      <c r="E353" s="3" t="s">
        <v>91</v>
      </c>
      <c r="F353" s="3"/>
      <c r="G353" s="87">
        <f t="shared" ref="G353:H355" si="162">G354</f>
        <v>677.82</v>
      </c>
      <c r="H353" s="87">
        <f t="shared" si="162"/>
        <v>25.911999999999999</v>
      </c>
      <c r="I353" s="48">
        <f t="shared" si="147"/>
        <v>3.8228438228438222</v>
      </c>
      <c r="J353" s="65"/>
    </row>
    <row r="354" spans="1:10" ht="24" customHeight="1" x14ac:dyDescent="0.25">
      <c r="A354" s="4" t="s">
        <v>224</v>
      </c>
      <c r="B354" s="3" t="s">
        <v>79</v>
      </c>
      <c r="C354" s="3" t="s">
        <v>36</v>
      </c>
      <c r="D354" s="3" t="s">
        <v>6</v>
      </c>
      <c r="E354" s="3" t="s">
        <v>289</v>
      </c>
      <c r="F354" s="3"/>
      <c r="G354" s="87">
        <f t="shared" si="162"/>
        <v>677.82</v>
      </c>
      <c r="H354" s="87">
        <f t="shared" si="162"/>
        <v>25.911999999999999</v>
      </c>
      <c r="I354" s="48">
        <f t="shared" si="147"/>
        <v>3.8228438228438222</v>
      </c>
      <c r="J354" s="65"/>
    </row>
    <row r="355" spans="1:10" ht="24" customHeight="1" x14ac:dyDescent="0.25">
      <c r="A355" s="4" t="s">
        <v>291</v>
      </c>
      <c r="B355" s="3" t="s">
        <v>79</v>
      </c>
      <c r="C355" s="3" t="s">
        <v>36</v>
      </c>
      <c r="D355" s="3" t="s">
        <v>6</v>
      </c>
      <c r="E355" s="3" t="s">
        <v>290</v>
      </c>
      <c r="F355" s="3"/>
      <c r="G355" s="87">
        <f t="shared" si="162"/>
        <v>677.82</v>
      </c>
      <c r="H355" s="87">
        <f t="shared" si="162"/>
        <v>25.911999999999999</v>
      </c>
      <c r="I355" s="48">
        <f t="shared" si="147"/>
        <v>3.8228438228438222</v>
      </c>
      <c r="J355" s="65"/>
    </row>
    <row r="356" spans="1:10" ht="24" customHeight="1" x14ac:dyDescent="0.25">
      <c r="A356" s="4" t="s">
        <v>47</v>
      </c>
      <c r="B356" s="3" t="s">
        <v>79</v>
      </c>
      <c r="C356" s="3" t="s">
        <v>36</v>
      </c>
      <c r="D356" s="3" t="s">
        <v>6</v>
      </c>
      <c r="E356" s="3" t="s">
        <v>290</v>
      </c>
      <c r="F356" s="3" t="s">
        <v>51</v>
      </c>
      <c r="G356" s="86">
        <v>677.82</v>
      </c>
      <c r="H356" s="87">
        <v>25.911999999999999</v>
      </c>
      <c r="I356" s="48">
        <f t="shared" si="147"/>
        <v>3.8228438228438222</v>
      </c>
      <c r="J356" s="65"/>
    </row>
    <row r="357" spans="1:10" ht="12.75" customHeight="1" x14ac:dyDescent="0.2">
      <c r="A357" s="4" t="s">
        <v>184</v>
      </c>
      <c r="B357" s="3" t="s">
        <v>79</v>
      </c>
      <c r="C357" s="3" t="s">
        <v>78</v>
      </c>
      <c r="D357" s="3"/>
      <c r="E357" s="3"/>
      <c r="F357" s="3"/>
      <c r="G357" s="48">
        <f>G358+G365</f>
        <v>94555.43677</v>
      </c>
      <c r="H357" s="48">
        <f t="shared" ref="H357" si="163">H358+H365</f>
        <v>4729.5990000000002</v>
      </c>
      <c r="I357" s="48">
        <f t="shared" si="147"/>
        <v>5.0019323706414101</v>
      </c>
      <c r="J357" s="65"/>
    </row>
    <row r="358" spans="1:10" ht="12.75" customHeight="1" x14ac:dyDescent="0.2">
      <c r="A358" s="4" t="s">
        <v>89</v>
      </c>
      <c r="B358" s="3" t="s">
        <v>79</v>
      </c>
      <c r="C358" s="3" t="s">
        <v>78</v>
      </c>
      <c r="D358" s="3" t="s">
        <v>15</v>
      </c>
      <c r="E358" s="3"/>
      <c r="F358" s="3"/>
      <c r="G358" s="48">
        <f>G359</f>
        <v>89308.36735</v>
      </c>
      <c r="H358" s="48">
        <f t="shared" ref="H358:H366" si="164">H359</f>
        <v>0</v>
      </c>
      <c r="I358" s="48">
        <f t="shared" si="147"/>
        <v>0</v>
      </c>
      <c r="J358" s="65"/>
    </row>
    <row r="359" spans="1:10" ht="22.5" customHeight="1" x14ac:dyDescent="0.2">
      <c r="A359" s="4" t="s">
        <v>337</v>
      </c>
      <c r="B359" s="3" t="s">
        <v>79</v>
      </c>
      <c r="C359" s="3" t="s">
        <v>78</v>
      </c>
      <c r="D359" s="3" t="s">
        <v>15</v>
      </c>
      <c r="E359" s="3" t="s">
        <v>402</v>
      </c>
      <c r="F359" s="3"/>
      <c r="G359" s="48">
        <f>G360</f>
        <v>89308.36735</v>
      </c>
      <c r="H359" s="48">
        <f t="shared" si="164"/>
        <v>0</v>
      </c>
      <c r="I359" s="48">
        <f t="shared" si="147"/>
        <v>0</v>
      </c>
      <c r="J359" s="65"/>
    </row>
    <row r="360" spans="1:10" ht="24" customHeight="1" x14ac:dyDescent="0.2">
      <c r="A360" s="7" t="s">
        <v>392</v>
      </c>
      <c r="B360" s="3" t="s">
        <v>79</v>
      </c>
      <c r="C360" s="3" t="s">
        <v>78</v>
      </c>
      <c r="D360" s="3" t="s">
        <v>15</v>
      </c>
      <c r="E360" s="3" t="s">
        <v>409</v>
      </c>
      <c r="F360" s="3"/>
      <c r="G360" s="48">
        <f>G363+G361</f>
        <v>89308.36735</v>
      </c>
      <c r="H360" s="48">
        <f t="shared" ref="H360" si="165">H363+H361</f>
        <v>0</v>
      </c>
      <c r="I360" s="48">
        <f t="shared" si="147"/>
        <v>0</v>
      </c>
      <c r="J360" s="65"/>
    </row>
    <row r="361" spans="1:10" ht="36" hidden="1" customHeight="1" x14ac:dyDescent="0.2">
      <c r="A361" s="7" t="s">
        <v>488</v>
      </c>
      <c r="B361" s="3" t="s">
        <v>79</v>
      </c>
      <c r="C361" s="3" t="s">
        <v>78</v>
      </c>
      <c r="D361" s="3" t="s">
        <v>15</v>
      </c>
      <c r="E361" s="3" t="s">
        <v>410</v>
      </c>
      <c r="F361" s="3"/>
      <c r="G361" s="73">
        <f t="shared" ref="G361:H361" si="166">G362</f>
        <v>0</v>
      </c>
      <c r="H361" s="73">
        <f t="shared" si="166"/>
        <v>0</v>
      </c>
      <c r="I361" s="48" t="e">
        <f t="shared" si="147"/>
        <v>#DIV/0!</v>
      </c>
      <c r="J361" s="65"/>
    </row>
    <row r="362" spans="1:10" ht="24" hidden="1" customHeight="1" x14ac:dyDescent="0.2">
      <c r="A362" s="7" t="s">
        <v>70</v>
      </c>
      <c r="B362" s="3" t="s">
        <v>79</v>
      </c>
      <c r="C362" s="3" t="s">
        <v>78</v>
      </c>
      <c r="D362" s="3" t="s">
        <v>15</v>
      </c>
      <c r="E362" s="3" t="s">
        <v>410</v>
      </c>
      <c r="F362" s="3" t="s">
        <v>69</v>
      </c>
      <c r="G362" s="48"/>
      <c r="H362" s="73"/>
      <c r="I362" s="48" t="e">
        <f t="shared" si="147"/>
        <v>#DIV/0!</v>
      </c>
      <c r="J362" s="65"/>
    </row>
    <row r="363" spans="1:10" ht="78.75" customHeight="1" x14ac:dyDescent="0.2">
      <c r="A363" s="7" t="s">
        <v>466</v>
      </c>
      <c r="B363" s="3" t="s">
        <v>79</v>
      </c>
      <c r="C363" s="3" t="s">
        <v>78</v>
      </c>
      <c r="D363" s="3" t="s">
        <v>15</v>
      </c>
      <c r="E363" s="3" t="s">
        <v>467</v>
      </c>
      <c r="F363" s="3"/>
      <c r="G363" s="48">
        <f>G364</f>
        <v>89308.36735</v>
      </c>
      <c r="H363" s="48">
        <f t="shared" si="164"/>
        <v>0</v>
      </c>
      <c r="I363" s="48">
        <f t="shared" si="147"/>
        <v>0</v>
      </c>
      <c r="J363" s="65"/>
    </row>
    <row r="364" spans="1:10" ht="12.75" customHeight="1" x14ac:dyDescent="0.2">
      <c r="A364" s="7" t="s">
        <v>70</v>
      </c>
      <c r="B364" s="3" t="s">
        <v>79</v>
      </c>
      <c r="C364" s="3" t="s">
        <v>78</v>
      </c>
      <c r="D364" s="3" t="s">
        <v>15</v>
      </c>
      <c r="E364" s="3" t="s">
        <v>467</v>
      </c>
      <c r="F364" s="3" t="s">
        <v>69</v>
      </c>
      <c r="G364" s="48">
        <v>89308.36735</v>
      </c>
      <c r="H364" s="48"/>
      <c r="I364" s="48">
        <f t="shared" si="147"/>
        <v>0</v>
      </c>
      <c r="J364" s="65"/>
    </row>
    <row r="365" spans="1:10" ht="12.75" customHeight="1" x14ac:dyDescent="0.2">
      <c r="A365" s="4" t="s">
        <v>88</v>
      </c>
      <c r="B365" s="3" t="s">
        <v>79</v>
      </c>
      <c r="C365" s="3" t="s">
        <v>78</v>
      </c>
      <c r="D365" s="3" t="s">
        <v>27</v>
      </c>
      <c r="E365" s="3"/>
      <c r="F365" s="3"/>
      <c r="G365" s="48">
        <f>G366</f>
        <v>5247.0694199999998</v>
      </c>
      <c r="H365" s="48">
        <f t="shared" si="164"/>
        <v>4729.5990000000002</v>
      </c>
      <c r="I365" s="48">
        <f t="shared" si="147"/>
        <v>90.137915499505638</v>
      </c>
      <c r="J365" s="65"/>
    </row>
    <row r="366" spans="1:10" ht="22.5" customHeight="1" x14ac:dyDescent="0.2">
      <c r="A366" s="4" t="s">
        <v>337</v>
      </c>
      <c r="B366" s="3" t="s">
        <v>79</v>
      </c>
      <c r="C366" s="3" t="s">
        <v>78</v>
      </c>
      <c r="D366" s="3" t="s">
        <v>27</v>
      </c>
      <c r="E366" s="3" t="s">
        <v>402</v>
      </c>
      <c r="F366" s="3"/>
      <c r="G366" s="48">
        <f>G367</f>
        <v>5247.0694199999998</v>
      </c>
      <c r="H366" s="48">
        <f t="shared" si="164"/>
        <v>4729.5990000000002</v>
      </c>
      <c r="I366" s="48">
        <f t="shared" si="147"/>
        <v>90.137915499505638</v>
      </c>
      <c r="J366" s="65"/>
    </row>
    <row r="367" spans="1:10" ht="24" customHeight="1" x14ac:dyDescent="0.2">
      <c r="A367" s="7" t="s">
        <v>392</v>
      </c>
      <c r="B367" s="3" t="s">
        <v>79</v>
      </c>
      <c r="C367" s="3" t="s">
        <v>78</v>
      </c>
      <c r="D367" s="3" t="s">
        <v>27</v>
      </c>
      <c r="E367" s="3" t="s">
        <v>409</v>
      </c>
      <c r="F367" s="3"/>
      <c r="G367" s="48">
        <f>G368+G370</f>
        <v>5247.0694199999998</v>
      </c>
      <c r="H367" s="48">
        <f t="shared" ref="H367" si="167">H368+H370</f>
        <v>4729.5990000000002</v>
      </c>
      <c r="I367" s="48">
        <f t="shared" si="147"/>
        <v>90.137915499505638</v>
      </c>
      <c r="J367" s="65"/>
    </row>
    <row r="368" spans="1:10" ht="36" customHeight="1" x14ac:dyDescent="0.2">
      <c r="A368" s="7" t="s">
        <v>488</v>
      </c>
      <c r="B368" s="3" t="s">
        <v>79</v>
      </c>
      <c r="C368" s="3" t="s">
        <v>78</v>
      </c>
      <c r="D368" s="3" t="s">
        <v>27</v>
      </c>
      <c r="E368" s="3" t="s">
        <v>410</v>
      </c>
      <c r="F368" s="3"/>
      <c r="G368" s="73">
        <f t="shared" ref="G368:H370" si="168">G369</f>
        <v>520.46741999999995</v>
      </c>
      <c r="H368" s="73">
        <f t="shared" si="168"/>
        <v>3</v>
      </c>
      <c r="I368" s="48">
        <f t="shared" si="147"/>
        <v>0.57640495537645764</v>
      </c>
      <c r="J368" s="65"/>
    </row>
    <row r="369" spans="1:10" ht="24" customHeight="1" x14ac:dyDescent="0.2">
      <c r="A369" s="4" t="s">
        <v>47</v>
      </c>
      <c r="B369" s="3" t="s">
        <v>79</v>
      </c>
      <c r="C369" s="3" t="s">
        <v>78</v>
      </c>
      <c r="D369" s="3" t="s">
        <v>27</v>
      </c>
      <c r="E369" s="3" t="s">
        <v>410</v>
      </c>
      <c r="F369" s="3" t="s">
        <v>51</v>
      </c>
      <c r="G369" s="48">
        <v>520.46741999999995</v>
      </c>
      <c r="H369" s="73">
        <v>3</v>
      </c>
      <c r="I369" s="48">
        <f t="shared" si="147"/>
        <v>0.57640495537645764</v>
      </c>
      <c r="J369" s="65"/>
    </row>
    <row r="370" spans="1:10" ht="33.75" customHeight="1" x14ac:dyDescent="0.2">
      <c r="A370" s="4" t="s">
        <v>498</v>
      </c>
      <c r="B370" s="3" t="s">
        <v>79</v>
      </c>
      <c r="C370" s="3" t="s">
        <v>78</v>
      </c>
      <c r="D370" s="3" t="s">
        <v>27</v>
      </c>
      <c r="E370" s="3" t="s">
        <v>499</v>
      </c>
      <c r="F370" s="3"/>
      <c r="G370" s="73">
        <f t="shared" si="168"/>
        <v>4726.6019999999999</v>
      </c>
      <c r="H370" s="73">
        <f t="shared" si="168"/>
        <v>4726.5990000000002</v>
      </c>
      <c r="I370" s="48">
        <f t="shared" si="147"/>
        <v>99.99993652945605</v>
      </c>
      <c r="J370" s="65"/>
    </row>
    <row r="371" spans="1:10" ht="24" customHeight="1" x14ac:dyDescent="0.2">
      <c r="A371" s="7" t="s">
        <v>70</v>
      </c>
      <c r="B371" s="3" t="s">
        <v>79</v>
      </c>
      <c r="C371" s="3" t="s">
        <v>78</v>
      </c>
      <c r="D371" s="3" t="s">
        <v>27</v>
      </c>
      <c r="E371" s="3" t="s">
        <v>499</v>
      </c>
      <c r="F371" s="3" t="s">
        <v>69</v>
      </c>
      <c r="G371" s="48">
        <v>4726.6019999999999</v>
      </c>
      <c r="H371" s="73">
        <v>4726.5990000000002</v>
      </c>
      <c r="I371" s="48">
        <f t="shared" si="147"/>
        <v>99.99993652945605</v>
      </c>
      <c r="J371" s="65"/>
    </row>
    <row r="372" spans="1:10" s="50" customFormat="1" ht="12.75" customHeight="1" x14ac:dyDescent="0.2">
      <c r="A372" s="4" t="s">
        <v>77</v>
      </c>
      <c r="B372" s="3" t="s">
        <v>79</v>
      </c>
      <c r="C372" s="3" t="s">
        <v>72</v>
      </c>
      <c r="D372" s="3"/>
      <c r="E372" s="3"/>
      <c r="F372" s="3"/>
      <c r="G372" s="48">
        <f>G373</f>
        <v>7070.9993599999998</v>
      </c>
      <c r="H372" s="48">
        <f t="shared" ref="H372:H373" si="169">H373</f>
        <v>0</v>
      </c>
      <c r="I372" s="48">
        <f t="shared" si="147"/>
        <v>0</v>
      </c>
      <c r="J372" s="66"/>
    </row>
    <row r="373" spans="1:10" s="50" customFormat="1" ht="12.75" customHeight="1" x14ac:dyDescent="0.2">
      <c r="A373" s="4" t="s">
        <v>76</v>
      </c>
      <c r="B373" s="3" t="s">
        <v>79</v>
      </c>
      <c r="C373" s="3" t="s">
        <v>72</v>
      </c>
      <c r="D373" s="3" t="s">
        <v>15</v>
      </c>
      <c r="E373" s="3"/>
      <c r="F373" s="3"/>
      <c r="G373" s="48">
        <f>G374</f>
        <v>7070.9993599999998</v>
      </c>
      <c r="H373" s="48">
        <f t="shared" si="169"/>
        <v>0</v>
      </c>
      <c r="I373" s="48">
        <f t="shared" si="147"/>
        <v>0</v>
      </c>
      <c r="J373" s="66"/>
    </row>
    <row r="374" spans="1:10" s="50" customFormat="1" ht="48" x14ac:dyDescent="0.2">
      <c r="A374" s="4" t="s">
        <v>359</v>
      </c>
      <c r="B374" s="3" t="s">
        <v>79</v>
      </c>
      <c r="C374" s="3" t="s">
        <v>72</v>
      </c>
      <c r="D374" s="3" t="s">
        <v>15</v>
      </c>
      <c r="E374" s="3" t="s">
        <v>41</v>
      </c>
      <c r="F374" s="3"/>
      <c r="G374" s="73">
        <f>G375</f>
        <v>7070.9993599999998</v>
      </c>
      <c r="H374" s="73">
        <f t="shared" ref="H374" si="170">H375</f>
        <v>0</v>
      </c>
      <c r="I374" s="48">
        <f t="shared" si="147"/>
        <v>0</v>
      </c>
      <c r="J374" s="66"/>
    </row>
    <row r="375" spans="1:10" s="50" customFormat="1" ht="24" x14ac:dyDescent="0.2">
      <c r="A375" s="4" t="s">
        <v>441</v>
      </c>
      <c r="B375" s="3" t="s">
        <v>79</v>
      </c>
      <c r="C375" s="3" t="s">
        <v>72</v>
      </c>
      <c r="D375" s="3" t="s">
        <v>15</v>
      </c>
      <c r="E375" s="3" t="s">
        <v>442</v>
      </c>
      <c r="F375" s="3"/>
      <c r="G375" s="73">
        <f t="shared" ref="G375:H376" si="171">G376</f>
        <v>7070.9993599999998</v>
      </c>
      <c r="H375" s="73">
        <f t="shared" si="171"/>
        <v>0</v>
      </c>
      <c r="I375" s="48">
        <f t="shared" si="147"/>
        <v>0</v>
      </c>
      <c r="J375" s="66"/>
    </row>
    <row r="376" spans="1:10" s="50" customFormat="1" ht="48" x14ac:dyDescent="0.2">
      <c r="A376" s="4" t="s">
        <v>471</v>
      </c>
      <c r="B376" s="3" t="s">
        <v>476</v>
      </c>
      <c r="C376" s="3" t="s">
        <v>72</v>
      </c>
      <c r="D376" s="3" t="s">
        <v>15</v>
      </c>
      <c r="E376" s="3" t="s">
        <v>472</v>
      </c>
      <c r="F376" s="3"/>
      <c r="G376" s="73">
        <f>G377</f>
        <v>7070.9993599999998</v>
      </c>
      <c r="H376" s="73">
        <f t="shared" si="171"/>
        <v>0</v>
      </c>
      <c r="I376" s="48">
        <f t="shared" si="147"/>
        <v>0</v>
      </c>
      <c r="J376" s="66"/>
    </row>
    <row r="377" spans="1:10" s="50" customFormat="1" ht="24" x14ac:dyDescent="0.2">
      <c r="A377" s="4" t="s">
        <v>47</v>
      </c>
      <c r="B377" s="3" t="s">
        <v>79</v>
      </c>
      <c r="C377" s="3" t="s">
        <v>72</v>
      </c>
      <c r="D377" s="3" t="s">
        <v>15</v>
      </c>
      <c r="E377" s="3" t="s">
        <v>472</v>
      </c>
      <c r="F377" s="3" t="s">
        <v>51</v>
      </c>
      <c r="G377" s="48">
        <v>7070.9993599999998</v>
      </c>
      <c r="H377" s="73"/>
      <c r="I377" s="48">
        <f t="shared" si="147"/>
        <v>0</v>
      </c>
      <c r="J377" s="66"/>
    </row>
    <row r="378" spans="1:10" ht="12.75" customHeight="1" x14ac:dyDescent="0.2">
      <c r="A378" s="4" t="s">
        <v>66</v>
      </c>
      <c r="B378" s="3" t="s">
        <v>79</v>
      </c>
      <c r="C378" s="3" t="s">
        <v>54</v>
      </c>
      <c r="D378" s="3" t="s">
        <v>19</v>
      </c>
      <c r="E378" s="3"/>
      <c r="F378" s="3"/>
      <c r="G378" s="48">
        <f>G380+G384</f>
        <v>5540.5622700000004</v>
      </c>
      <c r="H378" s="48">
        <f t="shared" ref="H378" si="172">H380+H384</f>
        <v>292.90741000000003</v>
      </c>
      <c r="I378" s="48">
        <f t="shared" si="147"/>
        <v>5.2866008128088415</v>
      </c>
      <c r="J378" s="65"/>
    </row>
    <row r="379" spans="1:10" ht="12.75" customHeight="1" x14ac:dyDescent="0.2">
      <c r="A379" s="4" t="s">
        <v>65</v>
      </c>
      <c r="B379" s="3" t="s">
        <v>79</v>
      </c>
      <c r="C379" s="3" t="s">
        <v>54</v>
      </c>
      <c r="D379" s="3" t="s">
        <v>15</v>
      </c>
      <c r="E379" s="3"/>
      <c r="F379" s="3"/>
      <c r="G379" s="48">
        <f>G380</f>
        <v>720.73</v>
      </c>
      <c r="H379" s="48">
        <f t="shared" ref="H379" si="173">H380</f>
        <v>174.90741</v>
      </c>
      <c r="I379" s="48">
        <f t="shared" si="147"/>
        <v>24.268090685832419</v>
      </c>
      <c r="J379" s="65"/>
    </row>
    <row r="380" spans="1:10" ht="53.25" customHeight="1" x14ac:dyDescent="0.2">
      <c r="A380" s="4" t="s">
        <v>292</v>
      </c>
      <c r="B380" s="3" t="s">
        <v>79</v>
      </c>
      <c r="C380" s="3" t="s">
        <v>54</v>
      </c>
      <c r="D380" s="3" t="s">
        <v>15</v>
      </c>
      <c r="E380" s="3" t="s">
        <v>57</v>
      </c>
      <c r="F380" s="3"/>
      <c r="G380" s="48">
        <f t="shared" ref="G380:H382" si="174">G381</f>
        <v>720.73</v>
      </c>
      <c r="H380" s="48">
        <f t="shared" si="174"/>
        <v>174.90741</v>
      </c>
      <c r="I380" s="48">
        <f t="shared" si="147"/>
        <v>24.268090685832419</v>
      </c>
      <c r="J380" s="65"/>
    </row>
    <row r="381" spans="1:10" ht="44.25" customHeight="1" x14ac:dyDescent="0.2">
      <c r="A381" s="4" t="s">
        <v>239</v>
      </c>
      <c r="B381" s="3" t="s">
        <v>79</v>
      </c>
      <c r="C381" s="3" t="s">
        <v>54</v>
      </c>
      <c r="D381" s="3" t="s">
        <v>15</v>
      </c>
      <c r="E381" s="3" t="s">
        <v>293</v>
      </c>
      <c r="F381" s="3"/>
      <c r="G381" s="48">
        <f t="shared" si="174"/>
        <v>720.73</v>
      </c>
      <c r="H381" s="48">
        <f t="shared" si="174"/>
        <v>174.90741</v>
      </c>
      <c r="I381" s="48">
        <f t="shared" si="147"/>
        <v>24.268090685832419</v>
      </c>
      <c r="J381" s="65"/>
    </row>
    <row r="382" spans="1:10" ht="28.5" customHeight="1" x14ac:dyDescent="0.2">
      <c r="A382" s="7" t="s">
        <v>294</v>
      </c>
      <c r="B382" s="3" t="s">
        <v>79</v>
      </c>
      <c r="C382" s="3" t="s">
        <v>54</v>
      </c>
      <c r="D382" s="3" t="s">
        <v>15</v>
      </c>
      <c r="E382" s="3" t="s">
        <v>295</v>
      </c>
      <c r="F382" s="3"/>
      <c r="G382" s="48">
        <f t="shared" si="174"/>
        <v>720.73</v>
      </c>
      <c r="H382" s="48">
        <f t="shared" si="174"/>
        <v>174.90741</v>
      </c>
      <c r="I382" s="48">
        <f t="shared" si="147"/>
        <v>24.268090685832419</v>
      </c>
      <c r="J382" s="65"/>
    </row>
    <row r="383" spans="1:10" ht="12.75" customHeight="1" x14ac:dyDescent="0.2">
      <c r="A383" s="7" t="s">
        <v>45</v>
      </c>
      <c r="B383" s="3" t="s">
        <v>79</v>
      </c>
      <c r="C383" s="3" t="s">
        <v>54</v>
      </c>
      <c r="D383" s="3" t="s">
        <v>15</v>
      </c>
      <c r="E383" s="3" t="s">
        <v>295</v>
      </c>
      <c r="F383" s="3" t="s">
        <v>43</v>
      </c>
      <c r="G383" s="48">
        <v>720.73</v>
      </c>
      <c r="H383" s="73">
        <v>174.90741</v>
      </c>
      <c r="I383" s="48">
        <f t="shared" ref="I383:I446" si="175">H383/G383*100</f>
        <v>24.268090685832419</v>
      </c>
      <c r="J383" s="65"/>
    </row>
    <row r="384" spans="1:10" s="30" customFormat="1" ht="12.75" customHeight="1" x14ac:dyDescent="0.2">
      <c r="A384" s="4" t="s">
        <v>64</v>
      </c>
      <c r="B384" s="3" t="s">
        <v>79</v>
      </c>
      <c r="C384" s="3" t="s">
        <v>54</v>
      </c>
      <c r="D384" s="3" t="s">
        <v>6</v>
      </c>
      <c r="E384" s="3"/>
      <c r="F384" s="3"/>
      <c r="G384" s="48">
        <f>G385+G393+G389+G402</f>
        <v>4819.8322699999999</v>
      </c>
      <c r="H384" s="48">
        <f t="shared" ref="H384" si="176">H385+H393+H389+H402</f>
        <v>118</v>
      </c>
      <c r="I384" s="48">
        <f t="shared" si="175"/>
        <v>2.4482179750209441</v>
      </c>
      <c r="J384" s="67"/>
    </row>
    <row r="385" spans="1:10" s="30" customFormat="1" ht="72" customHeight="1" x14ac:dyDescent="0.2">
      <c r="A385" s="4" t="s">
        <v>256</v>
      </c>
      <c r="B385" s="3" t="s">
        <v>79</v>
      </c>
      <c r="C385" s="3" t="s">
        <v>54</v>
      </c>
      <c r="D385" s="3" t="s">
        <v>6</v>
      </c>
      <c r="E385" s="3" t="s">
        <v>63</v>
      </c>
      <c r="F385" s="3"/>
      <c r="G385" s="80">
        <f t="shared" ref="G385:H386" si="177">G386</f>
        <v>3928.57143</v>
      </c>
      <c r="H385" s="80">
        <f t="shared" si="177"/>
        <v>0</v>
      </c>
      <c r="I385" s="48">
        <f t="shared" si="175"/>
        <v>0</v>
      </c>
      <c r="J385" s="67"/>
    </row>
    <row r="386" spans="1:10" s="30" customFormat="1" ht="24" customHeight="1" x14ac:dyDescent="0.2">
      <c r="A386" s="4" t="s">
        <v>296</v>
      </c>
      <c r="B386" s="3" t="s">
        <v>79</v>
      </c>
      <c r="C386" s="3" t="s">
        <v>54</v>
      </c>
      <c r="D386" s="3" t="s">
        <v>6</v>
      </c>
      <c r="E386" s="3" t="s">
        <v>284</v>
      </c>
      <c r="F386" s="3"/>
      <c r="G386" s="80">
        <f>G387</f>
        <v>3928.57143</v>
      </c>
      <c r="H386" s="80">
        <f t="shared" si="177"/>
        <v>0</v>
      </c>
      <c r="I386" s="48">
        <f t="shared" si="175"/>
        <v>0</v>
      </c>
      <c r="J386" s="67"/>
    </row>
    <row r="387" spans="1:10" s="30" customFormat="1" ht="60" customHeight="1" x14ac:dyDescent="0.2">
      <c r="A387" s="4" t="s">
        <v>393</v>
      </c>
      <c r="B387" s="3" t="s">
        <v>79</v>
      </c>
      <c r="C387" s="3" t="s">
        <v>54</v>
      </c>
      <c r="D387" s="3" t="s">
        <v>6</v>
      </c>
      <c r="E387" s="3" t="s">
        <v>468</v>
      </c>
      <c r="F387" s="3"/>
      <c r="G387" s="80">
        <f t="shared" ref="G387:H387" si="178">G388</f>
        <v>3928.57143</v>
      </c>
      <c r="H387" s="80">
        <f t="shared" si="178"/>
        <v>0</v>
      </c>
      <c r="I387" s="48">
        <f t="shared" si="175"/>
        <v>0</v>
      </c>
      <c r="J387" s="67"/>
    </row>
    <row r="388" spans="1:10" s="30" customFormat="1" ht="24" customHeight="1" x14ac:dyDescent="0.2">
      <c r="A388" s="4" t="s">
        <v>45</v>
      </c>
      <c r="B388" s="3" t="s">
        <v>79</v>
      </c>
      <c r="C388" s="3" t="s">
        <v>54</v>
      </c>
      <c r="D388" s="3" t="s">
        <v>6</v>
      </c>
      <c r="E388" s="3" t="s">
        <v>468</v>
      </c>
      <c r="F388" s="3" t="s">
        <v>43</v>
      </c>
      <c r="G388" s="48">
        <v>3928.57143</v>
      </c>
      <c r="H388" s="80"/>
      <c r="I388" s="48">
        <f t="shared" si="175"/>
        <v>0</v>
      </c>
      <c r="J388" s="67"/>
    </row>
    <row r="389" spans="1:10" s="30" customFormat="1" ht="58.5" customHeight="1" x14ac:dyDescent="0.2">
      <c r="A389" s="60" t="s">
        <v>396</v>
      </c>
      <c r="B389" s="3" t="s">
        <v>79</v>
      </c>
      <c r="C389" s="3" t="s">
        <v>54</v>
      </c>
      <c r="D389" s="3" t="s">
        <v>6</v>
      </c>
      <c r="E389" s="3" t="s">
        <v>434</v>
      </c>
      <c r="F389" s="3"/>
      <c r="G389" s="48">
        <f>G390</f>
        <v>480.26083999999997</v>
      </c>
      <c r="H389" s="48">
        <f t="shared" ref="H389:H391" si="179">H390</f>
        <v>0</v>
      </c>
      <c r="I389" s="48">
        <f t="shared" si="175"/>
        <v>0</v>
      </c>
      <c r="J389" s="67"/>
    </row>
    <row r="390" spans="1:10" s="30" customFormat="1" ht="35.25" customHeight="1" x14ac:dyDescent="0.2">
      <c r="A390" s="60" t="s">
        <v>397</v>
      </c>
      <c r="B390" s="3" t="s">
        <v>79</v>
      </c>
      <c r="C390" s="3" t="s">
        <v>54</v>
      </c>
      <c r="D390" s="3" t="s">
        <v>6</v>
      </c>
      <c r="E390" s="3" t="s">
        <v>435</v>
      </c>
      <c r="F390" s="3"/>
      <c r="G390" s="48">
        <f>G391</f>
        <v>480.26083999999997</v>
      </c>
      <c r="H390" s="48">
        <f t="shared" si="179"/>
        <v>0</v>
      </c>
      <c r="I390" s="48">
        <f t="shared" si="175"/>
        <v>0</v>
      </c>
      <c r="J390" s="67"/>
    </row>
    <row r="391" spans="1:10" s="30" customFormat="1" ht="27" customHeight="1" x14ac:dyDescent="0.2">
      <c r="A391" s="60" t="s">
        <v>469</v>
      </c>
      <c r="B391" s="3" t="s">
        <v>79</v>
      </c>
      <c r="C391" s="3" t="s">
        <v>54</v>
      </c>
      <c r="D391" s="3" t="s">
        <v>6</v>
      </c>
      <c r="E391" s="3" t="s">
        <v>470</v>
      </c>
      <c r="F391" s="3"/>
      <c r="G391" s="48">
        <f>G392</f>
        <v>480.26083999999997</v>
      </c>
      <c r="H391" s="48">
        <f t="shared" si="179"/>
        <v>0</v>
      </c>
      <c r="I391" s="48">
        <f t="shared" si="175"/>
        <v>0</v>
      </c>
      <c r="J391" s="67"/>
    </row>
    <row r="392" spans="1:10" s="30" customFormat="1" ht="12.75" customHeight="1" x14ac:dyDescent="0.2">
      <c r="A392" s="7" t="s">
        <v>45</v>
      </c>
      <c r="B392" s="3" t="s">
        <v>79</v>
      </c>
      <c r="C392" s="3" t="s">
        <v>54</v>
      </c>
      <c r="D392" s="3" t="s">
        <v>6</v>
      </c>
      <c r="E392" s="3" t="s">
        <v>470</v>
      </c>
      <c r="F392" s="3" t="s">
        <v>43</v>
      </c>
      <c r="G392" s="48">
        <v>480.26083999999997</v>
      </c>
      <c r="H392" s="80"/>
      <c r="I392" s="48">
        <f t="shared" si="175"/>
        <v>0</v>
      </c>
      <c r="J392" s="67"/>
    </row>
    <row r="393" spans="1:10" s="30" customFormat="1" ht="51.75" customHeight="1" x14ac:dyDescent="0.2">
      <c r="A393" s="4" t="s">
        <v>292</v>
      </c>
      <c r="B393" s="3" t="s">
        <v>79</v>
      </c>
      <c r="C393" s="3" t="s">
        <v>54</v>
      </c>
      <c r="D393" s="3" t="s">
        <v>6</v>
      </c>
      <c r="E393" s="3" t="s">
        <v>57</v>
      </c>
      <c r="F393" s="3"/>
      <c r="G393" s="80">
        <f>G394+G399</f>
        <v>366</v>
      </c>
      <c r="H393" s="80">
        <f>H394+H399</f>
        <v>73</v>
      </c>
      <c r="I393" s="48">
        <f t="shared" si="175"/>
        <v>19.94535519125683</v>
      </c>
      <c r="J393" s="67"/>
    </row>
    <row r="394" spans="1:10" s="30" customFormat="1" ht="39.75" customHeight="1" x14ac:dyDescent="0.2">
      <c r="A394" s="7" t="s">
        <v>55</v>
      </c>
      <c r="B394" s="3" t="s">
        <v>79</v>
      </c>
      <c r="C394" s="3" t="s">
        <v>54</v>
      </c>
      <c r="D394" s="3" t="s">
        <v>6</v>
      </c>
      <c r="E394" s="3" t="s">
        <v>252</v>
      </c>
      <c r="F394" s="3"/>
      <c r="G394" s="80">
        <f>G395+G397</f>
        <v>202.5</v>
      </c>
      <c r="H394" s="80">
        <f>H395+H397</f>
        <v>0</v>
      </c>
      <c r="I394" s="48">
        <f t="shared" si="175"/>
        <v>0</v>
      </c>
      <c r="J394" s="67"/>
    </row>
    <row r="395" spans="1:10" s="30" customFormat="1" ht="58.5" customHeight="1" x14ac:dyDescent="0.2">
      <c r="A395" s="4" t="s">
        <v>331</v>
      </c>
      <c r="B395" s="3" t="s">
        <v>79</v>
      </c>
      <c r="C395" s="3" t="s">
        <v>54</v>
      </c>
      <c r="D395" s="3" t="s">
        <v>6</v>
      </c>
      <c r="E395" s="3" t="s">
        <v>62</v>
      </c>
      <c r="F395" s="3"/>
      <c r="G395" s="80">
        <f t="shared" ref="G395:H397" si="180">G396</f>
        <v>86</v>
      </c>
      <c r="H395" s="80">
        <f t="shared" si="180"/>
        <v>0</v>
      </c>
      <c r="I395" s="48">
        <f t="shared" si="175"/>
        <v>0</v>
      </c>
      <c r="J395" s="67"/>
    </row>
    <row r="396" spans="1:10" s="30" customFormat="1" ht="12.75" customHeight="1" x14ac:dyDescent="0.2">
      <c r="A396" s="7" t="s">
        <v>45</v>
      </c>
      <c r="B396" s="3" t="s">
        <v>79</v>
      </c>
      <c r="C396" s="3" t="s">
        <v>54</v>
      </c>
      <c r="D396" s="3" t="s">
        <v>6</v>
      </c>
      <c r="E396" s="3" t="s">
        <v>62</v>
      </c>
      <c r="F396" s="3" t="s">
        <v>43</v>
      </c>
      <c r="G396" s="48">
        <v>86</v>
      </c>
      <c r="H396" s="80"/>
      <c r="I396" s="48">
        <f t="shared" si="175"/>
        <v>0</v>
      </c>
      <c r="J396" s="67"/>
    </row>
    <row r="397" spans="1:10" s="30" customFormat="1" ht="58.5" customHeight="1" x14ac:dyDescent="0.2">
      <c r="A397" s="4" t="s">
        <v>440</v>
      </c>
      <c r="B397" s="3" t="s">
        <v>79</v>
      </c>
      <c r="C397" s="3" t="s">
        <v>54</v>
      </c>
      <c r="D397" s="3" t="s">
        <v>6</v>
      </c>
      <c r="E397" s="3" t="s">
        <v>439</v>
      </c>
      <c r="F397" s="3"/>
      <c r="G397" s="80">
        <f t="shared" si="180"/>
        <v>116.5</v>
      </c>
      <c r="H397" s="80">
        <f t="shared" si="180"/>
        <v>0</v>
      </c>
      <c r="I397" s="48">
        <f t="shared" si="175"/>
        <v>0</v>
      </c>
      <c r="J397" s="67"/>
    </row>
    <row r="398" spans="1:10" s="30" customFormat="1" ht="12.75" customHeight="1" x14ac:dyDescent="0.2">
      <c r="A398" s="7" t="s">
        <v>45</v>
      </c>
      <c r="B398" s="3" t="s">
        <v>79</v>
      </c>
      <c r="C398" s="3" t="s">
        <v>54</v>
      </c>
      <c r="D398" s="3" t="s">
        <v>6</v>
      </c>
      <c r="E398" s="3" t="s">
        <v>439</v>
      </c>
      <c r="F398" s="3" t="s">
        <v>43</v>
      </c>
      <c r="G398" s="48">
        <v>116.5</v>
      </c>
      <c r="H398" s="80"/>
      <c r="I398" s="48">
        <f t="shared" si="175"/>
        <v>0</v>
      </c>
      <c r="J398" s="67"/>
    </row>
    <row r="399" spans="1:10" s="30" customFormat="1" ht="45.75" customHeight="1" x14ac:dyDescent="0.2">
      <c r="A399" s="4" t="s">
        <v>239</v>
      </c>
      <c r="B399" s="3" t="s">
        <v>79</v>
      </c>
      <c r="C399" s="3" t="s">
        <v>54</v>
      </c>
      <c r="D399" s="3" t="s">
        <v>6</v>
      </c>
      <c r="E399" s="3" t="s">
        <v>293</v>
      </c>
      <c r="F399" s="3"/>
      <c r="G399" s="48">
        <f t="shared" ref="G399:H400" si="181">G400</f>
        <v>163.5</v>
      </c>
      <c r="H399" s="48">
        <f t="shared" si="181"/>
        <v>73</v>
      </c>
      <c r="I399" s="48">
        <f t="shared" si="175"/>
        <v>44.648318042813457</v>
      </c>
      <c r="J399" s="67"/>
    </row>
    <row r="400" spans="1:10" s="30" customFormat="1" ht="51.75" customHeight="1" x14ac:dyDescent="0.2">
      <c r="A400" s="4" t="s">
        <v>299</v>
      </c>
      <c r="B400" s="3" t="s">
        <v>79</v>
      </c>
      <c r="C400" s="3" t="s">
        <v>54</v>
      </c>
      <c r="D400" s="3" t="s">
        <v>6</v>
      </c>
      <c r="E400" s="3" t="s">
        <v>298</v>
      </c>
      <c r="F400" s="3"/>
      <c r="G400" s="48">
        <f t="shared" si="181"/>
        <v>163.5</v>
      </c>
      <c r="H400" s="48">
        <f t="shared" si="181"/>
        <v>73</v>
      </c>
      <c r="I400" s="48">
        <f t="shared" si="175"/>
        <v>44.648318042813457</v>
      </c>
      <c r="J400" s="67"/>
    </row>
    <row r="401" spans="1:10" s="30" customFormat="1" ht="30.75" customHeight="1" x14ac:dyDescent="0.2">
      <c r="A401" s="4" t="s">
        <v>45</v>
      </c>
      <c r="B401" s="3" t="s">
        <v>79</v>
      </c>
      <c r="C401" s="3" t="s">
        <v>54</v>
      </c>
      <c r="D401" s="3" t="s">
        <v>6</v>
      </c>
      <c r="E401" s="3" t="s">
        <v>298</v>
      </c>
      <c r="F401" s="3" t="s">
        <v>43</v>
      </c>
      <c r="G401" s="48">
        <v>163.5</v>
      </c>
      <c r="H401" s="73">
        <v>73</v>
      </c>
      <c r="I401" s="48">
        <f t="shared" si="175"/>
        <v>44.648318042813457</v>
      </c>
      <c r="J401" s="67"/>
    </row>
    <row r="402" spans="1:10" s="30" customFormat="1" ht="30.75" customHeight="1" x14ac:dyDescent="0.2">
      <c r="A402" s="4" t="s">
        <v>46</v>
      </c>
      <c r="B402" s="3" t="s">
        <v>79</v>
      </c>
      <c r="C402" s="3" t="s">
        <v>54</v>
      </c>
      <c r="D402" s="3" t="s">
        <v>6</v>
      </c>
      <c r="E402" s="3" t="s">
        <v>44</v>
      </c>
      <c r="F402" s="3"/>
      <c r="G402" s="48">
        <f>G403</f>
        <v>45</v>
      </c>
      <c r="H402" s="48">
        <f t="shared" ref="H402" si="182">H403</f>
        <v>45</v>
      </c>
      <c r="I402" s="48">
        <f t="shared" si="175"/>
        <v>100</v>
      </c>
      <c r="J402" s="67"/>
    </row>
    <row r="403" spans="1:10" s="30" customFormat="1" ht="30.75" customHeight="1" x14ac:dyDescent="0.2">
      <c r="A403" s="4" t="s">
        <v>45</v>
      </c>
      <c r="B403" s="3" t="s">
        <v>79</v>
      </c>
      <c r="C403" s="3" t="s">
        <v>54</v>
      </c>
      <c r="D403" s="3" t="s">
        <v>6</v>
      </c>
      <c r="E403" s="3" t="s">
        <v>44</v>
      </c>
      <c r="F403" s="3" t="s">
        <v>43</v>
      </c>
      <c r="G403" s="48">
        <v>45</v>
      </c>
      <c r="H403" s="73">
        <v>45</v>
      </c>
      <c r="I403" s="48">
        <f t="shared" si="175"/>
        <v>100</v>
      </c>
      <c r="J403" s="67"/>
    </row>
    <row r="404" spans="1:10" s="30" customFormat="1" ht="12.75" customHeight="1" x14ac:dyDescent="0.2">
      <c r="A404" s="4" t="s">
        <v>33</v>
      </c>
      <c r="B404" s="3" t="s">
        <v>79</v>
      </c>
      <c r="C404" s="3" t="s">
        <v>28</v>
      </c>
      <c r="D404" s="3"/>
      <c r="E404" s="3"/>
      <c r="F404" s="3"/>
      <c r="G404" s="79">
        <f t="shared" ref="G404:H408" si="183">G405</f>
        <v>1300.4059999999999</v>
      </c>
      <c r="H404" s="79">
        <f t="shared" si="183"/>
        <v>456.72</v>
      </c>
      <c r="I404" s="48">
        <f t="shared" si="175"/>
        <v>35.121339027965114</v>
      </c>
      <c r="J404" s="67"/>
    </row>
    <row r="405" spans="1:10" s="30" customFormat="1" ht="12.75" customHeight="1" x14ac:dyDescent="0.2">
      <c r="A405" s="4" t="s">
        <v>32</v>
      </c>
      <c r="B405" s="3" t="s">
        <v>79</v>
      </c>
      <c r="C405" s="3" t="s">
        <v>28</v>
      </c>
      <c r="D405" s="3" t="s">
        <v>27</v>
      </c>
      <c r="E405" s="3"/>
      <c r="F405" s="3"/>
      <c r="G405" s="79">
        <f t="shared" si="183"/>
        <v>1300.4059999999999</v>
      </c>
      <c r="H405" s="79">
        <f t="shared" si="183"/>
        <v>456.72</v>
      </c>
      <c r="I405" s="48">
        <f t="shared" si="175"/>
        <v>35.121339027965114</v>
      </c>
      <c r="J405" s="67"/>
    </row>
    <row r="406" spans="1:10" s="30" customFormat="1" ht="44.25" customHeight="1" x14ac:dyDescent="0.2">
      <c r="A406" s="7" t="s">
        <v>394</v>
      </c>
      <c r="B406" s="3" t="s">
        <v>79</v>
      </c>
      <c r="C406" s="3" t="s">
        <v>28</v>
      </c>
      <c r="D406" s="3" t="s">
        <v>27</v>
      </c>
      <c r="E406" s="3" t="s">
        <v>31</v>
      </c>
      <c r="F406" s="3"/>
      <c r="G406" s="80">
        <f t="shared" si="183"/>
        <v>1300.4059999999999</v>
      </c>
      <c r="H406" s="80">
        <f t="shared" si="183"/>
        <v>456.72</v>
      </c>
      <c r="I406" s="48">
        <f t="shared" si="175"/>
        <v>35.121339027965114</v>
      </c>
      <c r="J406" s="67"/>
    </row>
    <row r="407" spans="1:10" s="30" customFormat="1" ht="40.5" customHeight="1" x14ac:dyDescent="0.2">
      <c r="A407" s="4" t="s">
        <v>30</v>
      </c>
      <c r="B407" s="3" t="s">
        <v>79</v>
      </c>
      <c r="C407" s="3" t="s">
        <v>28</v>
      </c>
      <c r="D407" s="3" t="s">
        <v>27</v>
      </c>
      <c r="E407" s="3" t="s">
        <v>300</v>
      </c>
      <c r="F407" s="3"/>
      <c r="G407" s="80">
        <f t="shared" si="183"/>
        <v>1300.4059999999999</v>
      </c>
      <c r="H407" s="80">
        <f t="shared" si="183"/>
        <v>456.72</v>
      </c>
      <c r="I407" s="48">
        <f t="shared" si="175"/>
        <v>35.121339027965114</v>
      </c>
      <c r="J407" s="67"/>
    </row>
    <row r="408" spans="1:10" s="30" customFormat="1" ht="27.75" customHeight="1" x14ac:dyDescent="0.2">
      <c r="A408" s="7" t="s">
        <v>301</v>
      </c>
      <c r="B408" s="3" t="s">
        <v>79</v>
      </c>
      <c r="C408" s="3" t="s">
        <v>28</v>
      </c>
      <c r="D408" s="3" t="s">
        <v>27</v>
      </c>
      <c r="E408" s="3" t="s">
        <v>302</v>
      </c>
      <c r="F408" s="3"/>
      <c r="G408" s="80">
        <f t="shared" si="183"/>
        <v>1300.4059999999999</v>
      </c>
      <c r="H408" s="80">
        <f t="shared" si="183"/>
        <v>456.72</v>
      </c>
      <c r="I408" s="48">
        <f t="shared" si="175"/>
        <v>35.121339027965114</v>
      </c>
      <c r="J408" s="67"/>
    </row>
    <row r="409" spans="1:10" s="30" customFormat="1" ht="38.25" customHeight="1" x14ac:dyDescent="0.2">
      <c r="A409" s="1" t="s">
        <v>29</v>
      </c>
      <c r="B409" s="3" t="s">
        <v>79</v>
      </c>
      <c r="C409" s="3" t="s">
        <v>28</v>
      </c>
      <c r="D409" s="3" t="s">
        <v>27</v>
      </c>
      <c r="E409" s="3" t="s">
        <v>302</v>
      </c>
      <c r="F409" s="3" t="s">
        <v>26</v>
      </c>
      <c r="G409" s="48">
        <v>1300.4059999999999</v>
      </c>
      <c r="H409" s="80">
        <v>456.72</v>
      </c>
      <c r="I409" s="48">
        <f t="shared" si="175"/>
        <v>35.121339027965114</v>
      </c>
      <c r="J409" s="67"/>
    </row>
    <row r="410" spans="1:10" s="30" customFormat="1" ht="38.25" customHeight="1" x14ac:dyDescent="0.2">
      <c r="A410" s="4" t="s">
        <v>167</v>
      </c>
      <c r="B410" s="3" t="s">
        <v>79</v>
      </c>
      <c r="C410" s="3" t="s">
        <v>24</v>
      </c>
      <c r="D410" s="3"/>
      <c r="E410" s="3"/>
      <c r="F410" s="3"/>
      <c r="G410" s="48">
        <f>G411</f>
        <v>1</v>
      </c>
      <c r="H410" s="48">
        <f t="shared" ref="H410:H411" si="184">H411</f>
        <v>0</v>
      </c>
      <c r="I410" s="48">
        <f t="shared" si="175"/>
        <v>0</v>
      </c>
      <c r="J410" s="67"/>
    </row>
    <row r="411" spans="1:10" s="30" customFormat="1" ht="38.25" customHeight="1" x14ac:dyDescent="0.2">
      <c r="A411" s="4" t="s">
        <v>25</v>
      </c>
      <c r="B411" s="3" t="s">
        <v>79</v>
      </c>
      <c r="C411" s="3" t="s">
        <v>24</v>
      </c>
      <c r="D411" s="3" t="s">
        <v>15</v>
      </c>
      <c r="E411" s="3"/>
      <c r="F411" s="3"/>
      <c r="G411" s="48">
        <f>G412</f>
        <v>1</v>
      </c>
      <c r="H411" s="48">
        <f t="shared" si="184"/>
        <v>0</v>
      </c>
      <c r="I411" s="48">
        <f t="shared" si="175"/>
        <v>0</v>
      </c>
      <c r="J411" s="67"/>
    </row>
    <row r="412" spans="1:10" ht="63.75" customHeight="1" x14ac:dyDescent="0.2">
      <c r="A412" s="4" t="s">
        <v>354</v>
      </c>
      <c r="B412" s="3" t="s">
        <v>79</v>
      </c>
      <c r="C412" s="3">
        <v>13</v>
      </c>
      <c r="D412" s="3" t="s">
        <v>15</v>
      </c>
      <c r="E412" s="3" t="s">
        <v>12</v>
      </c>
      <c r="F412" s="3"/>
      <c r="G412" s="73">
        <f>G413</f>
        <v>1</v>
      </c>
      <c r="H412" s="73">
        <f t="shared" ref="G412:H414" si="185">H413</f>
        <v>0</v>
      </c>
      <c r="I412" s="48">
        <f t="shared" si="175"/>
        <v>0</v>
      </c>
      <c r="J412" s="65"/>
    </row>
    <row r="413" spans="1:10" ht="48" customHeight="1" x14ac:dyDescent="0.2">
      <c r="A413" s="4" t="s">
        <v>11</v>
      </c>
      <c r="B413" s="3" t="s">
        <v>79</v>
      </c>
      <c r="C413" s="3">
        <v>13</v>
      </c>
      <c r="D413" s="3" t="s">
        <v>15</v>
      </c>
      <c r="E413" s="3" t="s">
        <v>10</v>
      </c>
      <c r="F413" s="3"/>
      <c r="G413" s="73">
        <f t="shared" si="185"/>
        <v>1</v>
      </c>
      <c r="H413" s="73">
        <f t="shared" si="185"/>
        <v>0</v>
      </c>
      <c r="I413" s="48">
        <f t="shared" si="175"/>
        <v>0</v>
      </c>
      <c r="J413" s="65"/>
    </row>
    <row r="414" spans="1:10" ht="24" customHeight="1" x14ac:dyDescent="0.2">
      <c r="A414" s="4" t="s">
        <v>355</v>
      </c>
      <c r="B414" s="3" t="s">
        <v>79</v>
      </c>
      <c r="C414" s="3">
        <v>13</v>
      </c>
      <c r="D414" s="3" t="s">
        <v>15</v>
      </c>
      <c r="E414" s="3" t="s">
        <v>23</v>
      </c>
      <c r="F414" s="3"/>
      <c r="G414" s="73">
        <f t="shared" si="185"/>
        <v>1</v>
      </c>
      <c r="H414" s="73">
        <f t="shared" si="185"/>
        <v>0</v>
      </c>
      <c r="I414" s="48">
        <f t="shared" si="175"/>
        <v>0</v>
      </c>
      <c r="J414" s="65"/>
    </row>
    <row r="415" spans="1:10" ht="24" customHeight="1" x14ac:dyDescent="0.2">
      <c r="A415" s="4" t="s">
        <v>22</v>
      </c>
      <c r="B415" s="3" t="s">
        <v>79</v>
      </c>
      <c r="C415" s="3">
        <v>13</v>
      </c>
      <c r="D415" s="3" t="s">
        <v>15</v>
      </c>
      <c r="E415" s="3" t="s">
        <v>23</v>
      </c>
      <c r="F415" s="3" t="s">
        <v>21</v>
      </c>
      <c r="G415" s="48">
        <v>1</v>
      </c>
      <c r="H415" s="73"/>
      <c r="I415" s="48">
        <f t="shared" si="175"/>
        <v>0</v>
      </c>
      <c r="J415" s="65"/>
    </row>
    <row r="416" spans="1:10" s="30" customFormat="1" ht="42.75" customHeight="1" x14ac:dyDescent="0.2">
      <c r="A416" s="63" t="s">
        <v>236</v>
      </c>
      <c r="B416" s="5" t="s">
        <v>209</v>
      </c>
      <c r="C416" s="5"/>
      <c r="D416" s="5"/>
      <c r="E416" s="5"/>
      <c r="F416" s="3"/>
      <c r="G416" s="47">
        <f>G417+G431+G480+G474</f>
        <v>52622.272259999998</v>
      </c>
      <c r="H416" s="47">
        <f>H417+H431+H480+H474</f>
        <v>11280.45861</v>
      </c>
      <c r="I416" s="47">
        <f t="shared" si="175"/>
        <v>21.436661940907225</v>
      </c>
      <c r="J416" s="67"/>
    </row>
    <row r="417" spans="1:10" s="30" customFormat="1" ht="12.75" customHeight="1" x14ac:dyDescent="0.2">
      <c r="A417" s="4" t="s">
        <v>184</v>
      </c>
      <c r="B417" s="3" t="s">
        <v>209</v>
      </c>
      <c r="C417" s="3" t="s">
        <v>78</v>
      </c>
      <c r="D417" s="3"/>
      <c r="E417" s="3"/>
      <c r="F417" s="3"/>
      <c r="G417" s="48">
        <f>G425+G418</f>
        <v>6831.8626299999996</v>
      </c>
      <c r="H417" s="48">
        <f>H425+H418</f>
        <v>1588.6590000000001</v>
      </c>
      <c r="I417" s="48">
        <f t="shared" si="175"/>
        <v>23.253673061631805</v>
      </c>
      <c r="J417" s="67"/>
    </row>
    <row r="418" spans="1:10" s="30" customFormat="1" ht="12.75" customHeight="1" x14ac:dyDescent="0.2">
      <c r="A418" s="4" t="s">
        <v>232</v>
      </c>
      <c r="B418" s="3" t="s">
        <v>209</v>
      </c>
      <c r="C418" s="3" t="s">
        <v>78</v>
      </c>
      <c r="D418" s="3" t="s">
        <v>6</v>
      </c>
      <c r="E418" s="3"/>
      <c r="F418" s="3"/>
      <c r="G418" s="48">
        <f>G419</f>
        <v>6781.8626299999996</v>
      </c>
      <c r="H418" s="48">
        <f t="shared" ref="H418" si="186">H419</f>
        <v>1565.248</v>
      </c>
      <c r="I418" s="48">
        <f t="shared" si="175"/>
        <v>23.079913076918224</v>
      </c>
      <c r="J418" s="67"/>
    </row>
    <row r="419" spans="1:10" ht="57.75" customHeight="1" x14ac:dyDescent="0.2">
      <c r="A419" s="4" t="s">
        <v>343</v>
      </c>
      <c r="B419" s="3" t="s">
        <v>209</v>
      </c>
      <c r="C419" s="3" t="s">
        <v>78</v>
      </c>
      <c r="D419" s="3" t="s">
        <v>6</v>
      </c>
      <c r="E419" s="3" t="s">
        <v>411</v>
      </c>
      <c r="F419" s="3"/>
      <c r="G419" s="48">
        <f t="shared" ref="G419:H419" si="187">G420</f>
        <v>6781.8626299999996</v>
      </c>
      <c r="H419" s="48">
        <f t="shared" si="187"/>
        <v>1565.248</v>
      </c>
      <c r="I419" s="48">
        <f t="shared" si="175"/>
        <v>23.079913076918224</v>
      </c>
      <c r="J419" s="65"/>
    </row>
    <row r="420" spans="1:10" ht="24" customHeight="1" x14ac:dyDescent="0.2">
      <c r="A420" s="4" t="s">
        <v>85</v>
      </c>
      <c r="B420" s="3" t="s">
        <v>209</v>
      </c>
      <c r="C420" s="3" t="s">
        <v>78</v>
      </c>
      <c r="D420" s="3" t="s">
        <v>6</v>
      </c>
      <c r="E420" s="3" t="s">
        <v>412</v>
      </c>
      <c r="F420" s="3"/>
      <c r="G420" s="48">
        <f>G421+G423</f>
        <v>6781.8626299999996</v>
      </c>
      <c r="H420" s="48">
        <f>H421+H423</f>
        <v>1565.248</v>
      </c>
      <c r="I420" s="48">
        <f t="shared" si="175"/>
        <v>23.079913076918224</v>
      </c>
      <c r="J420" s="65"/>
    </row>
    <row r="421" spans="1:10" ht="27" customHeight="1" x14ac:dyDescent="0.2">
      <c r="A421" s="4" t="s">
        <v>395</v>
      </c>
      <c r="B421" s="3" t="s">
        <v>209</v>
      </c>
      <c r="C421" s="3" t="s">
        <v>78</v>
      </c>
      <c r="D421" s="3" t="s">
        <v>6</v>
      </c>
      <c r="E421" s="3" t="s">
        <v>429</v>
      </c>
      <c r="F421" s="3"/>
      <c r="G421" s="48">
        <f t="shared" ref="G421:H423" si="188">G422</f>
        <v>6370.4811499999996</v>
      </c>
      <c r="H421" s="48">
        <f t="shared" si="188"/>
        <v>1565.248</v>
      </c>
      <c r="I421" s="48">
        <f t="shared" si="175"/>
        <v>24.570326214684744</v>
      </c>
      <c r="J421" s="65"/>
    </row>
    <row r="422" spans="1:10" ht="24" customHeight="1" x14ac:dyDescent="0.2">
      <c r="A422" s="4" t="s">
        <v>29</v>
      </c>
      <c r="B422" s="3" t="s">
        <v>209</v>
      </c>
      <c r="C422" s="3" t="s">
        <v>78</v>
      </c>
      <c r="D422" s="3" t="s">
        <v>6</v>
      </c>
      <c r="E422" s="3" t="s">
        <v>429</v>
      </c>
      <c r="F422" s="3" t="s">
        <v>26</v>
      </c>
      <c r="G422" s="48">
        <v>6370.4811499999996</v>
      </c>
      <c r="H422" s="48">
        <v>1565.248</v>
      </c>
      <c r="I422" s="48">
        <f t="shared" si="175"/>
        <v>24.570326214684744</v>
      </c>
      <c r="J422" s="65"/>
    </row>
    <row r="423" spans="1:10" ht="27" customHeight="1" x14ac:dyDescent="0.2">
      <c r="A423" s="4" t="s">
        <v>453</v>
      </c>
      <c r="B423" s="3" t="s">
        <v>209</v>
      </c>
      <c r="C423" s="3" t="s">
        <v>78</v>
      </c>
      <c r="D423" s="3" t="s">
        <v>6</v>
      </c>
      <c r="E423" s="3" t="s">
        <v>451</v>
      </c>
      <c r="F423" s="3"/>
      <c r="G423" s="48">
        <f t="shared" si="188"/>
        <v>411.38148000000001</v>
      </c>
      <c r="H423" s="48">
        <f t="shared" si="188"/>
        <v>0</v>
      </c>
      <c r="I423" s="48">
        <f t="shared" si="175"/>
        <v>0</v>
      </c>
      <c r="J423" s="65"/>
    </row>
    <row r="424" spans="1:10" ht="24" customHeight="1" x14ac:dyDescent="0.2">
      <c r="A424" s="4" t="s">
        <v>29</v>
      </c>
      <c r="B424" s="3" t="s">
        <v>209</v>
      </c>
      <c r="C424" s="3" t="s">
        <v>78</v>
      </c>
      <c r="D424" s="3" t="s">
        <v>6</v>
      </c>
      <c r="E424" s="3" t="s">
        <v>451</v>
      </c>
      <c r="F424" s="3" t="s">
        <v>26</v>
      </c>
      <c r="G424" s="48">
        <v>411.38148000000001</v>
      </c>
      <c r="H424" s="48"/>
      <c r="I424" s="48">
        <f t="shared" si="175"/>
        <v>0</v>
      </c>
      <c r="J424" s="65"/>
    </row>
    <row r="425" spans="1:10" s="30" customFormat="1" ht="12.75" customHeight="1" x14ac:dyDescent="0.2">
      <c r="A425" s="4" t="s">
        <v>84</v>
      </c>
      <c r="B425" s="3" t="s">
        <v>209</v>
      </c>
      <c r="C425" s="3" t="s">
        <v>78</v>
      </c>
      <c r="D425" s="3" t="s">
        <v>78</v>
      </c>
      <c r="E425" s="3"/>
      <c r="F425" s="3"/>
      <c r="G425" s="48">
        <f t="shared" ref="G425:H427" si="189">G426</f>
        <v>50</v>
      </c>
      <c r="H425" s="48">
        <f t="shared" si="189"/>
        <v>23.411000000000001</v>
      </c>
      <c r="I425" s="48">
        <f t="shared" si="175"/>
        <v>46.822000000000003</v>
      </c>
      <c r="J425" s="67"/>
    </row>
    <row r="426" spans="1:10" s="30" customFormat="1" ht="53.25" customHeight="1" x14ac:dyDescent="0.2">
      <c r="A426" s="4" t="s">
        <v>396</v>
      </c>
      <c r="B426" s="3" t="s">
        <v>209</v>
      </c>
      <c r="C426" s="3" t="s">
        <v>78</v>
      </c>
      <c r="D426" s="3" t="s">
        <v>78</v>
      </c>
      <c r="E426" s="3" t="s">
        <v>434</v>
      </c>
      <c r="F426" s="3"/>
      <c r="G426" s="73">
        <f t="shared" si="189"/>
        <v>50</v>
      </c>
      <c r="H426" s="73">
        <f t="shared" si="189"/>
        <v>23.411000000000001</v>
      </c>
      <c r="I426" s="48">
        <f t="shared" si="175"/>
        <v>46.822000000000003</v>
      </c>
      <c r="J426" s="67"/>
    </row>
    <row r="427" spans="1:10" s="30" customFormat="1" ht="36" customHeight="1" x14ac:dyDescent="0.2">
      <c r="A427" s="4" t="s">
        <v>397</v>
      </c>
      <c r="B427" s="3" t="s">
        <v>209</v>
      </c>
      <c r="C427" s="3" t="s">
        <v>78</v>
      </c>
      <c r="D427" s="3" t="s">
        <v>78</v>
      </c>
      <c r="E427" s="3" t="s">
        <v>435</v>
      </c>
      <c r="F427" s="3"/>
      <c r="G427" s="73">
        <f t="shared" si="189"/>
        <v>50</v>
      </c>
      <c r="H427" s="73">
        <f t="shared" si="189"/>
        <v>23.411000000000001</v>
      </c>
      <c r="I427" s="48">
        <f t="shared" si="175"/>
        <v>46.822000000000003</v>
      </c>
      <c r="J427" s="67"/>
    </row>
    <row r="428" spans="1:10" s="30" customFormat="1" ht="27" customHeight="1" x14ac:dyDescent="0.2">
      <c r="A428" s="4" t="s">
        <v>303</v>
      </c>
      <c r="B428" s="3" t="s">
        <v>209</v>
      </c>
      <c r="C428" s="3" t="s">
        <v>78</v>
      </c>
      <c r="D428" s="3" t="s">
        <v>78</v>
      </c>
      <c r="E428" s="3" t="s">
        <v>436</v>
      </c>
      <c r="F428" s="3"/>
      <c r="G428" s="73">
        <f>G430+G429</f>
        <v>50</v>
      </c>
      <c r="H428" s="73">
        <f t="shared" ref="H428" si="190">H430+H429</f>
        <v>23.411000000000001</v>
      </c>
      <c r="I428" s="48">
        <f t="shared" si="175"/>
        <v>46.822000000000003</v>
      </c>
      <c r="J428" s="67"/>
    </row>
    <row r="429" spans="1:10" s="30" customFormat="1" ht="27" customHeight="1" x14ac:dyDescent="0.2">
      <c r="A429" s="4" t="s">
        <v>38</v>
      </c>
      <c r="B429" s="3" t="s">
        <v>209</v>
      </c>
      <c r="C429" s="3" t="s">
        <v>78</v>
      </c>
      <c r="D429" s="3" t="s">
        <v>78</v>
      </c>
      <c r="E429" s="3" t="s">
        <v>436</v>
      </c>
      <c r="F429" s="3" t="s">
        <v>34</v>
      </c>
      <c r="G429" s="73">
        <v>3</v>
      </c>
      <c r="H429" s="73"/>
      <c r="I429" s="48">
        <f t="shared" si="175"/>
        <v>0</v>
      </c>
      <c r="J429" s="67"/>
    </row>
    <row r="430" spans="1:10" s="30" customFormat="1" ht="24" customHeight="1" x14ac:dyDescent="0.2">
      <c r="A430" s="4" t="s">
        <v>47</v>
      </c>
      <c r="B430" s="3" t="s">
        <v>209</v>
      </c>
      <c r="C430" s="3" t="s">
        <v>78</v>
      </c>
      <c r="D430" s="3" t="s">
        <v>78</v>
      </c>
      <c r="E430" s="3" t="s">
        <v>436</v>
      </c>
      <c r="F430" s="3" t="s">
        <v>51</v>
      </c>
      <c r="G430" s="48">
        <v>47</v>
      </c>
      <c r="H430" s="73">
        <v>23.411000000000001</v>
      </c>
      <c r="I430" s="48">
        <f t="shared" si="175"/>
        <v>49.810638297872345</v>
      </c>
      <c r="J430" s="67"/>
    </row>
    <row r="431" spans="1:10" s="30" customFormat="1" ht="12.75" customHeight="1" x14ac:dyDescent="0.2">
      <c r="A431" s="4" t="s">
        <v>77</v>
      </c>
      <c r="B431" s="3" t="s">
        <v>209</v>
      </c>
      <c r="C431" s="3" t="s">
        <v>72</v>
      </c>
      <c r="D431" s="3"/>
      <c r="E431" s="3"/>
      <c r="F431" s="3"/>
      <c r="G431" s="48">
        <f>G432+G452</f>
        <v>45500.409629999995</v>
      </c>
      <c r="H431" s="48">
        <f>H432+H452</f>
        <v>9599.5996099999993</v>
      </c>
      <c r="I431" s="48">
        <f t="shared" si="175"/>
        <v>21.097831180118984</v>
      </c>
      <c r="J431" s="67"/>
    </row>
    <row r="432" spans="1:10" s="30" customFormat="1" ht="12.75" customHeight="1" x14ac:dyDescent="0.2">
      <c r="A432" s="4" t="s">
        <v>76</v>
      </c>
      <c r="B432" s="3" t="s">
        <v>209</v>
      </c>
      <c r="C432" s="3" t="s">
        <v>72</v>
      </c>
      <c r="D432" s="3" t="s">
        <v>15</v>
      </c>
      <c r="E432" s="3"/>
      <c r="F432" s="3"/>
      <c r="G432" s="48">
        <f>G433</f>
        <v>37895.654089999996</v>
      </c>
      <c r="H432" s="48">
        <f t="shared" ref="H432" si="191">H433</f>
        <v>8864.4279999999999</v>
      </c>
      <c r="I432" s="48">
        <f t="shared" si="175"/>
        <v>23.39167435650403</v>
      </c>
      <c r="J432" s="67"/>
    </row>
    <row r="433" spans="1:10" s="30" customFormat="1" ht="52.5" customHeight="1" x14ac:dyDescent="0.2">
      <c r="A433" s="4" t="s">
        <v>359</v>
      </c>
      <c r="B433" s="3" t="s">
        <v>209</v>
      </c>
      <c r="C433" s="3" t="s">
        <v>72</v>
      </c>
      <c r="D433" s="3" t="s">
        <v>15</v>
      </c>
      <c r="E433" s="3" t="s">
        <v>41</v>
      </c>
      <c r="F433" s="3"/>
      <c r="G433" s="73">
        <f>G434+G443</f>
        <v>37895.654089999996</v>
      </c>
      <c r="H433" s="73">
        <f>H434+H443</f>
        <v>8864.4279999999999</v>
      </c>
      <c r="I433" s="48">
        <f t="shared" si="175"/>
        <v>23.39167435650403</v>
      </c>
      <c r="J433" s="67"/>
    </row>
    <row r="434" spans="1:10" s="30" customFormat="1" ht="24" customHeight="1" x14ac:dyDescent="0.2">
      <c r="A434" s="4" t="s">
        <v>40</v>
      </c>
      <c r="B434" s="3" t="s">
        <v>209</v>
      </c>
      <c r="C434" s="3" t="s">
        <v>72</v>
      </c>
      <c r="D434" s="3" t="s">
        <v>15</v>
      </c>
      <c r="E434" s="3" t="s">
        <v>297</v>
      </c>
      <c r="F434" s="3"/>
      <c r="G434" s="73">
        <f>G435+G439+G437+G441</f>
        <v>25460.745779999997</v>
      </c>
      <c r="H434" s="73">
        <f>H435+H439+H437+H441</f>
        <v>7399.692</v>
      </c>
      <c r="I434" s="48">
        <f t="shared" si="175"/>
        <v>29.063139249489812</v>
      </c>
      <c r="J434" s="67"/>
    </row>
    <row r="435" spans="1:10" s="30" customFormat="1" ht="24" customHeight="1" x14ac:dyDescent="0.2">
      <c r="A435" s="4" t="s">
        <v>304</v>
      </c>
      <c r="B435" s="3" t="s">
        <v>209</v>
      </c>
      <c r="C435" s="3" t="s">
        <v>72</v>
      </c>
      <c r="D435" s="3" t="s">
        <v>15</v>
      </c>
      <c r="E435" s="3" t="s">
        <v>39</v>
      </c>
      <c r="F435" s="3"/>
      <c r="G435" s="73">
        <f>G436</f>
        <v>20748.159459999999</v>
      </c>
      <c r="H435" s="73">
        <f t="shared" ref="H435" si="192">H436</f>
        <v>7399.692</v>
      </c>
      <c r="I435" s="48">
        <f t="shared" si="175"/>
        <v>35.664329716887572</v>
      </c>
      <c r="J435" s="67"/>
    </row>
    <row r="436" spans="1:10" s="30" customFormat="1" ht="24" customHeight="1" x14ac:dyDescent="0.2">
      <c r="A436" s="4" t="s">
        <v>29</v>
      </c>
      <c r="B436" s="3" t="s">
        <v>209</v>
      </c>
      <c r="C436" s="3" t="s">
        <v>72</v>
      </c>
      <c r="D436" s="3" t="s">
        <v>15</v>
      </c>
      <c r="E436" s="3" t="s">
        <v>39</v>
      </c>
      <c r="F436" s="3" t="s">
        <v>26</v>
      </c>
      <c r="G436" s="48">
        <v>20748.159459999999</v>
      </c>
      <c r="H436" s="73">
        <v>7399.692</v>
      </c>
      <c r="I436" s="48">
        <f t="shared" si="175"/>
        <v>35.664329716887572</v>
      </c>
      <c r="J436" s="67"/>
    </row>
    <row r="437" spans="1:10" s="30" customFormat="1" ht="24" customHeight="1" x14ac:dyDescent="0.2">
      <c r="A437" s="4" t="s">
        <v>453</v>
      </c>
      <c r="B437" s="3" t="s">
        <v>209</v>
      </c>
      <c r="C437" s="3" t="s">
        <v>72</v>
      </c>
      <c r="D437" s="3" t="s">
        <v>15</v>
      </c>
      <c r="E437" s="3" t="s">
        <v>452</v>
      </c>
      <c r="F437" s="3"/>
      <c r="G437" s="48">
        <f>G438</f>
        <v>676.77</v>
      </c>
      <c r="H437" s="48">
        <f t="shared" ref="H437" si="193">H438</f>
        <v>0</v>
      </c>
      <c r="I437" s="48">
        <f t="shared" si="175"/>
        <v>0</v>
      </c>
      <c r="J437" s="67"/>
    </row>
    <row r="438" spans="1:10" s="30" customFormat="1" ht="24" customHeight="1" x14ac:dyDescent="0.2">
      <c r="A438" s="4" t="s">
        <v>29</v>
      </c>
      <c r="B438" s="3" t="s">
        <v>209</v>
      </c>
      <c r="C438" s="3" t="s">
        <v>72</v>
      </c>
      <c r="D438" s="3" t="s">
        <v>15</v>
      </c>
      <c r="E438" s="3" t="s">
        <v>452</v>
      </c>
      <c r="F438" s="3" t="s">
        <v>26</v>
      </c>
      <c r="G438" s="48">
        <v>676.77</v>
      </c>
      <c r="H438" s="73"/>
      <c r="I438" s="48">
        <f t="shared" si="175"/>
        <v>0</v>
      </c>
      <c r="J438" s="67"/>
    </row>
    <row r="439" spans="1:10" s="30" customFormat="1" ht="24" customHeight="1" x14ac:dyDescent="0.2">
      <c r="A439" s="4" t="s">
        <v>454</v>
      </c>
      <c r="B439" s="3" t="s">
        <v>209</v>
      </c>
      <c r="C439" s="3" t="s">
        <v>72</v>
      </c>
      <c r="D439" s="3" t="s">
        <v>15</v>
      </c>
      <c r="E439" s="3" t="s">
        <v>455</v>
      </c>
      <c r="F439" s="3"/>
      <c r="G439" s="48">
        <f>G440</f>
        <v>1742.7551000000001</v>
      </c>
      <c r="H439" s="48">
        <f t="shared" ref="H439" si="194">H440</f>
        <v>0</v>
      </c>
      <c r="I439" s="48">
        <f t="shared" si="175"/>
        <v>0</v>
      </c>
      <c r="J439" s="67"/>
    </row>
    <row r="440" spans="1:10" s="30" customFormat="1" ht="24" customHeight="1" x14ac:dyDescent="0.2">
      <c r="A440" s="4" t="s">
        <v>29</v>
      </c>
      <c r="B440" s="3" t="s">
        <v>209</v>
      </c>
      <c r="C440" s="3" t="s">
        <v>72</v>
      </c>
      <c r="D440" s="3" t="s">
        <v>15</v>
      </c>
      <c r="E440" s="3" t="s">
        <v>455</v>
      </c>
      <c r="F440" s="3" t="s">
        <v>26</v>
      </c>
      <c r="G440" s="48">
        <v>1742.7551000000001</v>
      </c>
      <c r="H440" s="73"/>
      <c r="I440" s="48">
        <f t="shared" si="175"/>
        <v>0</v>
      </c>
      <c r="J440" s="67"/>
    </row>
    <row r="441" spans="1:10" s="30" customFormat="1" ht="24" customHeight="1" x14ac:dyDescent="0.2">
      <c r="A441" s="4" t="s">
        <v>457</v>
      </c>
      <c r="B441" s="3" t="s">
        <v>209</v>
      </c>
      <c r="C441" s="3" t="s">
        <v>72</v>
      </c>
      <c r="D441" s="3" t="s">
        <v>15</v>
      </c>
      <c r="E441" s="3" t="s">
        <v>458</v>
      </c>
      <c r="F441" s="3"/>
      <c r="G441" s="48">
        <f>G442</f>
        <v>2293.06122</v>
      </c>
      <c r="H441" s="48">
        <f t="shared" ref="H441" si="195">H442</f>
        <v>0</v>
      </c>
      <c r="I441" s="48">
        <f t="shared" si="175"/>
        <v>0</v>
      </c>
      <c r="J441" s="67"/>
    </row>
    <row r="442" spans="1:10" s="30" customFormat="1" ht="24" customHeight="1" x14ac:dyDescent="0.2">
      <c r="A442" s="4" t="s">
        <v>29</v>
      </c>
      <c r="B442" s="3" t="s">
        <v>209</v>
      </c>
      <c r="C442" s="3" t="s">
        <v>72</v>
      </c>
      <c r="D442" s="3" t="s">
        <v>15</v>
      </c>
      <c r="E442" s="3" t="s">
        <v>458</v>
      </c>
      <c r="F442" s="3" t="s">
        <v>26</v>
      </c>
      <c r="G442" s="48">
        <v>2293.06122</v>
      </c>
      <c r="H442" s="73"/>
      <c r="I442" s="48">
        <f t="shared" si="175"/>
        <v>0</v>
      </c>
      <c r="J442" s="67"/>
    </row>
    <row r="443" spans="1:10" s="30" customFormat="1" ht="36" customHeight="1" x14ac:dyDescent="0.2">
      <c r="A443" s="4" t="s">
        <v>230</v>
      </c>
      <c r="B443" s="3" t="s">
        <v>209</v>
      </c>
      <c r="C443" s="3" t="s">
        <v>72</v>
      </c>
      <c r="D443" s="3" t="s">
        <v>15</v>
      </c>
      <c r="E443" s="3" t="s">
        <v>305</v>
      </c>
      <c r="F443" s="3"/>
      <c r="G443" s="73">
        <f>G444+G446+G448+G450</f>
        <v>12434.908309999999</v>
      </c>
      <c r="H443" s="73">
        <f>H444+H446+H448+H450</f>
        <v>1464.7360000000001</v>
      </c>
      <c r="I443" s="48">
        <f t="shared" si="175"/>
        <v>11.779226380158168</v>
      </c>
      <c r="J443" s="67"/>
    </row>
    <row r="444" spans="1:10" s="30" customFormat="1" ht="28.5" customHeight="1" x14ac:dyDescent="0.2">
      <c r="A444" s="4" t="s">
        <v>307</v>
      </c>
      <c r="B444" s="3" t="s">
        <v>209</v>
      </c>
      <c r="C444" s="3" t="s">
        <v>72</v>
      </c>
      <c r="D444" s="3" t="s">
        <v>15</v>
      </c>
      <c r="E444" s="3" t="s">
        <v>306</v>
      </c>
      <c r="F444" s="3"/>
      <c r="G444" s="73">
        <f>G445</f>
        <v>12312.769</v>
      </c>
      <c r="H444" s="73">
        <f t="shared" ref="H444" si="196">H445</f>
        <v>1464.7360000000001</v>
      </c>
      <c r="I444" s="48">
        <f t="shared" si="175"/>
        <v>11.896073092900551</v>
      </c>
      <c r="J444" s="67"/>
    </row>
    <row r="445" spans="1:10" s="30" customFormat="1" ht="24" customHeight="1" x14ac:dyDescent="0.2">
      <c r="A445" s="4" t="s">
        <v>29</v>
      </c>
      <c r="B445" s="3" t="s">
        <v>209</v>
      </c>
      <c r="C445" s="3" t="s">
        <v>72</v>
      </c>
      <c r="D445" s="3" t="s">
        <v>15</v>
      </c>
      <c r="E445" s="3" t="s">
        <v>306</v>
      </c>
      <c r="F445" s="3" t="s">
        <v>26</v>
      </c>
      <c r="G445" s="48">
        <v>12312.769</v>
      </c>
      <c r="H445" s="73">
        <v>1464.7360000000001</v>
      </c>
      <c r="I445" s="48">
        <f t="shared" si="175"/>
        <v>11.896073092900551</v>
      </c>
      <c r="J445" s="67"/>
    </row>
    <row r="446" spans="1:10" s="30" customFormat="1" ht="24" customHeight="1" x14ac:dyDescent="0.2">
      <c r="A446" s="7" t="s">
        <v>456</v>
      </c>
      <c r="B446" s="3" t="s">
        <v>209</v>
      </c>
      <c r="C446" s="3" t="s">
        <v>72</v>
      </c>
      <c r="D446" s="3" t="s">
        <v>15</v>
      </c>
      <c r="E446" s="3" t="s">
        <v>489</v>
      </c>
      <c r="F446" s="3"/>
      <c r="G446" s="48">
        <f>G447</f>
        <v>13.4551</v>
      </c>
      <c r="H446" s="48">
        <f t="shared" ref="H446:H450" si="197">H447</f>
        <v>0</v>
      </c>
      <c r="I446" s="48">
        <f t="shared" si="175"/>
        <v>0</v>
      </c>
      <c r="J446" s="67"/>
    </row>
    <row r="447" spans="1:10" s="30" customFormat="1" ht="24" customHeight="1" x14ac:dyDescent="0.2">
      <c r="A447" s="7" t="s">
        <v>29</v>
      </c>
      <c r="B447" s="3" t="s">
        <v>209</v>
      </c>
      <c r="C447" s="3" t="s">
        <v>72</v>
      </c>
      <c r="D447" s="3" t="s">
        <v>15</v>
      </c>
      <c r="E447" s="3" t="s">
        <v>489</v>
      </c>
      <c r="F447" s="3" t="s">
        <v>26</v>
      </c>
      <c r="G447" s="48">
        <v>13.4551</v>
      </c>
      <c r="H447" s="73"/>
      <c r="I447" s="48">
        <f t="shared" ref="I447:I487" si="198">H447/G447*100</f>
        <v>0</v>
      </c>
      <c r="J447" s="67"/>
    </row>
    <row r="448" spans="1:10" s="30" customFormat="1" ht="24" customHeight="1" x14ac:dyDescent="0.2">
      <c r="A448" s="7" t="s">
        <v>456</v>
      </c>
      <c r="B448" s="3" t="s">
        <v>209</v>
      </c>
      <c r="C448" s="3" t="s">
        <v>72</v>
      </c>
      <c r="D448" s="3" t="s">
        <v>15</v>
      </c>
      <c r="E448" s="3" t="s">
        <v>505</v>
      </c>
      <c r="F448" s="3"/>
      <c r="G448" s="48">
        <f>G449</f>
        <v>6.8315799999999998</v>
      </c>
      <c r="H448" s="48">
        <f t="shared" si="197"/>
        <v>0</v>
      </c>
      <c r="I448" s="48">
        <f t="shared" si="198"/>
        <v>0</v>
      </c>
      <c r="J448" s="67"/>
    </row>
    <row r="449" spans="1:10" s="30" customFormat="1" ht="24" customHeight="1" x14ac:dyDescent="0.2">
      <c r="A449" s="7" t="s">
        <v>29</v>
      </c>
      <c r="B449" s="3" t="s">
        <v>209</v>
      </c>
      <c r="C449" s="3" t="s">
        <v>72</v>
      </c>
      <c r="D449" s="3" t="s">
        <v>15</v>
      </c>
      <c r="E449" s="3" t="s">
        <v>505</v>
      </c>
      <c r="F449" s="3" t="s">
        <v>26</v>
      </c>
      <c r="G449" s="48">
        <v>6.8315799999999998</v>
      </c>
      <c r="H449" s="73"/>
      <c r="I449" s="48">
        <f t="shared" ref="I449:I451" si="199">H449/G449*100</f>
        <v>0</v>
      </c>
      <c r="J449" s="67"/>
    </row>
    <row r="450" spans="1:10" s="30" customFormat="1" ht="24" customHeight="1" x14ac:dyDescent="0.2">
      <c r="A450" s="7" t="s">
        <v>456</v>
      </c>
      <c r="B450" s="3" t="s">
        <v>209</v>
      </c>
      <c r="C450" s="3" t="s">
        <v>72</v>
      </c>
      <c r="D450" s="3" t="s">
        <v>15</v>
      </c>
      <c r="E450" s="3" t="s">
        <v>504</v>
      </c>
      <c r="F450" s="3"/>
      <c r="G450" s="48">
        <f>G451</f>
        <v>101.85263</v>
      </c>
      <c r="H450" s="48">
        <f t="shared" si="197"/>
        <v>0</v>
      </c>
      <c r="I450" s="48">
        <f t="shared" si="199"/>
        <v>0</v>
      </c>
      <c r="J450" s="67"/>
    </row>
    <row r="451" spans="1:10" s="30" customFormat="1" ht="24" customHeight="1" x14ac:dyDescent="0.2">
      <c r="A451" s="7" t="s">
        <v>29</v>
      </c>
      <c r="B451" s="3" t="s">
        <v>209</v>
      </c>
      <c r="C451" s="3" t="s">
        <v>72</v>
      </c>
      <c r="D451" s="3" t="s">
        <v>15</v>
      </c>
      <c r="E451" s="3" t="s">
        <v>504</v>
      </c>
      <c r="F451" s="3" t="s">
        <v>26</v>
      </c>
      <c r="G451" s="48">
        <v>101.85263</v>
      </c>
      <c r="H451" s="73"/>
      <c r="I451" s="48">
        <f t="shared" si="199"/>
        <v>0</v>
      </c>
      <c r="J451" s="67"/>
    </row>
    <row r="452" spans="1:10" s="30" customFormat="1" ht="23.25" customHeight="1" x14ac:dyDescent="0.2">
      <c r="A452" s="4" t="s">
        <v>75</v>
      </c>
      <c r="B452" s="3" t="s">
        <v>209</v>
      </c>
      <c r="C452" s="3" t="s">
        <v>72</v>
      </c>
      <c r="D452" s="3" t="s">
        <v>59</v>
      </c>
      <c r="E452" s="3"/>
      <c r="F452" s="3"/>
      <c r="G452" s="48">
        <f>G453+G468+G459</f>
        <v>7604.755540000001</v>
      </c>
      <c r="H452" s="48">
        <f>H453+H468+H459</f>
        <v>735.17160999999999</v>
      </c>
      <c r="I452" s="48">
        <f t="shared" si="198"/>
        <v>9.6672615724870479</v>
      </c>
      <c r="J452" s="67"/>
    </row>
    <row r="453" spans="1:10" s="30" customFormat="1" ht="78.75" customHeight="1" x14ac:dyDescent="0.2">
      <c r="A453" s="7" t="s">
        <v>308</v>
      </c>
      <c r="B453" s="3" t="s">
        <v>209</v>
      </c>
      <c r="C453" s="3" t="s">
        <v>72</v>
      </c>
      <c r="D453" s="3" t="s">
        <v>59</v>
      </c>
      <c r="E453" s="3" t="s">
        <v>507</v>
      </c>
      <c r="F453" s="3"/>
      <c r="G453" s="48">
        <f>G454+G457</f>
        <v>1352.146</v>
      </c>
      <c r="H453" s="48">
        <f>H454+H457</f>
        <v>220.62316999999999</v>
      </c>
      <c r="I453" s="48">
        <f t="shared" si="198"/>
        <v>16.316519813688757</v>
      </c>
      <c r="J453" s="67"/>
    </row>
    <row r="454" spans="1:10" s="30" customFormat="1" ht="38.25" customHeight="1" x14ac:dyDescent="0.2">
      <c r="A454" s="7" t="s">
        <v>309</v>
      </c>
      <c r="B454" s="3" t="s">
        <v>209</v>
      </c>
      <c r="C454" s="3" t="s">
        <v>72</v>
      </c>
      <c r="D454" s="3" t="s">
        <v>59</v>
      </c>
      <c r="E454" s="3" t="s">
        <v>449</v>
      </c>
      <c r="F454" s="3"/>
      <c r="G454" s="48">
        <f t="shared" ref="G454:H454" si="200">G455</f>
        <v>1310.3009999999999</v>
      </c>
      <c r="H454" s="48">
        <f t="shared" si="200"/>
        <v>220.62316999999999</v>
      </c>
      <c r="I454" s="48">
        <f t="shared" si="198"/>
        <v>16.837594567965681</v>
      </c>
      <c r="J454" s="67"/>
    </row>
    <row r="455" spans="1:10" s="30" customFormat="1" ht="24" customHeight="1" x14ac:dyDescent="0.2">
      <c r="A455" s="4" t="s">
        <v>74</v>
      </c>
      <c r="B455" s="3" t="s">
        <v>209</v>
      </c>
      <c r="C455" s="3" t="s">
        <v>72</v>
      </c>
      <c r="D455" s="3" t="s">
        <v>59</v>
      </c>
      <c r="E455" s="3" t="s">
        <v>450</v>
      </c>
      <c r="F455" s="3"/>
      <c r="G455" s="73">
        <f t="shared" ref="G455:H457" si="201">G456</f>
        <v>1310.3009999999999</v>
      </c>
      <c r="H455" s="73">
        <f t="shared" si="201"/>
        <v>220.62316999999999</v>
      </c>
      <c r="I455" s="48">
        <f t="shared" si="198"/>
        <v>16.837594567965681</v>
      </c>
      <c r="J455" s="67"/>
    </row>
    <row r="456" spans="1:10" s="30" customFormat="1" ht="60" customHeight="1" x14ac:dyDescent="0.2">
      <c r="A456" s="4" t="s">
        <v>38</v>
      </c>
      <c r="B456" s="3" t="s">
        <v>209</v>
      </c>
      <c r="C456" s="3" t="s">
        <v>72</v>
      </c>
      <c r="D456" s="3" t="s">
        <v>59</v>
      </c>
      <c r="E456" s="3" t="s">
        <v>450</v>
      </c>
      <c r="F456" s="3" t="s">
        <v>34</v>
      </c>
      <c r="G456" s="48">
        <f>1006.375+303.926</f>
        <v>1310.3009999999999</v>
      </c>
      <c r="H456" s="73">
        <f>175.55782+45.06535</f>
        <v>220.62316999999999</v>
      </c>
      <c r="I456" s="48">
        <f t="shared" si="198"/>
        <v>16.837594567965681</v>
      </c>
      <c r="J456" s="67"/>
    </row>
    <row r="457" spans="1:10" s="30" customFormat="1" ht="24" customHeight="1" x14ac:dyDescent="0.2">
      <c r="A457" s="4" t="s">
        <v>74</v>
      </c>
      <c r="B457" s="3" t="s">
        <v>209</v>
      </c>
      <c r="C457" s="3" t="s">
        <v>72</v>
      </c>
      <c r="D457" s="3" t="s">
        <v>59</v>
      </c>
      <c r="E457" s="3" t="s">
        <v>506</v>
      </c>
      <c r="F457" s="3"/>
      <c r="G457" s="73">
        <f t="shared" si="201"/>
        <v>41.844999999999999</v>
      </c>
      <c r="H457" s="73">
        <f t="shared" si="201"/>
        <v>0</v>
      </c>
      <c r="I457" s="48">
        <f t="shared" ref="I457:I458" si="202">H457/G457*100</f>
        <v>0</v>
      </c>
      <c r="J457" s="67"/>
    </row>
    <row r="458" spans="1:10" s="30" customFormat="1" ht="60" customHeight="1" x14ac:dyDescent="0.2">
      <c r="A458" s="4" t="s">
        <v>38</v>
      </c>
      <c r="B458" s="3" t="s">
        <v>209</v>
      </c>
      <c r="C458" s="3" t="s">
        <v>72</v>
      </c>
      <c r="D458" s="3" t="s">
        <v>59</v>
      </c>
      <c r="E458" s="3" t="s">
        <v>506</v>
      </c>
      <c r="F458" s="3" t="s">
        <v>34</v>
      </c>
      <c r="G458" s="48">
        <f>32.139+9.706</f>
        <v>41.844999999999999</v>
      </c>
      <c r="H458" s="73"/>
      <c r="I458" s="48">
        <f t="shared" si="202"/>
        <v>0</v>
      </c>
      <c r="J458" s="67"/>
    </row>
    <row r="459" spans="1:10" s="30" customFormat="1" ht="48" x14ac:dyDescent="0.2">
      <c r="A459" s="4" t="s">
        <v>508</v>
      </c>
      <c r="B459" s="3" t="s">
        <v>209</v>
      </c>
      <c r="C459" s="3" t="s">
        <v>72</v>
      </c>
      <c r="D459" s="3" t="s">
        <v>59</v>
      </c>
      <c r="E459" s="3" t="s">
        <v>509</v>
      </c>
      <c r="F459" s="3"/>
      <c r="G459" s="48">
        <f>G460+G466</f>
        <v>5925.0611000000008</v>
      </c>
      <c r="H459" s="48">
        <f>H460+H466</f>
        <v>187</v>
      </c>
      <c r="I459" s="48">
        <f t="shared" si="198"/>
        <v>3.1560855971594957</v>
      </c>
      <c r="J459" s="67"/>
    </row>
    <row r="460" spans="1:10" s="30" customFormat="1" ht="36" x14ac:dyDescent="0.2">
      <c r="A460" s="4" t="s">
        <v>510</v>
      </c>
      <c r="B460" s="3" t="s">
        <v>209</v>
      </c>
      <c r="C460" s="3" t="s">
        <v>72</v>
      </c>
      <c r="D460" s="3" t="s">
        <v>59</v>
      </c>
      <c r="E460" s="3" t="s">
        <v>511</v>
      </c>
      <c r="F460" s="3"/>
      <c r="G460" s="48">
        <f>G461+G463</f>
        <v>5851.0461000000005</v>
      </c>
      <c r="H460" s="48">
        <f>H461+H463</f>
        <v>187</v>
      </c>
      <c r="I460" s="48">
        <f t="shared" si="198"/>
        <v>3.196009684490436</v>
      </c>
      <c r="J460" s="67"/>
    </row>
    <row r="461" spans="1:10" s="30" customFormat="1" ht="24" x14ac:dyDescent="0.2">
      <c r="A461" s="4" t="s">
        <v>512</v>
      </c>
      <c r="B461" s="3" t="s">
        <v>209</v>
      </c>
      <c r="C461" s="3" t="s">
        <v>72</v>
      </c>
      <c r="D461" s="3" t="s">
        <v>59</v>
      </c>
      <c r="E461" s="3" t="s">
        <v>513</v>
      </c>
      <c r="F461" s="3"/>
      <c r="G461" s="48">
        <f>G462</f>
        <v>4706.1791400000002</v>
      </c>
      <c r="H461" s="48">
        <f>H462</f>
        <v>147</v>
      </c>
      <c r="I461" s="48">
        <f t="shared" si="198"/>
        <v>3.1235530061016759</v>
      </c>
      <c r="J461" s="67"/>
    </row>
    <row r="462" spans="1:10" s="30" customFormat="1" ht="60" x14ac:dyDescent="0.2">
      <c r="A462" s="4" t="s">
        <v>38</v>
      </c>
      <c r="B462" s="3" t="s">
        <v>209</v>
      </c>
      <c r="C462" s="3" t="s">
        <v>72</v>
      </c>
      <c r="D462" s="3" t="s">
        <v>59</v>
      </c>
      <c r="E462" s="3" t="s">
        <v>513</v>
      </c>
      <c r="F462" s="3" t="s">
        <v>34</v>
      </c>
      <c r="G462" s="48">
        <f>3702.60451+1118.18603-114.6114</f>
        <v>4706.1791400000002</v>
      </c>
      <c r="H462" s="73">
        <v>147</v>
      </c>
      <c r="I462" s="48">
        <f t="shared" si="198"/>
        <v>3.1235530061016759</v>
      </c>
      <c r="J462" s="67"/>
    </row>
    <row r="463" spans="1:10" s="30" customFormat="1" ht="24" x14ac:dyDescent="0.2">
      <c r="A463" s="7" t="s">
        <v>514</v>
      </c>
      <c r="B463" s="3" t="s">
        <v>209</v>
      </c>
      <c r="C463" s="3" t="s">
        <v>72</v>
      </c>
      <c r="D463" s="3" t="s">
        <v>59</v>
      </c>
      <c r="E463" s="3" t="s">
        <v>515</v>
      </c>
      <c r="F463" s="3"/>
      <c r="G463" s="48">
        <f>G464+G465</f>
        <v>1144.8669600000001</v>
      </c>
      <c r="H463" s="48">
        <f>H464+H465</f>
        <v>40</v>
      </c>
      <c r="I463" s="48">
        <f t="shared" si="198"/>
        <v>3.4938557402337818</v>
      </c>
      <c r="J463" s="67"/>
    </row>
    <row r="464" spans="1:10" s="30" customFormat="1" ht="24" x14ac:dyDescent="0.2">
      <c r="A464" s="4" t="s">
        <v>47</v>
      </c>
      <c r="B464" s="3" t="s">
        <v>209</v>
      </c>
      <c r="C464" s="3" t="s">
        <v>72</v>
      </c>
      <c r="D464" s="3" t="s">
        <v>59</v>
      </c>
      <c r="E464" s="3" t="s">
        <v>515</v>
      </c>
      <c r="F464" s="3" t="s">
        <v>51</v>
      </c>
      <c r="G464" s="48">
        <f>1308.064-208.28556</f>
        <v>1099.77844</v>
      </c>
      <c r="H464" s="73">
        <v>40</v>
      </c>
      <c r="I464" s="48">
        <f t="shared" si="198"/>
        <v>3.6370962136700915</v>
      </c>
      <c r="J464" s="67"/>
    </row>
    <row r="465" spans="1:10" s="30" customFormat="1" ht="24" x14ac:dyDescent="0.2">
      <c r="A465" s="7" t="s">
        <v>73</v>
      </c>
      <c r="B465" s="3" t="s">
        <v>209</v>
      </c>
      <c r="C465" s="3" t="s">
        <v>72</v>
      </c>
      <c r="D465" s="3" t="s">
        <v>59</v>
      </c>
      <c r="E465" s="3" t="s">
        <v>515</v>
      </c>
      <c r="F465" s="3" t="s">
        <v>79</v>
      </c>
      <c r="G465" s="48">
        <f>24.94+10.2+14.6-4.65148</f>
        <v>45.088520000000003</v>
      </c>
      <c r="H465" s="73"/>
      <c r="I465" s="48">
        <f t="shared" si="198"/>
        <v>0</v>
      </c>
      <c r="J465" s="67"/>
    </row>
    <row r="466" spans="1:10" s="30" customFormat="1" ht="24" x14ac:dyDescent="0.2">
      <c r="A466" s="7" t="s">
        <v>453</v>
      </c>
      <c r="B466" s="3" t="s">
        <v>209</v>
      </c>
      <c r="C466" s="3" t="s">
        <v>72</v>
      </c>
      <c r="D466" s="3" t="s">
        <v>59</v>
      </c>
      <c r="E466" s="3" t="s">
        <v>516</v>
      </c>
      <c r="F466" s="3"/>
      <c r="G466" s="48">
        <f>G467</f>
        <v>74.015000000000001</v>
      </c>
      <c r="H466" s="48">
        <f>H467</f>
        <v>0</v>
      </c>
      <c r="I466" s="48">
        <f t="shared" si="198"/>
        <v>0</v>
      </c>
      <c r="J466" s="67"/>
    </row>
    <row r="467" spans="1:10" s="30" customFormat="1" ht="60" x14ac:dyDescent="0.2">
      <c r="A467" s="4" t="s">
        <v>38</v>
      </c>
      <c r="B467" s="3" t="s">
        <v>209</v>
      </c>
      <c r="C467" s="3" t="s">
        <v>72</v>
      </c>
      <c r="D467" s="3" t="s">
        <v>59</v>
      </c>
      <c r="E467" s="3" t="s">
        <v>516</v>
      </c>
      <c r="F467" s="3" t="s">
        <v>34</v>
      </c>
      <c r="G467" s="48">
        <f>56.847+17.168</f>
        <v>74.015000000000001</v>
      </c>
      <c r="H467" s="73"/>
      <c r="I467" s="48">
        <f t="shared" si="198"/>
        <v>0</v>
      </c>
      <c r="J467" s="67"/>
    </row>
    <row r="468" spans="1:10" s="30" customFormat="1" ht="24" customHeight="1" x14ac:dyDescent="0.2">
      <c r="A468" s="4" t="s">
        <v>260</v>
      </c>
      <c r="B468" s="3" t="s">
        <v>209</v>
      </c>
      <c r="C468" s="3" t="s">
        <v>72</v>
      </c>
      <c r="D468" s="3" t="s">
        <v>59</v>
      </c>
      <c r="E468" s="3" t="s">
        <v>41</v>
      </c>
      <c r="F468" s="3"/>
      <c r="G468" s="48">
        <f>G469</f>
        <v>327.54844000000003</v>
      </c>
      <c r="H468" s="48">
        <f t="shared" ref="H468" si="203">H469</f>
        <v>327.54844000000003</v>
      </c>
      <c r="I468" s="48">
        <f t="shared" si="198"/>
        <v>100</v>
      </c>
      <c r="J468" s="67"/>
    </row>
    <row r="469" spans="1:10" s="30" customFormat="1" ht="24" customHeight="1" x14ac:dyDescent="0.2">
      <c r="A469" s="4" t="s">
        <v>40</v>
      </c>
      <c r="B469" s="3" t="s">
        <v>209</v>
      </c>
      <c r="C469" s="3" t="s">
        <v>72</v>
      </c>
      <c r="D469" s="3" t="s">
        <v>59</v>
      </c>
      <c r="E469" s="3" t="s">
        <v>297</v>
      </c>
      <c r="F469" s="3"/>
      <c r="G469" s="84">
        <f>G470</f>
        <v>327.54844000000003</v>
      </c>
      <c r="H469" s="84">
        <f>H470</f>
        <v>327.54844000000003</v>
      </c>
      <c r="I469" s="48">
        <f t="shared" si="198"/>
        <v>100</v>
      </c>
      <c r="J469" s="67"/>
    </row>
    <row r="470" spans="1:10" s="30" customFormat="1" ht="51" customHeight="1" x14ac:dyDescent="0.2">
      <c r="A470" s="7" t="s">
        <v>310</v>
      </c>
      <c r="B470" s="3" t="s">
        <v>209</v>
      </c>
      <c r="C470" s="3" t="s">
        <v>72</v>
      </c>
      <c r="D470" s="3" t="s">
        <v>59</v>
      </c>
      <c r="E470" s="3" t="s">
        <v>35</v>
      </c>
      <c r="F470" s="3"/>
      <c r="G470" s="82">
        <f>G471+G472+G473</f>
        <v>327.54844000000003</v>
      </c>
      <c r="H470" s="82">
        <f>H471+H472+H473</f>
        <v>327.54844000000003</v>
      </c>
      <c r="I470" s="48">
        <f t="shared" si="198"/>
        <v>100</v>
      </c>
      <c r="J470" s="67"/>
    </row>
    <row r="471" spans="1:10" s="30" customFormat="1" ht="60" customHeight="1" x14ac:dyDescent="0.2">
      <c r="A471" s="4" t="s">
        <v>38</v>
      </c>
      <c r="B471" s="3" t="s">
        <v>209</v>
      </c>
      <c r="C471" s="3" t="s">
        <v>72</v>
      </c>
      <c r="D471" s="3" t="s">
        <v>59</v>
      </c>
      <c r="E471" s="3" t="s">
        <v>35</v>
      </c>
      <c r="F471" s="3" t="s">
        <v>34</v>
      </c>
      <c r="G471" s="48">
        <f>94.24602+20.36538</f>
        <v>114.6114</v>
      </c>
      <c r="H471" s="48">
        <f>94.24602+20.36538</f>
        <v>114.6114</v>
      </c>
      <c r="I471" s="48">
        <f t="shared" si="198"/>
        <v>100</v>
      </c>
      <c r="J471" s="67"/>
    </row>
    <row r="472" spans="1:10" s="30" customFormat="1" ht="24" customHeight="1" x14ac:dyDescent="0.2">
      <c r="A472" s="4" t="s">
        <v>47</v>
      </c>
      <c r="B472" s="3" t="s">
        <v>209</v>
      </c>
      <c r="C472" s="3" t="s">
        <v>72</v>
      </c>
      <c r="D472" s="3" t="s">
        <v>59</v>
      </c>
      <c r="E472" s="3" t="s">
        <v>35</v>
      </c>
      <c r="F472" s="3" t="s">
        <v>51</v>
      </c>
      <c r="G472" s="48">
        <v>208.28556</v>
      </c>
      <c r="H472" s="48">
        <v>208.28556</v>
      </c>
      <c r="I472" s="48">
        <f t="shared" si="198"/>
        <v>100</v>
      </c>
      <c r="J472" s="67"/>
    </row>
    <row r="473" spans="1:10" s="30" customFormat="1" ht="24" customHeight="1" x14ac:dyDescent="0.2">
      <c r="A473" s="7" t="s">
        <v>73</v>
      </c>
      <c r="B473" s="3" t="s">
        <v>209</v>
      </c>
      <c r="C473" s="3" t="s">
        <v>72</v>
      </c>
      <c r="D473" s="3" t="s">
        <v>59</v>
      </c>
      <c r="E473" s="3" t="s">
        <v>35</v>
      </c>
      <c r="F473" s="3">
        <v>800</v>
      </c>
      <c r="G473" s="48">
        <f>1+3.65148</f>
        <v>4.6514799999999994</v>
      </c>
      <c r="H473" s="48">
        <f>1+3.65148</f>
        <v>4.6514799999999994</v>
      </c>
      <c r="I473" s="48">
        <f t="shared" si="198"/>
        <v>100</v>
      </c>
      <c r="J473" s="67"/>
    </row>
    <row r="474" spans="1:10" s="30" customFormat="1" ht="12.75" customHeight="1" x14ac:dyDescent="0.2">
      <c r="A474" s="4" t="s">
        <v>66</v>
      </c>
      <c r="B474" s="3" t="s">
        <v>209</v>
      </c>
      <c r="C474" s="3" t="s">
        <v>54</v>
      </c>
      <c r="D474" s="3" t="s">
        <v>19</v>
      </c>
      <c r="E474" s="3"/>
      <c r="F474" s="3"/>
      <c r="G474" s="48">
        <f>G475</f>
        <v>60</v>
      </c>
      <c r="H474" s="48">
        <f t="shared" ref="G474:H478" si="204">H475</f>
        <v>0</v>
      </c>
      <c r="I474" s="48">
        <f t="shared" si="198"/>
        <v>0</v>
      </c>
      <c r="J474" s="67"/>
    </row>
    <row r="475" spans="1:10" s="30" customFormat="1" ht="12.75" customHeight="1" x14ac:dyDescent="0.2">
      <c r="A475" s="4" t="s">
        <v>58</v>
      </c>
      <c r="B475" s="3" t="s">
        <v>209</v>
      </c>
      <c r="C475" s="3" t="s">
        <v>54</v>
      </c>
      <c r="D475" s="3" t="s">
        <v>53</v>
      </c>
      <c r="E475" s="3"/>
      <c r="F475" s="3"/>
      <c r="G475" s="48">
        <f t="shared" si="204"/>
        <v>60</v>
      </c>
      <c r="H475" s="48">
        <f t="shared" si="204"/>
        <v>0</v>
      </c>
      <c r="I475" s="48">
        <f t="shared" si="198"/>
        <v>0</v>
      </c>
      <c r="J475" s="67"/>
    </row>
    <row r="476" spans="1:10" s="30" customFormat="1" ht="24" customHeight="1" x14ac:dyDescent="0.2">
      <c r="A476" s="4" t="s">
        <v>292</v>
      </c>
      <c r="B476" s="3" t="s">
        <v>209</v>
      </c>
      <c r="C476" s="3" t="s">
        <v>54</v>
      </c>
      <c r="D476" s="3" t="s">
        <v>53</v>
      </c>
      <c r="E476" s="3" t="s">
        <v>57</v>
      </c>
      <c r="F476" s="3"/>
      <c r="G476" s="48">
        <f t="shared" si="204"/>
        <v>60</v>
      </c>
      <c r="H476" s="48">
        <f t="shared" si="204"/>
        <v>0</v>
      </c>
      <c r="I476" s="48">
        <f t="shared" si="198"/>
        <v>0</v>
      </c>
      <c r="J476" s="67"/>
    </row>
    <row r="477" spans="1:10" s="30" customFormat="1" ht="24" customHeight="1" x14ac:dyDescent="0.2">
      <c r="A477" s="4" t="s">
        <v>55</v>
      </c>
      <c r="B477" s="3" t="s">
        <v>209</v>
      </c>
      <c r="C477" s="3" t="s">
        <v>54</v>
      </c>
      <c r="D477" s="3" t="s">
        <v>53</v>
      </c>
      <c r="E477" s="3" t="s">
        <v>252</v>
      </c>
      <c r="F477" s="3"/>
      <c r="G477" s="48">
        <f t="shared" si="204"/>
        <v>60</v>
      </c>
      <c r="H477" s="48">
        <f t="shared" si="204"/>
        <v>0</v>
      </c>
      <c r="I477" s="48">
        <f t="shared" si="198"/>
        <v>0</v>
      </c>
      <c r="J477" s="67"/>
    </row>
    <row r="478" spans="1:10" s="30" customFormat="1" ht="36" customHeight="1" x14ac:dyDescent="0.2">
      <c r="A478" s="4" t="s">
        <v>311</v>
      </c>
      <c r="B478" s="3" t="s">
        <v>209</v>
      </c>
      <c r="C478" s="3" t="s">
        <v>54</v>
      </c>
      <c r="D478" s="3" t="s">
        <v>53</v>
      </c>
      <c r="E478" s="3" t="s">
        <v>52</v>
      </c>
      <c r="F478" s="3"/>
      <c r="G478" s="48">
        <f t="shared" si="204"/>
        <v>60</v>
      </c>
      <c r="H478" s="48">
        <f t="shared" si="204"/>
        <v>0</v>
      </c>
      <c r="I478" s="48">
        <f t="shared" si="198"/>
        <v>0</v>
      </c>
      <c r="J478" s="67"/>
    </row>
    <row r="479" spans="1:10" s="30" customFormat="1" ht="24" customHeight="1" x14ac:dyDescent="0.2">
      <c r="A479" s="4" t="s">
        <v>47</v>
      </c>
      <c r="B479" s="3" t="s">
        <v>209</v>
      </c>
      <c r="C479" s="3" t="s">
        <v>54</v>
      </c>
      <c r="D479" s="3" t="s">
        <v>53</v>
      </c>
      <c r="E479" s="3" t="s">
        <v>52</v>
      </c>
      <c r="F479" s="3" t="s">
        <v>51</v>
      </c>
      <c r="G479" s="48">
        <v>60</v>
      </c>
      <c r="H479" s="48"/>
      <c r="I479" s="48">
        <f t="shared" si="198"/>
        <v>0</v>
      </c>
      <c r="J479" s="67"/>
    </row>
    <row r="480" spans="1:10" s="30" customFormat="1" ht="12.75" customHeight="1" x14ac:dyDescent="0.2">
      <c r="A480" s="4" t="s">
        <v>50</v>
      </c>
      <c r="B480" s="3" t="s">
        <v>209</v>
      </c>
      <c r="C480" s="3" t="s">
        <v>37</v>
      </c>
      <c r="D480" s="3"/>
      <c r="E480" s="3"/>
      <c r="F480" s="3"/>
      <c r="G480" s="48">
        <f>G481</f>
        <v>230</v>
      </c>
      <c r="H480" s="48">
        <f t="shared" ref="H480:H481" si="205">H481</f>
        <v>92.2</v>
      </c>
      <c r="I480" s="48">
        <f t="shared" si="198"/>
        <v>40.086956521739133</v>
      </c>
      <c r="J480" s="67"/>
    </row>
    <row r="481" spans="1:10" s="30" customFormat="1" ht="12.75" customHeight="1" x14ac:dyDescent="0.2">
      <c r="A481" s="4" t="s">
        <v>49</v>
      </c>
      <c r="B481" s="3" t="s">
        <v>209</v>
      </c>
      <c r="C481" s="3" t="s">
        <v>37</v>
      </c>
      <c r="D481" s="3" t="s">
        <v>15</v>
      </c>
      <c r="E481" s="3"/>
      <c r="F481" s="3"/>
      <c r="G481" s="48">
        <f>G482</f>
        <v>230</v>
      </c>
      <c r="H481" s="48">
        <f t="shared" si="205"/>
        <v>92.2</v>
      </c>
      <c r="I481" s="48">
        <f t="shared" si="198"/>
        <v>40.086956521739133</v>
      </c>
      <c r="J481" s="67"/>
    </row>
    <row r="482" spans="1:10" s="30" customFormat="1" ht="48.75" customHeight="1" x14ac:dyDescent="0.2">
      <c r="A482" s="4" t="s">
        <v>396</v>
      </c>
      <c r="B482" s="3" t="s">
        <v>209</v>
      </c>
      <c r="C482" s="3" t="s">
        <v>37</v>
      </c>
      <c r="D482" s="3" t="s">
        <v>15</v>
      </c>
      <c r="E482" s="3" t="s">
        <v>434</v>
      </c>
      <c r="F482" s="3"/>
      <c r="G482" s="80">
        <f t="shared" ref="G482:H483" si="206">G483</f>
        <v>230</v>
      </c>
      <c r="H482" s="80">
        <f t="shared" si="206"/>
        <v>92.2</v>
      </c>
      <c r="I482" s="48">
        <f t="shared" si="198"/>
        <v>40.086956521739133</v>
      </c>
      <c r="J482" s="67"/>
    </row>
    <row r="483" spans="1:10" s="30" customFormat="1" ht="39.75" customHeight="1" x14ac:dyDescent="0.2">
      <c r="A483" s="7" t="s">
        <v>48</v>
      </c>
      <c r="B483" s="3" t="s">
        <v>209</v>
      </c>
      <c r="C483" s="3" t="s">
        <v>37</v>
      </c>
      <c r="D483" s="3" t="s">
        <v>15</v>
      </c>
      <c r="E483" s="3" t="s">
        <v>437</v>
      </c>
      <c r="F483" s="3"/>
      <c r="G483" s="80">
        <f>G484</f>
        <v>230</v>
      </c>
      <c r="H483" s="80">
        <f t="shared" si="206"/>
        <v>92.2</v>
      </c>
      <c r="I483" s="48">
        <f t="shared" si="198"/>
        <v>40.086956521739133</v>
      </c>
      <c r="J483" s="67"/>
    </row>
    <row r="484" spans="1:10" s="30" customFormat="1" ht="15.75" customHeight="1" x14ac:dyDescent="0.2">
      <c r="A484" s="4" t="s">
        <v>312</v>
      </c>
      <c r="B484" s="3" t="s">
        <v>209</v>
      </c>
      <c r="C484" s="3" t="s">
        <v>37</v>
      </c>
      <c r="D484" s="3" t="s">
        <v>15</v>
      </c>
      <c r="E484" s="3" t="s">
        <v>438</v>
      </c>
      <c r="F484" s="3"/>
      <c r="G484" s="80">
        <f>G485+G486</f>
        <v>230</v>
      </c>
      <c r="H484" s="80">
        <f t="shared" ref="H484" si="207">H485+H486</f>
        <v>92.2</v>
      </c>
      <c r="I484" s="48">
        <f t="shared" si="198"/>
        <v>40.086956521739133</v>
      </c>
      <c r="J484" s="67"/>
    </row>
    <row r="485" spans="1:10" s="30" customFormat="1" ht="60" customHeight="1" x14ac:dyDescent="0.2">
      <c r="A485" s="4" t="s">
        <v>38</v>
      </c>
      <c r="B485" s="3" t="s">
        <v>209</v>
      </c>
      <c r="C485" s="3" t="s">
        <v>37</v>
      </c>
      <c r="D485" s="3" t="s">
        <v>15</v>
      </c>
      <c r="E485" s="3" t="s">
        <v>438</v>
      </c>
      <c r="F485" s="3">
        <v>100</v>
      </c>
      <c r="G485" s="48">
        <v>30</v>
      </c>
      <c r="H485" s="80">
        <v>11.8</v>
      </c>
      <c r="I485" s="48">
        <f t="shared" si="198"/>
        <v>39.333333333333336</v>
      </c>
      <c r="J485" s="67"/>
    </row>
    <row r="486" spans="1:10" s="30" customFormat="1" ht="24" customHeight="1" x14ac:dyDescent="0.2">
      <c r="A486" s="4" t="s">
        <v>47</v>
      </c>
      <c r="B486" s="3" t="s">
        <v>209</v>
      </c>
      <c r="C486" s="3" t="s">
        <v>37</v>
      </c>
      <c r="D486" s="3" t="s">
        <v>15</v>
      </c>
      <c r="E486" s="3" t="s">
        <v>438</v>
      </c>
      <c r="F486" s="3">
        <v>200</v>
      </c>
      <c r="G486" s="48">
        <v>200</v>
      </c>
      <c r="H486" s="80">
        <v>80.400000000000006</v>
      </c>
      <c r="I486" s="48">
        <f t="shared" si="198"/>
        <v>40.200000000000003</v>
      </c>
      <c r="J486" s="67"/>
    </row>
    <row r="487" spans="1:10" s="30" customFormat="1" ht="12.75" customHeight="1" x14ac:dyDescent="0.2">
      <c r="A487" s="34" t="s">
        <v>208</v>
      </c>
      <c r="B487" s="5"/>
      <c r="C487" s="5"/>
      <c r="D487" s="5"/>
      <c r="E487" s="5"/>
      <c r="F487" s="5"/>
      <c r="G487" s="47">
        <f>G8+G96+G183+G416</f>
        <v>668142.90067999996</v>
      </c>
      <c r="H487" s="47">
        <f>H8+H96+H183+H416</f>
        <v>115720.87124000001</v>
      </c>
      <c r="I487" s="47">
        <f t="shared" si="198"/>
        <v>17.31977861655426</v>
      </c>
      <c r="J487" s="67"/>
    </row>
    <row r="488" spans="1:10" s="30" customFormat="1" ht="12.75" customHeight="1" x14ac:dyDescent="0.2">
      <c r="A488" s="28"/>
      <c r="B488" s="27"/>
      <c r="C488" s="27"/>
      <c r="D488" s="27"/>
      <c r="E488" s="27"/>
      <c r="F488" s="27"/>
      <c r="G488" s="49">
        <v>668142.90067999996</v>
      </c>
      <c r="H488" s="49"/>
      <c r="I488" s="68">
        <f>G488+H488</f>
        <v>668142.90067999996</v>
      </c>
      <c r="J488" s="67"/>
    </row>
    <row r="489" spans="1:10" s="30" customFormat="1" ht="12.75" customHeight="1" x14ac:dyDescent="0.2">
      <c r="A489" s="28"/>
      <c r="B489" s="33"/>
      <c r="C489" s="33"/>
      <c r="D489" s="33"/>
      <c r="E489" s="33"/>
      <c r="F489" s="33"/>
      <c r="G489" s="49">
        <f t="shared" ref="G489:I489" si="208">G487-G488</f>
        <v>0</v>
      </c>
      <c r="H489" s="49">
        <f t="shared" si="208"/>
        <v>115720.87124000001</v>
      </c>
      <c r="I489" s="68">
        <f t="shared" si="208"/>
        <v>-668125.58090138342</v>
      </c>
      <c r="J489" s="67"/>
    </row>
    <row r="490" spans="1:10" s="30" customFormat="1" ht="12.75" customHeight="1" x14ac:dyDescent="0.2">
      <c r="A490" s="28"/>
      <c r="B490" s="29"/>
      <c r="C490" s="20"/>
      <c r="D490" s="19"/>
      <c r="E490" s="213" t="s">
        <v>205</v>
      </c>
      <c r="F490" s="239"/>
      <c r="G490" s="48">
        <f>G97+G184</f>
        <v>30420.765109999997</v>
      </c>
      <c r="H490" s="48">
        <f>H97+H184</f>
        <v>5212.4608799999996</v>
      </c>
      <c r="I490" s="2">
        <f>I97+I184</f>
        <v>30.811200440731547</v>
      </c>
      <c r="J490" s="67"/>
    </row>
    <row r="491" spans="1:10" s="30" customFormat="1" ht="12.75" customHeight="1" x14ac:dyDescent="0.2">
      <c r="A491" s="28"/>
      <c r="B491" s="29"/>
      <c r="C491" s="20" t="s">
        <v>15</v>
      </c>
      <c r="D491" s="19" t="s">
        <v>27</v>
      </c>
      <c r="E491" s="20" t="s">
        <v>15</v>
      </c>
      <c r="F491" s="19" t="s">
        <v>27</v>
      </c>
      <c r="G491" s="48">
        <f>G185</f>
        <v>1457.55</v>
      </c>
      <c r="H491" s="48">
        <f>H185</f>
        <v>391.00683000000004</v>
      </c>
      <c r="I491" s="2">
        <f>I185</f>
        <v>26.82630647319132</v>
      </c>
      <c r="J491" s="67"/>
    </row>
    <row r="492" spans="1:10" s="30" customFormat="1" ht="12.75" customHeight="1" x14ac:dyDescent="0.2">
      <c r="A492" s="28"/>
      <c r="B492" s="32"/>
      <c r="C492" s="20" t="s">
        <v>15</v>
      </c>
      <c r="D492" s="19" t="s">
        <v>6</v>
      </c>
      <c r="E492" s="20" t="s">
        <v>15</v>
      </c>
      <c r="F492" s="19" t="s">
        <v>6</v>
      </c>
      <c r="G492" s="48">
        <f>G188</f>
        <v>1903.8400000000001</v>
      </c>
      <c r="H492" s="48">
        <f>H188</f>
        <v>401.87860999999998</v>
      </c>
      <c r="I492" s="2">
        <f>I188</f>
        <v>21.10884370535339</v>
      </c>
      <c r="J492" s="67"/>
    </row>
    <row r="493" spans="1:10" s="30" customFormat="1" ht="12.75" customHeight="1" x14ac:dyDescent="0.2">
      <c r="A493" s="28"/>
      <c r="B493" s="31"/>
      <c r="C493" s="20" t="s">
        <v>15</v>
      </c>
      <c r="D493" s="19" t="s">
        <v>59</v>
      </c>
      <c r="E493" s="20" t="s">
        <v>15</v>
      </c>
      <c r="F493" s="19" t="s">
        <v>59</v>
      </c>
      <c r="G493" s="48">
        <f>G194</f>
        <v>12932.85787</v>
      </c>
      <c r="H493" s="48">
        <f>H194</f>
        <v>3165.5876699999999</v>
      </c>
      <c r="I493" s="2" t="e">
        <f>#REF!+I194</f>
        <v>#REF!</v>
      </c>
      <c r="J493" s="67"/>
    </row>
    <row r="494" spans="1:10" s="30" customFormat="1" ht="12.75" customHeight="1" x14ac:dyDescent="0.2">
      <c r="A494" s="28"/>
      <c r="B494" s="31"/>
      <c r="C494" s="20" t="s">
        <v>15</v>
      </c>
      <c r="D494" s="19" t="s">
        <v>36</v>
      </c>
      <c r="E494" s="20" t="s">
        <v>15</v>
      </c>
      <c r="F494" s="19" t="s">
        <v>36</v>
      </c>
      <c r="G494" s="48">
        <f>G213</f>
        <v>9.6</v>
      </c>
      <c r="H494" s="48">
        <f>H213</f>
        <v>0</v>
      </c>
      <c r="I494" s="2">
        <f>I213</f>
        <v>0</v>
      </c>
      <c r="J494" s="67"/>
    </row>
    <row r="495" spans="1:10" s="30" customFormat="1" ht="12.75" customHeight="1" x14ac:dyDescent="0.2">
      <c r="A495" s="28"/>
      <c r="B495" s="31"/>
      <c r="C495" s="20" t="s">
        <v>15</v>
      </c>
      <c r="D495" s="19" t="s">
        <v>53</v>
      </c>
      <c r="E495" s="20" t="s">
        <v>15</v>
      </c>
      <c r="F495" s="19" t="s">
        <v>53</v>
      </c>
      <c r="G495" s="48">
        <f>G98+G218</f>
        <v>4953.5929999999998</v>
      </c>
      <c r="H495" s="48">
        <f>H98+H218</f>
        <v>1073.7317699999999</v>
      </c>
      <c r="I495" s="2">
        <f>I98+I218</f>
        <v>43.544215636378993</v>
      </c>
      <c r="J495" s="67"/>
    </row>
    <row r="496" spans="1:10" s="30" customFormat="1" ht="12.75" customHeight="1" x14ac:dyDescent="0.2">
      <c r="A496" s="28"/>
      <c r="B496" s="31"/>
      <c r="C496" s="20" t="s">
        <v>15</v>
      </c>
      <c r="D496" s="19" t="s">
        <v>78</v>
      </c>
      <c r="E496" s="20" t="s">
        <v>15</v>
      </c>
      <c r="F496" s="19" t="s">
        <v>78</v>
      </c>
      <c r="G496" s="48"/>
      <c r="H496" s="48"/>
      <c r="I496" s="2"/>
      <c r="J496" s="67"/>
    </row>
    <row r="497" spans="1:10" s="30" customFormat="1" ht="12.75" customHeight="1" x14ac:dyDescent="0.2">
      <c r="A497" s="28"/>
      <c r="B497" s="31"/>
      <c r="C497" s="20" t="s">
        <v>15</v>
      </c>
      <c r="D497" s="19" t="s">
        <v>37</v>
      </c>
      <c r="E497" s="20" t="s">
        <v>15</v>
      </c>
      <c r="F497" s="19" t="s">
        <v>37</v>
      </c>
      <c r="G497" s="48">
        <f>G112</f>
        <v>8015.3119999999999</v>
      </c>
      <c r="H497" s="48">
        <f>H112</f>
        <v>0</v>
      </c>
      <c r="I497" s="2">
        <f>I112</f>
        <v>0</v>
      </c>
      <c r="J497" s="67"/>
    </row>
    <row r="498" spans="1:10" s="30" customFormat="1" ht="12.75" customHeight="1" x14ac:dyDescent="0.2">
      <c r="A498" s="28"/>
      <c r="B498" s="29"/>
      <c r="C498" s="20" t="s">
        <v>15</v>
      </c>
      <c r="D498" s="19" t="s">
        <v>24</v>
      </c>
      <c r="E498" s="20" t="s">
        <v>15</v>
      </c>
      <c r="F498" s="19" t="s">
        <v>24</v>
      </c>
      <c r="G498" s="48">
        <f>G222</f>
        <v>1148.01224</v>
      </c>
      <c r="H498" s="48">
        <f>H222</f>
        <v>180.256</v>
      </c>
      <c r="I498" s="2">
        <f>I222</f>
        <v>15.701574749760509</v>
      </c>
      <c r="J498" s="67"/>
    </row>
    <row r="499" spans="1:10" s="30" customFormat="1" ht="12.75" customHeight="1" x14ac:dyDescent="0.2">
      <c r="A499" s="28"/>
      <c r="B499" s="29"/>
      <c r="C499" s="211" t="s">
        <v>199</v>
      </c>
      <c r="D499" s="240"/>
      <c r="E499" s="211" t="s">
        <v>199</v>
      </c>
      <c r="F499" s="240"/>
      <c r="G499" s="48"/>
      <c r="H499" s="48"/>
      <c r="I499" s="2"/>
      <c r="J499" s="67"/>
    </row>
    <row r="500" spans="1:10" s="30" customFormat="1" ht="12.75" customHeight="1" x14ac:dyDescent="0.2">
      <c r="A500" s="28"/>
      <c r="B500" s="29"/>
      <c r="C500" s="20" t="s">
        <v>27</v>
      </c>
      <c r="D500" s="19" t="s">
        <v>6</v>
      </c>
      <c r="E500" s="20" t="s">
        <v>27</v>
      </c>
      <c r="F500" s="19" t="s">
        <v>6</v>
      </c>
      <c r="G500" s="48"/>
      <c r="H500" s="48"/>
      <c r="I500" s="2"/>
      <c r="J500" s="67"/>
    </row>
    <row r="501" spans="1:10" s="30" customFormat="1" ht="12.75" customHeight="1" x14ac:dyDescent="0.2">
      <c r="A501" s="28"/>
      <c r="B501" s="29"/>
      <c r="C501" s="211" t="s">
        <v>197</v>
      </c>
      <c r="D501" s="240"/>
      <c r="E501" s="211" t="s">
        <v>197</v>
      </c>
      <c r="F501" s="240"/>
      <c r="G501" s="48">
        <f>SUM(G502:G505)</f>
        <v>6751.2671</v>
      </c>
      <c r="H501" s="48">
        <f t="shared" ref="H501:I501" si="209">SUM(H502:H505)</f>
        <v>1530.6155100000001</v>
      </c>
      <c r="I501" s="2" t="e">
        <f t="shared" si="209"/>
        <v>#REF!</v>
      </c>
      <c r="J501" s="67"/>
    </row>
    <row r="502" spans="1:10" s="30" customFormat="1" ht="12.75" customHeight="1" x14ac:dyDescent="0.2">
      <c r="A502" s="28"/>
      <c r="B502" s="29"/>
      <c r="C502" s="20" t="s">
        <v>6</v>
      </c>
      <c r="D502" s="19" t="s">
        <v>27</v>
      </c>
      <c r="E502" s="20" t="s">
        <v>6</v>
      </c>
      <c r="F502" s="19" t="s">
        <v>27</v>
      </c>
      <c r="G502" s="48"/>
      <c r="H502" s="48"/>
      <c r="I502" s="2"/>
      <c r="J502" s="67"/>
    </row>
    <row r="503" spans="1:10" s="30" customFormat="1" ht="12.75" customHeight="1" x14ac:dyDescent="0.2">
      <c r="A503" s="28"/>
      <c r="B503" s="29"/>
      <c r="C503" s="20" t="s">
        <v>6</v>
      </c>
      <c r="D503" s="19" t="s">
        <v>67</v>
      </c>
      <c r="E503" s="20" t="s">
        <v>6</v>
      </c>
      <c r="F503" s="19" t="s">
        <v>67</v>
      </c>
      <c r="G503" s="48">
        <f>G247+G126</f>
        <v>6001.9813800000002</v>
      </c>
      <c r="H503" s="48">
        <f>H247+H126</f>
        <v>1430.6155100000001</v>
      </c>
      <c r="I503" s="2">
        <f>I247+I126</f>
        <v>112.97499436471819</v>
      </c>
      <c r="J503" s="67"/>
    </row>
    <row r="504" spans="1:10" s="30" customFormat="1" ht="12.75" customHeight="1" x14ac:dyDescent="0.2">
      <c r="A504" s="28"/>
      <c r="B504" s="29"/>
      <c r="C504" s="20"/>
      <c r="D504" s="19"/>
      <c r="E504" s="20" t="s">
        <v>6</v>
      </c>
      <c r="F504" s="19" t="s">
        <v>54</v>
      </c>
      <c r="G504" s="48">
        <f>G133</f>
        <v>703.57142999999996</v>
      </c>
      <c r="H504" s="48">
        <f>H133</f>
        <v>100</v>
      </c>
      <c r="I504" s="2" t="e">
        <f>#REF!+I133</f>
        <v>#REF!</v>
      </c>
      <c r="J504" s="67"/>
    </row>
    <row r="505" spans="1:10" ht="12.75" customHeight="1" x14ac:dyDescent="0.2">
      <c r="A505" s="27"/>
      <c r="B505" s="29"/>
      <c r="C505" s="20" t="s">
        <v>6</v>
      </c>
      <c r="D505" s="19" t="s">
        <v>7</v>
      </c>
      <c r="E505" s="20" t="s">
        <v>6</v>
      </c>
      <c r="F505" s="19" t="s">
        <v>7</v>
      </c>
      <c r="G505" s="48">
        <f>G260</f>
        <v>45.714289999999998</v>
      </c>
      <c r="H505" s="48">
        <f>H260</f>
        <v>0</v>
      </c>
      <c r="I505" s="2">
        <f>I260</f>
        <v>0</v>
      </c>
      <c r="J505" s="65"/>
    </row>
    <row r="506" spans="1:10" ht="12.75" customHeight="1" x14ac:dyDescent="0.25">
      <c r="A506" s="27"/>
      <c r="B506" s="29"/>
      <c r="C506" s="211" t="s">
        <v>194</v>
      </c>
      <c r="D506" s="240"/>
      <c r="E506" s="211" t="s">
        <v>194</v>
      </c>
      <c r="F506" s="240"/>
      <c r="G506" s="86">
        <f>SUM(G507:G510)</f>
        <v>25051.577510000003</v>
      </c>
      <c r="H506" s="86">
        <f t="shared" ref="H506:I506" si="210">SUM(H507:H510)</f>
        <v>6513.7160000000003</v>
      </c>
      <c r="I506" s="93">
        <f t="shared" si="210"/>
        <v>145.83184267580367</v>
      </c>
      <c r="J506" s="65"/>
    </row>
    <row r="507" spans="1:10" ht="12.75" customHeight="1" x14ac:dyDescent="0.25">
      <c r="A507" s="27"/>
      <c r="B507" s="29"/>
      <c r="C507" s="20" t="s">
        <v>59</v>
      </c>
      <c r="D507" s="19" t="s">
        <v>15</v>
      </c>
      <c r="E507" s="20" t="s">
        <v>59</v>
      </c>
      <c r="F507" s="19" t="s">
        <v>15</v>
      </c>
      <c r="G507" s="86"/>
      <c r="H507" s="86"/>
      <c r="I507" s="93"/>
      <c r="J507" s="65"/>
    </row>
    <row r="508" spans="1:10" ht="12.75" customHeight="1" x14ac:dyDescent="0.25">
      <c r="A508" s="27"/>
      <c r="B508" s="29"/>
      <c r="C508" s="20" t="s">
        <v>59</v>
      </c>
      <c r="D508" s="19" t="s">
        <v>36</v>
      </c>
      <c r="E508" s="20" t="s">
        <v>59</v>
      </c>
      <c r="F508" s="19" t="s">
        <v>36</v>
      </c>
      <c r="G508" s="86">
        <f>G271</f>
        <v>1040.3</v>
      </c>
      <c r="H508" s="86">
        <f>H271</f>
        <v>43.807200000000002</v>
      </c>
      <c r="I508" s="93">
        <f>I271</f>
        <v>4.2110160530616172</v>
      </c>
      <c r="J508" s="65"/>
    </row>
    <row r="509" spans="1:10" ht="12.75" customHeight="1" x14ac:dyDescent="0.25">
      <c r="A509" s="27"/>
      <c r="B509" s="29"/>
      <c r="C509" s="20" t="s">
        <v>59</v>
      </c>
      <c r="D509" s="19" t="s">
        <v>67</v>
      </c>
      <c r="E509" s="20" t="s">
        <v>59</v>
      </c>
      <c r="F509" s="19" t="s">
        <v>67</v>
      </c>
      <c r="G509" s="86">
        <f>G281+G143</f>
        <v>5601.8</v>
      </c>
      <c r="H509" s="86">
        <f>H281+H143</f>
        <v>931.51</v>
      </c>
      <c r="I509" s="93">
        <f>I281+I143</f>
        <v>111.53632912958101</v>
      </c>
      <c r="J509" s="65"/>
    </row>
    <row r="510" spans="1:10" ht="12.75" customHeight="1" x14ac:dyDescent="0.25">
      <c r="A510" s="27"/>
      <c r="B510" s="29"/>
      <c r="C510" s="20" t="s">
        <v>59</v>
      </c>
      <c r="D510" s="19" t="s">
        <v>28</v>
      </c>
      <c r="E510" s="20" t="s">
        <v>59</v>
      </c>
      <c r="F510" s="19" t="s">
        <v>28</v>
      </c>
      <c r="G510" s="86">
        <f>G288</f>
        <v>18409.477510000001</v>
      </c>
      <c r="H510" s="86">
        <f>H288</f>
        <v>5538.3987999999999</v>
      </c>
      <c r="I510" s="93">
        <f>I288</f>
        <v>30.084497493161059</v>
      </c>
      <c r="J510" s="65"/>
    </row>
    <row r="511" spans="1:10" ht="12.75" customHeight="1" x14ac:dyDescent="0.2">
      <c r="A511" s="27"/>
      <c r="B511" s="29"/>
      <c r="C511" s="211" t="s">
        <v>189</v>
      </c>
      <c r="D511" s="240"/>
      <c r="E511" s="211" t="s">
        <v>189</v>
      </c>
      <c r="F511" s="240"/>
      <c r="G511" s="48">
        <f>G314+G150</f>
        <v>20883.655309999998</v>
      </c>
      <c r="H511" s="48">
        <f>H314+H150</f>
        <v>1076.5657099999999</v>
      </c>
      <c r="I511" s="2">
        <f>I314</f>
        <v>4.6069234714145333</v>
      </c>
      <c r="J511" s="65"/>
    </row>
    <row r="512" spans="1:10" ht="12.75" customHeight="1" x14ac:dyDescent="0.2">
      <c r="A512" s="27"/>
      <c r="B512" s="29"/>
      <c r="C512" s="20" t="s">
        <v>36</v>
      </c>
      <c r="D512" s="19" t="s">
        <v>15</v>
      </c>
      <c r="E512" s="20" t="s">
        <v>36</v>
      </c>
      <c r="F512" s="19" t="s">
        <v>15</v>
      </c>
      <c r="G512" s="48">
        <f>G315</f>
        <v>11</v>
      </c>
      <c r="H512" s="48">
        <f>H315</f>
        <v>0</v>
      </c>
      <c r="I512" s="2">
        <f>I315</f>
        <v>0</v>
      </c>
      <c r="J512" s="65"/>
    </row>
    <row r="513" spans="1:10" ht="12.75" customHeight="1" x14ac:dyDescent="0.2">
      <c r="A513" s="27"/>
      <c r="B513" s="29"/>
      <c r="C513" s="20" t="s">
        <v>36</v>
      </c>
      <c r="D513" s="19" t="s">
        <v>27</v>
      </c>
      <c r="E513" s="20" t="s">
        <v>36</v>
      </c>
      <c r="F513" s="19" t="s">
        <v>27</v>
      </c>
      <c r="G513" s="48">
        <f>G320+G151</f>
        <v>20194.835309999999</v>
      </c>
      <c r="H513" s="48">
        <f>H320+H151</f>
        <v>1050.65371</v>
      </c>
      <c r="I513" s="2">
        <f>I320</f>
        <v>4.6359220169363367</v>
      </c>
      <c r="J513" s="65"/>
    </row>
    <row r="514" spans="1:10" ht="12.75" customHeight="1" x14ac:dyDescent="0.2">
      <c r="A514" s="27"/>
      <c r="B514" s="29"/>
      <c r="C514" s="20" t="s">
        <v>36</v>
      </c>
      <c r="D514" s="19" t="s">
        <v>6</v>
      </c>
      <c r="E514" s="20" t="s">
        <v>36</v>
      </c>
      <c r="F514" s="19" t="s">
        <v>6</v>
      </c>
      <c r="G514" s="48">
        <f>G352</f>
        <v>677.82</v>
      </c>
      <c r="H514" s="48">
        <f>H352</f>
        <v>25.911999999999999</v>
      </c>
      <c r="I514" s="2">
        <f>I352</f>
        <v>3.8228438228438222</v>
      </c>
      <c r="J514" s="65"/>
    </row>
    <row r="515" spans="1:10" ht="12.75" customHeight="1" x14ac:dyDescent="0.2">
      <c r="A515" s="27"/>
      <c r="B515" s="29"/>
      <c r="C515" s="213" t="s">
        <v>186</v>
      </c>
      <c r="D515" s="239"/>
      <c r="E515" s="213" t="s">
        <v>186</v>
      </c>
      <c r="F515" s="239"/>
      <c r="G515" s="48"/>
      <c r="H515" s="48"/>
      <c r="I515" s="2"/>
      <c r="J515" s="65"/>
    </row>
    <row r="516" spans="1:10" ht="12.75" customHeight="1" x14ac:dyDescent="0.2">
      <c r="A516" s="27"/>
      <c r="B516" s="29"/>
      <c r="C516" s="20" t="s">
        <v>53</v>
      </c>
      <c r="D516" s="19" t="s">
        <v>36</v>
      </c>
      <c r="E516" s="20" t="s">
        <v>53</v>
      </c>
      <c r="F516" s="19" t="s">
        <v>36</v>
      </c>
      <c r="G516" s="48"/>
      <c r="H516" s="48"/>
      <c r="I516" s="2"/>
      <c r="J516" s="65"/>
    </row>
    <row r="517" spans="1:10" ht="12.75" customHeight="1" x14ac:dyDescent="0.2">
      <c r="A517" s="27"/>
      <c r="B517" s="29"/>
      <c r="C517" s="211" t="s">
        <v>183</v>
      </c>
      <c r="D517" s="240"/>
      <c r="E517" s="211" t="s">
        <v>183</v>
      </c>
      <c r="F517" s="240"/>
      <c r="G517" s="48">
        <f>SUM(G518:G523)</f>
        <v>481724.75838999997</v>
      </c>
      <c r="H517" s="48">
        <f t="shared" ref="H517:I517" si="211">SUM(H518:H523)</f>
        <v>78017.448679999987</v>
      </c>
      <c r="I517" s="2">
        <f t="shared" si="211"/>
        <v>238.10501723665479</v>
      </c>
      <c r="J517" s="65"/>
    </row>
    <row r="518" spans="1:10" ht="12.75" customHeight="1" x14ac:dyDescent="0.2">
      <c r="A518" s="27"/>
      <c r="B518" s="29"/>
      <c r="C518" s="20" t="s">
        <v>78</v>
      </c>
      <c r="D518" s="19" t="s">
        <v>15</v>
      </c>
      <c r="E518" s="20" t="s">
        <v>78</v>
      </c>
      <c r="F518" s="19" t="s">
        <v>15</v>
      </c>
      <c r="G518" s="48">
        <f>G10+G358</f>
        <v>173117.03502000001</v>
      </c>
      <c r="H518" s="48">
        <f>H10+H358</f>
        <v>16272.15164</v>
      </c>
      <c r="I518" s="2">
        <f>I10+I358</f>
        <v>19.415833818134718</v>
      </c>
      <c r="J518" s="65"/>
    </row>
    <row r="519" spans="1:10" ht="12.75" customHeight="1" x14ac:dyDescent="0.2">
      <c r="A519" s="27"/>
      <c r="B519" s="29"/>
      <c r="C519" s="20" t="s">
        <v>78</v>
      </c>
      <c r="D519" s="19" t="s">
        <v>27</v>
      </c>
      <c r="E519" s="20" t="s">
        <v>78</v>
      </c>
      <c r="F519" s="19" t="s">
        <v>27</v>
      </c>
      <c r="G519" s="48">
        <f>G26+G365</f>
        <v>261004.75436999998</v>
      </c>
      <c r="H519" s="48">
        <f>H26+H365</f>
        <v>52367.458579999999</v>
      </c>
      <c r="I519" s="2">
        <f>I26+I365</f>
        <v>108.76408487123462</v>
      </c>
      <c r="J519" s="65"/>
    </row>
    <row r="520" spans="1:10" ht="12.75" customHeight="1" x14ac:dyDescent="0.2">
      <c r="A520" s="27"/>
      <c r="B520" s="29"/>
      <c r="C520" s="20" t="s">
        <v>78</v>
      </c>
      <c r="D520" s="19" t="s">
        <v>6</v>
      </c>
      <c r="E520" s="20" t="s">
        <v>78</v>
      </c>
      <c r="F520" s="19" t="s">
        <v>6</v>
      </c>
      <c r="G520" s="48">
        <f>G48+G418</f>
        <v>30417.709000000003</v>
      </c>
      <c r="H520" s="48">
        <f>H48+H418</f>
        <v>6046.9349099999999</v>
      </c>
      <c r="I520" s="2">
        <f>I48+I418</f>
        <v>42.041311115485691</v>
      </c>
      <c r="J520" s="65"/>
    </row>
    <row r="521" spans="1:10" ht="12.75" customHeight="1" x14ac:dyDescent="0.2">
      <c r="A521" s="27"/>
      <c r="B521" s="29"/>
      <c r="C521" s="20" t="s">
        <v>78</v>
      </c>
      <c r="D521" s="19" t="s">
        <v>36</v>
      </c>
      <c r="E521" s="20" t="s">
        <v>78</v>
      </c>
      <c r="F521" s="19" t="s">
        <v>36</v>
      </c>
      <c r="G521" s="48"/>
      <c r="H521" s="48"/>
      <c r="I521" s="2"/>
      <c r="J521" s="65"/>
    </row>
    <row r="522" spans="1:10" ht="12.75" customHeight="1" x14ac:dyDescent="0.2">
      <c r="A522" s="27"/>
      <c r="B522" s="29"/>
      <c r="C522" s="20" t="s">
        <v>78</v>
      </c>
      <c r="D522" s="19" t="s">
        <v>78</v>
      </c>
      <c r="E522" s="20" t="s">
        <v>78</v>
      </c>
      <c r="F522" s="19" t="s">
        <v>78</v>
      </c>
      <c r="G522" s="48">
        <f>G57+G425</f>
        <v>1481.5</v>
      </c>
      <c r="H522" s="48">
        <f>H57+H425</f>
        <v>23.411000000000001</v>
      </c>
      <c r="I522" s="2">
        <f>I57+I425</f>
        <v>46.822000000000003</v>
      </c>
      <c r="J522" s="65"/>
    </row>
    <row r="523" spans="1:10" ht="12.75" customHeight="1" x14ac:dyDescent="0.2">
      <c r="A523" s="27"/>
      <c r="B523" s="29"/>
      <c r="C523" s="20" t="s">
        <v>78</v>
      </c>
      <c r="D523" s="19" t="s">
        <v>67</v>
      </c>
      <c r="E523" s="20" t="s">
        <v>78</v>
      </c>
      <c r="F523" s="19" t="s">
        <v>67</v>
      </c>
      <c r="G523" s="48">
        <f>G63</f>
        <v>15703.760000000002</v>
      </c>
      <c r="H523" s="48">
        <f>H63</f>
        <v>3307.4925499999999</v>
      </c>
      <c r="I523" s="2">
        <f>I63</f>
        <v>21.061787431799768</v>
      </c>
      <c r="J523" s="65"/>
    </row>
    <row r="524" spans="1:10" ht="12.75" customHeight="1" x14ac:dyDescent="0.2">
      <c r="A524" s="27"/>
      <c r="B524" s="29"/>
      <c r="C524" s="211" t="s">
        <v>180</v>
      </c>
      <c r="D524" s="240"/>
      <c r="E524" s="211" t="s">
        <v>180</v>
      </c>
      <c r="F524" s="240"/>
      <c r="G524" s="48">
        <f t="shared" ref="G524:I525" si="212">G431+G372+G156</f>
        <v>53801.408989999996</v>
      </c>
      <c r="H524" s="48">
        <f t="shared" si="212"/>
        <v>9887.0986099999991</v>
      </c>
      <c r="I524" s="2">
        <f t="shared" si="212"/>
        <v>44.471733619143379</v>
      </c>
      <c r="J524" s="65"/>
    </row>
    <row r="525" spans="1:10" ht="12.75" customHeight="1" x14ac:dyDescent="0.2">
      <c r="A525" s="27"/>
      <c r="B525" s="29"/>
      <c r="C525" s="20" t="s">
        <v>72</v>
      </c>
      <c r="D525" s="19" t="s">
        <v>15</v>
      </c>
      <c r="E525" s="20" t="s">
        <v>72</v>
      </c>
      <c r="F525" s="19" t="s">
        <v>15</v>
      </c>
      <c r="G525" s="48">
        <f t="shared" si="212"/>
        <v>46196.653449999998</v>
      </c>
      <c r="H525" s="48">
        <f t="shared" si="212"/>
        <v>9151.9269999999997</v>
      </c>
      <c r="I525" s="2">
        <f t="shared" si="212"/>
        <v>46.765576795528418</v>
      </c>
      <c r="J525" s="65"/>
    </row>
    <row r="526" spans="1:10" ht="12.75" customHeight="1" x14ac:dyDescent="0.2">
      <c r="A526" s="27"/>
      <c r="B526" s="29"/>
      <c r="C526" s="20" t="s">
        <v>72</v>
      </c>
      <c r="D526" s="19" t="s">
        <v>59</v>
      </c>
      <c r="E526" s="20" t="s">
        <v>72</v>
      </c>
      <c r="F526" s="19" t="s">
        <v>59</v>
      </c>
      <c r="G526" s="48">
        <f>G452</f>
        <v>7604.755540000001</v>
      </c>
      <c r="H526" s="48">
        <f>H452</f>
        <v>735.17160999999999</v>
      </c>
      <c r="I526" s="2">
        <f>I452</f>
        <v>9.6672615724870479</v>
      </c>
      <c r="J526" s="65"/>
    </row>
    <row r="527" spans="1:10" ht="12.75" customHeight="1" x14ac:dyDescent="0.2">
      <c r="A527" s="27"/>
      <c r="B527" s="29"/>
      <c r="C527" s="211" t="s">
        <v>177</v>
      </c>
      <c r="D527" s="240"/>
      <c r="E527" s="211" t="s">
        <v>177</v>
      </c>
      <c r="F527" s="240"/>
      <c r="G527" s="48"/>
      <c r="H527" s="48"/>
      <c r="I527" s="2"/>
      <c r="J527" s="65"/>
    </row>
    <row r="528" spans="1:10" ht="12.75" customHeight="1" x14ac:dyDescent="0.2">
      <c r="A528" s="27"/>
      <c r="B528" s="29"/>
      <c r="C528" s="20" t="s">
        <v>67</v>
      </c>
      <c r="D528" s="19" t="s">
        <v>15</v>
      </c>
      <c r="E528" s="20" t="s">
        <v>67</v>
      </c>
      <c r="F528" s="19" t="s">
        <v>15</v>
      </c>
      <c r="G528" s="48"/>
      <c r="H528" s="48"/>
      <c r="I528" s="2"/>
      <c r="J528" s="65"/>
    </row>
    <row r="529" spans="1:10" ht="12.75" customHeight="1" x14ac:dyDescent="0.2">
      <c r="A529" s="27"/>
      <c r="B529" s="29"/>
      <c r="C529" s="20" t="s">
        <v>67</v>
      </c>
      <c r="D529" s="19" t="s">
        <v>27</v>
      </c>
      <c r="E529" s="20" t="s">
        <v>67</v>
      </c>
      <c r="F529" s="19" t="s">
        <v>27</v>
      </c>
      <c r="G529" s="48"/>
      <c r="H529" s="48"/>
      <c r="I529" s="2"/>
      <c r="J529" s="65"/>
    </row>
    <row r="530" spans="1:10" ht="12.75" customHeight="1" x14ac:dyDescent="0.2">
      <c r="A530" s="27"/>
      <c r="B530" s="29"/>
      <c r="C530" s="20" t="s">
        <v>67</v>
      </c>
      <c r="D530" s="19" t="s">
        <v>59</v>
      </c>
      <c r="E530" s="20" t="s">
        <v>67</v>
      </c>
      <c r="F530" s="19" t="s">
        <v>59</v>
      </c>
      <c r="G530" s="48"/>
      <c r="H530" s="48"/>
      <c r="I530" s="2"/>
      <c r="J530" s="65"/>
    </row>
    <row r="531" spans="1:10" ht="12.75" customHeight="1" x14ac:dyDescent="0.2">
      <c r="A531" s="27"/>
      <c r="B531" s="29"/>
      <c r="C531" s="20" t="s">
        <v>67</v>
      </c>
      <c r="D531" s="19" t="s">
        <v>67</v>
      </c>
      <c r="E531" s="20" t="s">
        <v>67</v>
      </c>
      <c r="F531" s="19" t="s">
        <v>67</v>
      </c>
      <c r="G531" s="48"/>
      <c r="H531" s="48"/>
      <c r="I531" s="2"/>
      <c r="J531" s="65"/>
    </row>
    <row r="532" spans="1:10" ht="12.75" customHeight="1" x14ac:dyDescent="0.2">
      <c r="A532" s="27"/>
      <c r="B532" s="29"/>
      <c r="C532" s="211" t="s">
        <v>174</v>
      </c>
      <c r="D532" s="240"/>
      <c r="E532" s="211" t="s">
        <v>174</v>
      </c>
      <c r="F532" s="240"/>
      <c r="G532" s="48">
        <f>G89+G378+G474</f>
        <v>10655.46227</v>
      </c>
      <c r="H532" s="48">
        <f>H89+H378+H474</f>
        <v>1011.26121</v>
      </c>
      <c r="I532" s="2">
        <f>I89+I378+I474</f>
        <v>19.497639606850267</v>
      </c>
      <c r="J532" s="65"/>
    </row>
    <row r="533" spans="1:10" ht="12.75" customHeight="1" x14ac:dyDescent="0.2">
      <c r="A533" s="27"/>
      <c r="B533" s="29"/>
      <c r="C533" s="20" t="s">
        <v>54</v>
      </c>
      <c r="D533" s="19" t="s">
        <v>15</v>
      </c>
      <c r="E533" s="20" t="s">
        <v>54</v>
      </c>
      <c r="F533" s="19" t="s">
        <v>15</v>
      </c>
      <c r="G533" s="48">
        <f>G379</f>
        <v>720.73</v>
      </c>
      <c r="H533" s="48">
        <f>H379</f>
        <v>174.90741</v>
      </c>
      <c r="I533" s="2">
        <f>I379</f>
        <v>24.268090685832419</v>
      </c>
      <c r="J533" s="65"/>
    </row>
    <row r="534" spans="1:10" ht="12.75" customHeight="1" x14ac:dyDescent="0.2">
      <c r="A534" s="27"/>
      <c r="B534" s="29"/>
      <c r="C534" s="20" t="s">
        <v>54</v>
      </c>
      <c r="D534" s="19" t="s">
        <v>27</v>
      </c>
      <c r="E534" s="20" t="s">
        <v>54</v>
      </c>
      <c r="F534" s="19" t="s">
        <v>27</v>
      </c>
      <c r="G534" s="48"/>
      <c r="H534" s="48"/>
      <c r="I534" s="2"/>
      <c r="J534" s="65"/>
    </row>
    <row r="535" spans="1:10" ht="12.75" customHeight="1" x14ac:dyDescent="0.2">
      <c r="A535" s="27"/>
      <c r="B535" s="29"/>
      <c r="C535" s="20" t="s">
        <v>54</v>
      </c>
      <c r="D535" s="19" t="s">
        <v>6</v>
      </c>
      <c r="E535" s="20" t="s">
        <v>54</v>
      </c>
      <c r="F535" s="19" t="s">
        <v>6</v>
      </c>
      <c r="G535" s="48">
        <f>G384</f>
        <v>4819.8322699999999</v>
      </c>
      <c r="H535" s="48">
        <f>H384</f>
        <v>118</v>
      </c>
      <c r="I535" s="2">
        <f>I384</f>
        <v>2.4482179750209441</v>
      </c>
      <c r="J535" s="65"/>
    </row>
    <row r="536" spans="1:10" ht="12.75" customHeight="1" x14ac:dyDescent="0.2">
      <c r="A536" s="27"/>
      <c r="B536" s="29"/>
      <c r="C536" s="20" t="s">
        <v>54</v>
      </c>
      <c r="D536" s="19" t="s">
        <v>59</v>
      </c>
      <c r="E536" s="20" t="s">
        <v>54</v>
      </c>
      <c r="F536" s="19" t="s">
        <v>59</v>
      </c>
      <c r="G536" s="48">
        <f>G90</f>
        <v>5054.8999999999996</v>
      </c>
      <c r="H536" s="48">
        <f>H90</f>
        <v>718.35379999999998</v>
      </c>
      <c r="I536" s="2">
        <f>I90</f>
        <v>14.211038794041425</v>
      </c>
      <c r="J536" s="65"/>
    </row>
    <row r="537" spans="1:10" ht="12.75" customHeight="1" x14ac:dyDescent="0.2">
      <c r="A537" s="27"/>
      <c r="B537" s="29"/>
      <c r="C537" s="20" t="s">
        <v>54</v>
      </c>
      <c r="D537" s="19" t="s">
        <v>53</v>
      </c>
      <c r="E537" s="20" t="s">
        <v>54</v>
      </c>
      <c r="F537" s="19" t="s">
        <v>53</v>
      </c>
      <c r="G537" s="48">
        <f>G475</f>
        <v>60</v>
      </c>
      <c r="H537" s="48">
        <f>H475</f>
        <v>0</v>
      </c>
      <c r="I537" s="2">
        <f>I475</f>
        <v>0</v>
      </c>
      <c r="J537" s="65"/>
    </row>
    <row r="538" spans="1:10" ht="12.75" customHeight="1" x14ac:dyDescent="0.2">
      <c r="A538" s="27"/>
      <c r="B538" s="29"/>
      <c r="C538" s="211" t="s">
        <v>170</v>
      </c>
      <c r="D538" s="240"/>
      <c r="E538" s="211" t="s">
        <v>170</v>
      </c>
      <c r="F538" s="240"/>
      <c r="G538" s="48">
        <f>SUM(G539:G540)</f>
        <v>630</v>
      </c>
      <c r="H538" s="48">
        <f t="shared" ref="H538:I538" si="213">SUM(H539:H540)</f>
        <v>92.2</v>
      </c>
      <c r="I538" s="2">
        <f t="shared" si="213"/>
        <v>40.086956521739133</v>
      </c>
      <c r="J538" s="65"/>
    </row>
    <row r="539" spans="1:10" ht="12.75" customHeight="1" x14ac:dyDescent="0.2">
      <c r="A539" s="27"/>
      <c r="B539" s="29"/>
      <c r="C539" s="20" t="s">
        <v>37</v>
      </c>
      <c r="D539" s="19" t="s">
        <v>15</v>
      </c>
      <c r="E539" s="20" t="s">
        <v>37</v>
      </c>
      <c r="F539" s="19" t="s">
        <v>15</v>
      </c>
      <c r="G539" s="48">
        <f>G481+G163</f>
        <v>630</v>
      </c>
      <c r="H539" s="48">
        <f>H481+H163</f>
        <v>92.2</v>
      </c>
      <c r="I539" s="2">
        <f>I481+I163</f>
        <v>40.086956521739133</v>
      </c>
      <c r="J539" s="65"/>
    </row>
    <row r="540" spans="1:10" ht="12.75" customHeight="1" x14ac:dyDescent="0.2">
      <c r="A540" s="27"/>
      <c r="B540" s="29"/>
      <c r="C540" s="22" t="s">
        <v>37</v>
      </c>
      <c r="D540" s="20" t="s">
        <v>36</v>
      </c>
      <c r="E540" s="22" t="s">
        <v>37</v>
      </c>
      <c r="F540" s="20" t="s">
        <v>36</v>
      </c>
      <c r="G540" s="48"/>
      <c r="H540" s="48"/>
      <c r="I540" s="2"/>
      <c r="J540" s="65"/>
    </row>
    <row r="541" spans="1:10" ht="12.75" customHeight="1" x14ac:dyDescent="0.2">
      <c r="A541" s="27"/>
      <c r="B541" s="29"/>
      <c r="C541" s="211" t="s">
        <v>168</v>
      </c>
      <c r="D541" s="240"/>
      <c r="E541" s="211" t="s">
        <v>168</v>
      </c>
      <c r="F541" s="240"/>
      <c r="G541" s="48">
        <f t="shared" ref="G541:I542" si="214">G404</f>
        <v>1300.4059999999999</v>
      </c>
      <c r="H541" s="48">
        <f t="shared" si="214"/>
        <v>456.72</v>
      </c>
      <c r="I541" s="2">
        <f t="shared" si="214"/>
        <v>35.121339027965114</v>
      </c>
      <c r="J541" s="65"/>
    </row>
    <row r="542" spans="1:10" ht="12.75" customHeight="1" x14ac:dyDescent="0.2">
      <c r="A542" s="27"/>
      <c r="B542" s="29"/>
      <c r="C542" s="20" t="s">
        <v>28</v>
      </c>
      <c r="D542" s="19" t="s">
        <v>27</v>
      </c>
      <c r="E542" s="20" t="s">
        <v>28</v>
      </c>
      <c r="F542" s="19" t="s">
        <v>27</v>
      </c>
      <c r="G542" s="48">
        <f t="shared" si="214"/>
        <v>1300.4059999999999</v>
      </c>
      <c r="H542" s="48">
        <f t="shared" si="214"/>
        <v>456.72</v>
      </c>
      <c r="I542" s="2">
        <f t="shared" si="214"/>
        <v>35.121339027965114</v>
      </c>
      <c r="J542" s="65"/>
    </row>
    <row r="543" spans="1:10" ht="12.75" customHeight="1" x14ac:dyDescent="0.2">
      <c r="A543" s="27"/>
      <c r="B543" s="29"/>
      <c r="C543" s="211" t="s">
        <v>166</v>
      </c>
      <c r="D543" s="240"/>
      <c r="E543" s="211" t="s">
        <v>166</v>
      </c>
      <c r="F543" s="240"/>
      <c r="G543" s="48">
        <f t="shared" ref="G543:I544" si="215">G118+G410</f>
        <v>98</v>
      </c>
      <c r="H543" s="48">
        <f t="shared" si="215"/>
        <v>0</v>
      </c>
      <c r="I543" s="2">
        <f t="shared" si="215"/>
        <v>0</v>
      </c>
      <c r="J543" s="65"/>
    </row>
    <row r="544" spans="1:10" ht="12.75" customHeight="1" x14ac:dyDescent="0.2">
      <c r="A544" s="27"/>
      <c r="B544" s="29"/>
      <c r="C544" s="20" t="s">
        <v>24</v>
      </c>
      <c r="D544" s="19" t="s">
        <v>15</v>
      </c>
      <c r="E544" s="20" t="s">
        <v>24</v>
      </c>
      <c r="F544" s="19" t="s">
        <v>15</v>
      </c>
      <c r="G544" s="48">
        <f t="shared" si="215"/>
        <v>98</v>
      </c>
      <c r="H544" s="48">
        <f t="shared" si="215"/>
        <v>0</v>
      </c>
      <c r="I544" s="2">
        <f t="shared" si="215"/>
        <v>0</v>
      </c>
      <c r="J544" s="65"/>
    </row>
    <row r="545" spans="1:10" ht="12.75" customHeight="1" x14ac:dyDescent="0.2">
      <c r="A545" s="27"/>
      <c r="B545" s="29"/>
      <c r="C545" s="211" t="s">
        <v>164</v>
      </c>
      <c r="D545" s="240"/>
      <c r="E545" s="211" t="s">
        <v>164</v>
      </c>
      <c r="F545" s="240"/>
      <c r="G545" s="48">
        <f t="shared" ref="G545:I546" si="216">G168</f>
        <v>36825.599999999999</v>
      </c>
      <c r="H545" s="48">
        <f t="shared" si="216"/>
        <v>11922.78464</v>
      </c>
      <c r="I545" s="2">
        <f t="shared" si="216"/>
        <v>32.376348627042056</v>
      </c>
      <c r="J545" s="65"/>
    </row>
    <row r="546" spans="1:10" ht="12.75" customHeight="1" x14ac:dyDescent="0.2">
      <c r="A546" s="27"/>
      <c r="B546" s="29"/>
      <c r="C546" s="20" t="s">
        <v>7</v>
      </c>
      <c r="D546" s="19" t="s">
        <v>15</v>
      </c>
      <c r="E546" s="20" t="s">
        <v>7</v>
      </c>
      <c r="F546" s="19" t="s">
        <v>15</v>
      </c>
      <c r="G546" s="48">
        <f t="shared" si="216"/>
        <v>25963.5</v>
      </c>
      <c r="H546" s="48">
        <f t="shared" si="216"/>
        <v>9225.2596400000002</v>
      </c>
      <c r="I546" s="2">
        <f t="shared" si="216"/>
        <v>35.53164881468215</v>
      </c>
      <c r="J546" s="65"/>
    </row>
    <row r="547" spans="1:10" ht="12.75" customHeight="1" x14ac:dyDescent="0.2">
      <c r="A547" s="27"/>
      <c r="B547" s="29"/>
      <c r="C547" s="20" t="s">
        <v>7</v>
      </c>
      <c r="D547" s="19" t="s">
        <v>6</v>
      </c>
      <c r="E547" s="20" t="s">
        <v>7</v>
      </c>
      <c r="F547" s="19" t="s">
        <v>6</v>
      </c>
      <c r="G547" s="48">
        <f>G176</f>
        <v>10862.1</v>
      </c>
      <c r="H547" s="48">
        <f>H176</f>
        <v>2697.5250000000001</v>
      </c>
      <c r="I547" s="2">
        <f>I176</f>
        <v>24.834286187753747</v>
      </c>
      <c r="J547" s="65"/>
    </row>
    <row r="548" spans="1:10" ht="12.75" customHeight="1" x14ac:dyDescent="0.2">
      <c r="A548" s="27"/>
      <c r="B548" s="29"/>
      <c r="C548" s="20" t="s">
        <v>220</v>
      </c>
      <c r="D548" s="19" t="s">
        <v>220</v>
      </c>
      <c r="E548" s="20" t="s">
        <v>220</v>
      </c>
      <c r="F548" s="19" t="s">
        <v>220</v>
      </c>
      <c r="G548" s="48"/>
      <c r="H548" s="48"/>
      <c r="I548" s="2"/>
      <c r="J548" s="65"/>
    </row>
    <row r="549" spans="1:10" ht="12.75" customHeight="1" x14ac:dyDescent="0.2">
      <c r="A549" s="27"/>
      <c r="B549" s="29"/>
      <c r="C549" s="29"/>
      <c r="D549" s="29"/>
      <c r="E549" s="91"/>
      <c r="F549" s="16"/>
      <c r="G549" s="48">
        <f>G490+G499+G501+G506+G511+G515+G517+G524+G527+G532+G538+G541+G543+G545+G548</f>
        <v>668142.90067999996</v>
      </c>
      <c r="H549" s="48">
        <f>H490+H499+H501+H506+H511+H515+H517+H524+H527+H532+H538+H541+H543+H545+H548</f>
        <v>115720.87123999998</v>
      </c>
      <c r="I549" s="48">
        <f>H549/G549*100</f>
        <v>17.319778616554256</v>
      </c>
      <c r="J549" s="65"/>
    </row>
    <row r="550" spans="1:10" ht="12.75" customHeight="1" x14ac:dyDescent="0.2">
      <c r="A550" s="27"/>
      <c r="G550" s="49">
        <f>G487-G549</f>
        <v>0</v>
      </c>
      <c r="H550" s="49">
        <f>H487-H549</f>
        <v>0</v>
      </c>
      <c r="I550" s="68">
        <f t="shared" ref="I550" si="217">I487-I549</f>
        <v>0</v>
      </c>
      <c r="J550" s="65"/>
    </row>
    <row r="551" spans="1:10" x14ac:dyDescent="0.25">
      <c r="J551" s="65"/>
    </row>
    <row r="552" spans="1:10" x14ac:dyDescent="0.25">
      <c r="C552" s="71">
        <f>I552-D552</f>
        <v>-14552.264225352037</v>
      </c>
      <c r="D552" s="71">
        <f>G552+H552</f>
        <v>14577.371929999999</v>
      </c>
      <c r="E552" s="54" t="s">
        <v>313</v>
      </c>
      <c r="F552" s="55"/>
      <c r="G552" s="86">
        <f>G195</f>
        <v>11651.85787</v>
      </c>
      <c r="H552" s="86">
        <f>H195</f>
        <v>2925.51406</v>
      </c>
      <c r="I552" s="86">
        <f>H552/G552*100</f>
        <v>25.10770464796272</v>
      </c>
      <c r="J552" s="65"/>
    </row>
    <row r="553" spans="1:10" x14ac:dyDescent="0.25">
      <c r="C553" s="71">
        <f t="shared" ref="C553:C556" si="218">I553-D553</f>
        <v>-12531.103335719494</v>
      </c>
      <c r="D553" s="71">
        <f t="shared" ref="D553:D556" si="219">G553+H553</f>
        <v>12531.45414</v>
      </c>
      <c r="E553" s="54" t="s">
        <v>63</v>
      </c>
      <c r="F553" s="55"/>
      <c r="G553" s="86">
        <f>G272+G321+G385</f>
        <v>12487.646940000001</v>
      </c>
      <c r="H553" s="86">
        <f>H272+H321+H385</f>
        <v>43.807200000000002</v>
      </c>
      <c r="I553" s="86">
        <f t="shared" ref="I553:I593" si="220">H553/G553*100</f>
        <v>0.35080428050602785</v>
      </c>
      <c r="J553" s="65"/>
    </row>
    <row r="554" spans="1:10" x14ac:dyDescent="0.25">
      <c r="C554" s="71">
        <f t="shared" si="218"/>
        <v>-1779.1472167780396</v>
      </c>
      <c r="D554" s="71">
        <f t="shared" si="219"/>
        <v>1812.826</v>
      </c>
      <c r="E554" s="54" t="s">
        <v>31</v>
      </c>
      <c r="F554" s="55"/>
      <c r="G554" s="86">
        <f>G223+G406</f>
        <v>1356.106</v>
      </c>
      <c r="H554" s="86">
        <f>H223+H406</f>
        <v>456.72</v>
      </c>
      <c r="I554" s="86">
        <f t="shared" si="220"/>
        <v>33.678783221960529</v>
      </c>
      <c r="J554" s="65"/>
    </row>
    <row r="555" spans="1:10" x14ac:dyDescent="0.25">
      <c r="C555" s="71">
        <f t="shared" si="218"/>
        <v>-780</v>
      </c>
      <c r="D555" s="71">
        <f t="shared" si="219"/>
        <v>780</v>
      </c>
      <c r="E555" s="54" t="s">
        <v>103</v>
      </c>
      <c r="F555" s="55"/>
      <c r="G555" s="86">
        <f>G289</f>
        <v>780</v>
      </c>
      <c r="H555" s="86">
        <f>H289</f>
        <v>0</v>
      </c>
      <c r="I555" s="86">
        <f t="shared" si="220"/>
        <v>0</v>
      </c>
      <c r="J555" s="65"/>
    </row>
    <row r="556" spans="1:10" s="35" customFormat="1" x14ac:dyDescent="0.25">
      <c r="A556" s="53"/>
      <c r="C556" s="71">
        <f t="shared" si="218"/>
        <v>-29688.613205614412</v>
      </c>
      <c r="D556" s="71">
        <f t="shared" si="219"/>
        <v>29701.652069999996</v>
      </c>
      <c r="E556" s="56" t="s">
        <v>4</v>
      </c>
      <c r="F556" s="57"/>
      <c r="G556" s="47">
        <f t="shared" ref="G556" si="221">SUM(G552:G555)</f>
        <v>26275.610809999998</v>
      </c>
      <c r="H556" s="47">
        <f t="shared" ref="H556" si="222">SUM(H552:H555)</f>
        <v>3426.04126</v>
      </c>
      <c r="I556" s="86">
        <f t="shared" si="220"/>
        <v>13.038864385584953</v>
      </c>
      <c r="J556" s="64"/>
    </row>
    <row r="557" spans="1:10" x14ac:dyDescent="0.25">
      <c r="C557" s="71">
        <f>I557-D557</f>
        <v>-1556.4526501863113</v>
      </c>
      <c r="D557" s="71">
        <f>G557+H557</f>
        <v>1572.76917</v>
      </c>
      <c r="E557" s="54" t="s">
        <v>448</v>
      </c>
      <c r="F557" s="55"/>
      <c r="G557" s="86">
        <f>G453</f>
        <v>1352.146</v>
      </c>
      <c r="H557" s="86">
        <f>H453</f>
        <v>220.62316999999999</v>
      </c>
      <c r="I557" s="86">
        <f t="shared" si="220"/>
        <v>16.316519813688757</v>
      </c>
      <c r="J557" s="65"/>
    </row>
    <row r="558" spans="1:10" x14ac:dyDescent="0.25">
      <c r="C558" s="71" t="e">
        <f t="shared" ref="C558:C576" si="223">I558-D558</f>
        <v>#DIV/0!</v>
      </c>
      <c r="D558" s="71">
        <f t="shared" ref="D558:D576" si="224">G558+H558</f>
        <v>0</v>
      </c>
      <c r="E558" s="54" t="s">
        <v>82</v>
      </c>
      <c r="F558" s="55"/>
      <c r="G558" s="86"/>
      <c r="H558" s="86"/>
      <c r="I558" s="86" t="e">
        <f t="shared" si="220"/>
        <v>#DIV/0!</v>
      </c>
      <c r="J558" s="65"/>
    </row>
    <row r="559" spans="1:10" x14ac:dyDescent="0.25">
      <c r="C559" s="71"/>
      <c r="D559" s="71"/>
      <c r="E559" s="54" t="s">
        <v>509</v>
      </c>
      <c r="F559" s="55"/>
      <c r="G559" s="86">
        <f>G459</f>
        <v>5925.0611000000008</v>
      </c>
      <c r="H559" s="86">
        <f>H459</f>
        <v>187</v>
      </c>
      <c r="I559" s="86"/>
      <c r="J559" s="65"/>
    </row>
    <row r="560" spans="1:10" x14ac:dyDescent="0.25">
      <c r="C560" s="71">
        <f t="shared" si="223"/>
        <v>-55360.845008286</v>
      </c>
      <c r="D560" s="71">
        <f t="shared" si="224"/>
        <v>55381.072149999993</v>
      </c>
      <c r="E560" s="54" t="s">
        <v>41</v>
      </c>
      <c r="F560" s="55"/>
      <c r="G560" s="86">
        <f>G227+G374+G433+G468</f>
        <v>46063.701889999997</v>
      </c>
      <c r="H560" s="86">
        <f>H227+H374+H433+H468</f>
        <v>9317.3702599999997</v>
      </c>
      <c r="I560" s="86">
        <f t="shared" si="220"/>
        <v>20.227141713989589</v>
      </c>
      <c r="J560" s="65"/>
    </row>
    <row r="561" spans="1:10" x14ac:dyDescent="0.25">
      <c r="C561" s="71">
        <f t="shared" si="223"/>
        <v>-1446.2959553710009</v>
      </c>
      <c r="D561" s="71">
        <f t="shared" si="224"/>
        <v>1466.63741</v>
      </c>
      <c r="E561" s="54" t="s">
        <v>57</v>
      </c>
      <c r="F561" s="55"/>
      <c r="G561" s="86">
        <f>G204+G380+G393+G476</f>
        <v>1218.73</v>
      </c>
      <c r="H561" s="86">
        <f>H204+H380+H393+H476</f>
        <v>247.90741</v>
      </c>
      <c r="I561" s="86">
        <f t="shared" si="220"/>
        <v>20.341454628999038</v>
      </c>
      <c r="J561" s="65"/>
    </row>
    <row r="562" spans="1:10" x14ac:dyDescent="0.25">
      <c r="C562" s="71" t="e">
        <f t="shared" si="223"/>
        <v>#DIV/0!</v>
      </c>
      <c r="D562" s="71">
        <f t="shared" si="224"/>
        <v>0</v>
      </c>
      <c r="E562" s="54" t="s">
        <v>60</v>
      </c>
      <c r="F562" s="55"/>
      <c r="G562" s="86"/>
      <c r="H562" s="86"/>
      <c r="I562" s="86" t="e">
        <f t="shared" si="220"/>
        <v>#DIV/0!</v>
      </c>
      <c r="J562" s="65"/>
    </row>
    <row r="563" spans="1:10" x14ac:dyDescent="0.25">
      <c r="C563" s="71">
        <f t="shared" si="223"/>
        <v>-860.66508543402756</v>
      </c>
      <c r="D563" s="71">
        <f t="shared" si="224"/>
        <v>875.87183999999991</v>
      </c>
      <c r="E563" s="54" t="s">
        <v>434</v>
      </c>
      <c r="F563" s="55"/>
      <c r="G563" s="86">
        <f>G482+G389+G426</f>
        <v>760.26083999999992</v>
      </c>
      <c r="H563" s="86">
        <f>H482+H389+H426</f>
        <v>115.611</v>
      </c>
      <c r="I563" s="86">
        <f t="shared" si="220"/>
        <v>15.206754565972386</v>
      </c>
      <c r="J563" s="65"/>
    </row>
    <row r="564" spans="1:10" s="35" customFormat="1" x14ac:dyDescent="0.25">
      <c r="A564" s="53"/>
      <c r="C564" s="71">
        <f t="shared" si="223"/>
        <v>-65390.174992292697</v>
      </c>
      <c r="D564" s="71">
        <f t="shared" si="224"/>
        <v>65408.411670000001</v>
      </c>
      <c r="E564" s="56" t="s">
        <v>3</v>
      </c>
      <c r="F564" s="57"/>
      <c r="G564" s="47">
        <f>SUM(G557:G563)</f>
        <v>55319.899830000002</v>
      </c>
      <c r="H564" s="47">
        <f t="shared" ref="H564" si="225">SUM(H557:H563)</f>
        <v>10088.511840000001</v>
      </c>
      <c r="I564" s="86">
        <f t="shared" si="220"/>
        <v>18.236677707303073</v>
      </c>
      <c r="J564" s="64"/>
    </row>
    <row r="565" spans="1:10" x14ac:dyDescent="0.25">
      <c r="C565" s="71">
        <f t="shared" si="223"/>
        <v>-4175.4562112028761</v>
      </c>
      <c r="D565" s="71">
        <f t="shared" si="224"/>
        <v>4199.1673300000002</v>
      </c>
      <c r="E565" s="54" t="s">
        <v>138</v>
      </c>
      <c r="F565" s="55"/>
      <c r="G565" s="86">
        <f>G99</f>
        <v>3394.3330000000001</v>
      </c>
      <c r="H565" s="86">
        <f>H99</f>
        <v>804.83433000000002</v>
      </c>
      <c r="I565" s="86">
        <f t="shared" si="220"/>
        <v>23.711118797124499</v>
      </c>
      <c r="J565" s="65"/>
    </row>
    <row r="566" spans="1:10" x14ac:dyDescent="0.25">
      <c r="C566" s="71">
        <f t="shared" si="223"/>
        <v>-52127.940606938624</v>
      </c>
      <c r="D566" s="71">
        <f t="shared" si="224"/>
        <v>52159.20661999999</v>
      </c>
      <c r="E566" s="54" t="s">
        <v>12</v>
      </c>
      <c r="F566" s="55"/>
      <c r="G566" s="86">
        <f>G108+G120+G170+G177+G214+G232+G412+G159+G127+G134+G164</f>
        <v>39735.499999999993</v>
      </c>
      <c r="H566" s="86">
        <f>H108+H120+H170+H177+H214+H232+H412+H159+H127+H134+H164</f>
        <v>12423.706619999999</v>
      </c>
      <c r="I566" s="86">
        <f t="shared" si="220"/>
        <v>31.266013061368302</v>
      </c>
      <c r="J566" s="65"/>
    </row>
    <row r="567" spans="1:10" x14ac:dyDescent="0.25">
      <c r="C567" s="71" t="e">
        <f t="shared" si="223"/>
        <v>#DIV/0!</v>
      </c>
      <c r="D567" s="71">
        <f t="shared" si="224"/>
        <v>0</v>
      </c>
      <c r="E567" s="54" t="s">
        <v>97</v>
      </c>
      <c r="F567" s="55"/>
      <c r="G567" s="86"/>
      <c r="H567" s="86"/>
      <c r="I567" s="86" t="e">
        <f t="shared" si="220"/>
        <v>#DIV/0!</v>
      </c>
      <c r="J567" s="65"/>
    </row>
    <row r="568" spans="1:10" s="35" customFormat="1" x14ac:dyDescent="0.25">
      <c r="A568" s="53"/>
      <c r="C568" s="71">
        <f t="shared" si="223"/>
        <v>-56327.702509769748</v>
      </c>
      <c r="D568" s="71">
        <f t="shared" si="224"/>
        <v>56358.373949999994</v>
      </c>
      <c r="E568" s="56" t="s">
        <v>2</v>
      </c>
      <c r="F568" s="57"/>
      <c r="G568" s="47">
        <f t="shared" ref="G568:H568" si="226">SUM(G565:G567)</f>
        <v>43129.832999999991</v>
      </c>
      <c r="H568" s="47">
        <f t="shared" si="226"/>
        <v>13228.540949999999</v>
      </c>
      <c r="I568" s="86">
        <f t="shared" si="220"/>
        <v>30.671440230246201</v>
      </c>
      <c r="J568" s="64"/>
    </row>
    <row r="569" spans="1:10" x14ac:dyDescent="0.25">
      <c r="C569" s="71">
        <f t="shared" si="223"/>
        <v>-4014.3081679984921</v>
      </c>
      <c r="D569" s="71">
        <f t="shared" si="224"/>
        <v>4038.1105100000004</v>
      </c>
      <c r="E569" s="54" t="s">
        <v>400</v>
      </c>
      <c r="F569" s="55"/>
      <c r="G569" s="48">
        <f>G248</f>
        <v>3261.7400000000002</v>
      </c>
      <c r="H569" s="48">
        <f>H248</f>
        <v>776.37050999999997</v>
      </c>
      <c r="I569" s="86">
        <f t="shared" si="220"/>
        <v>23.802342001508396</v>
      </c>
      <c r="J569" s="65"/>
    </row>
    <row r="570" spans="1:10" x14ac:dyDescent="0.25">
      <c r="C570" s="71">
        <f t="shared" si="223"/>
        <v>0</v>
      </c>
      <c r="D570" s="71">
        <f t="shared" si="224"/>
        <v>0</v>
      </c>
      <c r="E570" s="54" t="s">
        <v>399</v>
      </c>
      <c r="F570" s="55"/>
      <c r="G570" s="48"/>
      <c r="H570" s="48"/>
      <c r="I570" s="86"/>
      <c r="J570" s="65"/>
    </row>
    <row r="571" spans="1:10" x14ac:dyDescent="0.25">
      <c r="C571" s="71">
        <f t="shared" si="223"/>
        <v>-4280.4999506998502</v>
      </c>
      <c r="D571" s="71">
        <f t="shared" si="224"/>
        <v>4290.0819499999998</v>
      </c>
      <c r="E571" s="54" t="s">
        <v>95</v>
      </c>
      <c r="F571" s="55"/>
      <c r="G571" s="48">
        <f>G257+G261+G208+G238+G138</f>
        <v>3914.9513399999996</v>
      </c>
      <c r="H571" s="48">
        <f>H257+H261+H208+H238+H138</f>
        <v>375.13061000000005</v>
      </c>
      <c r="I571" s="86">
        <f t="shared" si="220"/>
        <v>9.5819993001496684</v>
      </c>
      <c r="J571" s="65"/>
    </row>
    <row r="572" spans="1:10" x14ac:dyDescent="0.25">
      <c r="C572" s="71">
        <f t="shared" si="223"/>
        <v>-8937.9349034082697</v>
      </c>
      <c r="D572" s="71">
        <f t="shared" si="224"/>
        <v>8951.6055099999976</v>
      </c>
      <c r="E572" s="54" t="s">
        <v>91</v>
      </c>
      <c r="F572" s="55"/>
      <c r="G572" s="48">
        <f>G316+G325+G353+G152</f>
        <v>7875.0397999999986</v>
      </c>
      <c r="H572" s="48">
        <f>H316+H325+H353+H152</f>
        <v>1076.5657099999999</v>
      </c>
      <c r="I572" s="86">
        <f t="shared" si="220"/>
        <v>13.670606591727955</v>
      </c>
      <c r="J572" s="2"/>
    </row>
    <row r="573" spans="1:10" x14ac:dyDescent="0.25">
      <c r="C573" s="71">
        <f t="shared" si="223"/>
        <v>-6417.4320865304953</v>
      </c>
      <c r="D573" s="71">
        <f t="shared" si="224"/>
        <v>6433.31</v>
      </c>
      <c r="E573" s="54" t="s">
        <v>369</v>
      </c>
      <c r="F573" s="55"/>
      <c r="G573" s="48">
        <f>G282+G144</f>
        <v>5551.8</v>
      </c>
      <c r="H573" s="48">
        <f>H282+H144</f>
        <v>881.51</v>
      </c>
      <c r="I573" s="86">
        <f t="shared" si="220"/>
        <v>15.877913469505383</v>
      </c>
      <c r="J573" s="69"/>
    </row>
    <row r="574" spans="1:10" x14ac:dyDescent="0.25">
      <c r="C574" s="71">
        <f t="shared" si="223"/>
        <v>-15</v>
      </c>
      <c r="D574" s="71">
        <f t="shared" si="224"/>
        <v>15</v>
      </c>
      <c r="E574" s="54" t="s">
        <v>398</v>
      </c>
      <c r="F574" s="55"/>
      <c r="G574" s="48">
        <f>G242</f>
        <v>15</v>
      </c>
      <c r="H574" s="48">
        <f>H242</f>
        <v>0</v>
      </c>
      <c r="I574" s="86">
        <f t="shared" si="220"/>
        <v>0</v>
      </c>
      <c r="J574" s="69"/>
    </row>
    <row r="575" spans="1:10" s="35" customFormat="1" x14ac:dyDescent="0.25">
      <c r="A575" s="53"/>
      <c r="C575" s="71">
        <f t="shared" si="223"/>
        <v>-23713.026503677851</v>
      </c>
      <c r="D575" s="71">
        <f t="shared" si="224"/>
        <v>23728.107969999997</v>
      </c>
      <c r="E575" s="56" t="s">
        <v>1</v>
      </c>
      <c r="F575" s="57"/>
      <c r="G575" s="47">
        <f t="shared" ref="G575" si="227">SUM(G569:G574)</f>
        <v>20618.531139999999</v>
      </c>
      <c r="H575" s="47">
        <f t="shared" ref="H575" si="228">SUM(H569:H574)</f>
        <v>3109.57683</v>
      </c>
      <c r="I575" s="86">
        <f t="shared" si="220"/>
        <v>15.081466322144616</v>
      </c>
      <c r="J575" s="64"/>
    </row>
    <row r="576" spans="1:10" x14ac:dyDescent="0.25">
      <c r="C576" s="71">
        <f t="shared" si="223"/>
        <v>0</v>
      </c>
      <c r="D576" s="71">
        <f t="shared" si="224"/>
        <v>0</v>
      </c>
      <c r="E576" s="54" t="s">
        <v>314</v>
      </c>
      <c r="F576" s="55"/>
      <c r="G576" s="48"/>
      <c r="H576" s="48"/>
      <c r="I576" s="86"/>
      <c r="J576" s="65"/>
    </row>
    <row r="577" spans="1:10" s="35" customFormat="1" x14ac:dyDescent="0.25">
      <c r="A577" s="53"/>
      <c r="C577" s="35" t="s">
        <v>380</v>
      </c>
      <c r="E577" s="56" t="s">
        <v>233</v>
      </c>
      <c r="F577" s="57"/>
      <c r="G577" s="47">
        <f t="shared" ref="G577:H577" si="229">G576</f>
        <v>0</v>
      </c>
      <c r="H577" s="47">
        <f t="shared" si="229"/>
        <v>0</v>
      </c>
      <c r="I577" s="86"/>
      <c r="J577" s="64"/>
    </row>
    <row r="578" spans="1:10" x14ac:dyDescent="0.25">
      <c r="C578" s="71">
        <f t="shared" ref="C578" si="230">I578-D578</f>
        <v>-1442.613137180879</v>
      </c>
      <c r="D578" s="71">
        <f t="shared" ref="D578" si="231">G578+H578</f>
        <v>1471.43804</v>
      </c>
      <c r="E578" s="54" t="s">
        <v>430</v>
      </c>
      <c r="F578" s="55"/>
      <c r="G578" s="48">
        <f>G64</f>
        <v>1142.2</v>
      </c>
      <c r="H578" s="48">
        <f>H64</f>
        <v>329.23804000000001</v>
      </c>
      <c r="I578" s="86">
        <f t="shared" si="220"/>
        <v>28.824902819120997</v>
      </c>
      <c r="J578" s="65"/>
    </row>
    <row r="579" spans="1:10" x14ac:dyDescent="0.25">
      <c r="C579" s="71">
        <f t="shared" ref="C579:C582" si="232">I579-D579</f>
        <v>-4693.2011090202086</v>
      </c>
      <c r="D579" s="71">
        <f t="shared" ref="D579:D582" si="233">G579+H579</f>
        <v>4706.3246400000007</v>
      </c>
      <c r="E579" s="54" t="s">
        <v>431</v>
      </c>
      <c r="F579" s="55"/>
      <c r="G579" s="48">
        <f>G70</f>
        <v>4160.3410000000003</v>
      </c>
      <c r="H579" s="48">
        <f>H70</f>
        <v>545.98363999999992</v>
      </c>
      <c r="I579" s="86">
        <f t="shared" si="220"/>
        <v>13.123530979792278</v>
      </c>
      <c r="J579" s="65"/>
    </row>
    <row r="580" spans="1:10" x14ac:dyDescent="0.25">
      <c r="C580" s="71">
        <f t="shared" si="232"/>
        <v>-12810.105391026911</v>
      </c>
      <c r="D580" s="71">
        <f t="shared" si="233"/>
        <v>12833.489870000001</v>
      </c>
      <c r="E580" s="54" t="s">
        <v>432</v>
      </c>
      <c r="F580" s="55"/>
      <c r="G580" s="48">
        <f>G79</f>
        <v>10401.219000000001</v>
      </c>
      <c r="H580" s="48">
        <f>H79</f>
        <v>2432.2708700000003</v>
      </c>
      <c r="I580" s="86">
        <f t="shared" si="220"/>
        <v>23.3844789730896</v>
      </c>
      <c r="J580" s="65"/>
    </row>
    <row r="581" spans="1:10" x14ac:dyDescent="0.25">
      <c r="C581" s="71">
        <f t="shared" si="232"/>
        <v>-508493.86308244255</v>
      </c>
      <c r="D581" s="71">
        <f t="shared" si="233"/>
        <v>508509.65341000009</v>
      </c>
      <c r="E581" s="54" t="s">
        <v>402</v>
      </c>
      <c r="F581" s="55"/>
      <c r="G581" s="48">
        <f>G11+G27+G91+G359+G366</f>
        <v>439164.18939000007</v>
      </c>
      <c r="H581" s="48">
        <f>H11+H27+H91+H359+H366</f>
        <v>69345.464019999999</v>
      </c>
      <c r="I581" s="86">
        <f t="shared" si="220"/>
        <v>15.790327557518063</v>
      </c>
      <c r="J581" s="65"/>
    </row>
    <row r="582" spans="1:10" x14ac:dyDescent="0.25">
      <c r="C582" s="71">
        <f t="shared" si="232"/>
        <v>-37877.157771568745</v>
      </c>
      <c r="D582" s="71">
        <f t="shared" si="233"/>
        <v>37896.143909999999</v>
      </c>
      <c r="E582" s="54" t="s">
        <v>411</v>
      </c>
      <c r="F582" s="55"/>
      <c r="G582" s="48">
        <f>G49+G58+G419</f>
        <v>31849.209000000003</v>
      </c>
      <c r="H582" s="48">
        <f>H49+H58+H419</f>
        <v>6046.9349099999999</v>
      </c>
      <c r="I582" s="86">
        <f t="shared" si="220"/>
        <v>18.98613843125586</v>
      </c>
      <c r="J582" s="65"/>
    </row>
    <row r="583" spans="1:10" ht="12" customHeight="1" x14ac:dyDescent="0.25">
      <c r="C583" s="71">
        <f t="shared" ref="C583:C588" si="234">I583-D583</f>
        <v>-565400.88033701293</v>
      </c>
      <c r="D583" s="71">
        <f t="shared" ref="D583:D588" si="235">G583+H583</f>
        <v>565417.0498700001</v>
      </c>
      <c r="E583" s="56" t="s">
        <v>433</v>
      </c>
      <c r="F583" s="55"/>
      <c r="G583" s="47">
        <f t="shared" ref="G583" si="236">SUM(G578:G582)</f>
        <v>486717.15839000011</v>
      </c>
      <c r="H583" s="47">
        <f t="shared" ref="H583" si="237">SUM(H578:H582)</f>
        <v>78699.891479999991</v>
      </c>
      <c r="I583" s="86">
        <f t="shared" si="220"/>
        <v>16.169532987152017</v>
      </c>
      <c r="J583" s="65"/>
    </row>
    <row r="584" spans="1:10" x14ac:dyDescent="0.25">
      <c r="C584" s="71">
        <f t="shared" si="234"/>
        <v>-10284.705890259542</v>
      </c>
      <c r="D584" s="71">
        <f t="shared" si="235"/>
        <v>10312.57848</v>
      </c>
      <c r="E584" s="54" t="s">
        <v>497</v>
      </c>
      <c r="F584" s="55"/>
      <c r="G584" s="48">
        <f>G296</f>
        <v>8064.7295100000001</v>
      </c>
      <c r="H584" s="48">
        <f>H296</f>
        <v>2247.84897</v>
      </c>
      <c r="I584" s="86">
        <f t="shared" si="220"/>
        <v>27.872589740458636</v>
      </c>
      <c r="J584" s="65"/>
    </row>
    <row r="585" spans="1:10" x14ac:dyDescent="0.25">
      <c r="C585" s="71">
        <f t="shared" si="234"/>
        <v>-16786.71034013831</v>
      </c>
      <c r="D585" s="71">
        <f t="shared" si="235"/>
        <v>16811.04783</v>
      </c>
      <c r="E585" s="54" t="s">
        <v>381</v>
      </c>
      <c r="F585" s="55"/>
      <c r="G585" s="48">
        <f>G305+G345</f>
        <v>13520.498</v>
      </c>
      <c r="H585" s="48">
        <f>H305+H345</f>
        <v>3290.5498299999999</v>
      </c>
      <c r="I585" s="86">
        <f t="shared" si="220"/>
        <v>24.337489861690006</v>
      </c>
      <c r="J585" s="65"/>
    </row>
    <row r="586" spans="1:10" x14ac:dyDescent="0.25">
      <c r="C586" s="71">
        <f t="shared" si="234"/>
        <v>-1534.09</v>
      </c>
      <c r="D586" s="71">
        <f t="shared" si="235"/>
        <v>1534.09</v>
      </c>
      <c r="E586" s="54" t="s">
        <v>377</v>
      </c>
      <c r="F586" s="55"/>
      <c r="G586" s="48">
        <f>G310</f>
        <v>1534.09</v>
      </c>
      <c r="H586" s="48">
        <f>H310</f>
        <v>0</v>
      </c>
      <c r="I586" s="86">
        <f t="shared" si="220"/>
        <v>0</v>
      </c>
      <c r="J586" s="65"/>
    </row>
    <row r="587" spans="1:10" s="35" customFormat="1" x14ac:dyDescent="0.25">
      <c r="A587" s="53"/>
      <c r="C587" s="71">
        <f t="shared" si="234"/>
        <v>-28633.760590729289</v>
      </c>
      <c r="D587" s="71">
        <f t="shared" si="235"/>
        <v>28657.71631</v>
      </c>
      <c r="E587" s="56" t="s">
        <v>382</v>
      </c>
      <c r="F587" s="57"/>
      <c r="G587" s="47">
        <f>SUM(G584:G586)</f>
        <v>23119.317510000001</v>
      </c>
      <c r="H587" s="47">
        <f t="shared" ref="H587" si="238">SUM(H584:H586)</f>
        <v>5538.3987999999999</v>
      </c>
      <c r="I587" s="86">
        <f t="shared" si="220"/>
        <v>23.955719270711288</v>
      </c>
      <c r="J587" s="64"/>
    </row>
    <row r="588" spans="1:10" x14ac:dyDescent="0.25">
      <c r="C588" s="71">
        <f t="shared" si="234"/>
        <v>0</v>
      </c>
      <c r="D588" s="71">
        <f t="shared" si="235"/>
        <v>0</v>
      </c>
      <c r="E588" s="54"/>
      <c r="F588" s="55"/>
      <c r="G588" s="48"/>
      <c r="H588" s="48"/>
      <c r="I588" s="86"/>
      <c r="J588" s="65"/>
    </row>
    <row r="589" spans="1:10" x14ac:dyDescent="0.25">
      <c r="C589" s="71">
        <f t="shared" ref="C589:C591" si="239">I589-D589</f>
        <v>0</v>
      </c>
      <c r="D589" s="71">
        <f t="shared" ref="D589:D591" si="240">G589+H589</f>
        <v>0</v>
      </c>
      <c r="E589" s="54"/>
      <c r="F589" s="55"/>
      <c r="G589" s="48"/>
      <c r="H589" s="48"/>
      <c r="I589" s="86"/>
      <c r="J589" s="65"/>
    </row>
    <row r="590" spans="1:10" s="35" customFormat="1" x14ac:dyDescent="0.25">
      <c r="A590" s="53"/>
      <c r="C590" s="71">
        <f t="shared" si="239"/>
        <v>-14579.886087382805</v>
      </c>
      <c r="D590" s="71">
        <f t="shared" si="240"/>
        <v>14592.460079999999</v>
      </c>
      <c r="E590" s="56" t="s">
        <v>0</v>
      </c>
      <c r="F590" s="52"/>
      <c r="G590" s="47">
        <f>G113+G186+G189+G191+G219+G116+G402+G46+G131+G148</f>
        <v>12962.55</v>
      </c>
      <c r="H590" s="47">
        <f>H113+H186+H189+H191+H219+H116+H402+H46+H131+H148</f>
        <v>1629.9100800000001</v>
      </c>
      <c r="I590" s="86">
        <f t="shared" si="220"/>
        <v>12.573992617193378</v>
      </c>
      <c r="J590" s="64"/>
    </row>
    <row r="591" spans="1:10" x14ac:dyDescent="0.25">
      <c r="C591" s="71">
        <f t="shared" si="239"/>
        <v>0</v>
      </c>
      <c r="D591" s="71">
        <f t="shared" si="240"/>
        <v>0</v>
      </c>
      <c r="E591" s="55" t="s">
        <v>315</v>
      </c>
      <c r="F591" s="55"/>
      <c r="G591" s="48"/>
      <c r="H591" s="48"/>
      <c r="I591" s="86"/>
      <c r="J591" s="65"/>
    </row>
    <row r="592" spans="1:10" x14ac:dyDescent="0.25">
      <c r="E592" s="55"/>
      <c r="F592" s="55"/>
      <c r="G592" s="48">
        <f>G556+G564+G568+G575+G577+G590+G591+G583+G587</f>
        <v>668142.90068000008</v>
      </c>
      <c r="H592" s="48">
        <f t="shared" ref="H592" si="241">H556+H564+H568+H575+H577+H590+H591+H583+H587</f>
        <v>115720.87123999998</v>
      </c>
      <c r="I592" s="86">
        <f t="shared" si="220"/>
        <v>17.319778616554256</v>
      </c>
      <c r="J592" s="65"/>
    </row>
    <row r="593" spans="5:10" x14ac:dyDescent="0.25">
      <c r="E593" s="55"/>
      <c r="F593" s="55"/>
      <c r="G593" s="48">
        <f>G487-G592</f>
        <v>0</v>
      </c>
      <c r="H593" s="48">
        <f>H487-H592</f>
        <v>0</v>
      </c>
      <c r="I593" s="86" t="e">
        <f t="shared" si="220"/>
        <v>#DIV/0!</v>
      </c>
      <c r="J593" s="65"/>
    </row>
    <row r="595" spans="5:10" x14ac:dyDescent="0.25">
      <c r="E595" s="72" t="s">
        <v>15</v>
      </c>
    </row>
    <row r="596" spans="5:10" x14ac:dyDescent="0.25">
      <c r="E596" s="72" t="s">
        <v>27</v>
      </c>
    </row>
    <row r="597" spans="5:10" x14ac:dyDescent="0.25">
      <c r="E597" s="72" t="s">
        <v>6</v>
      </c>
    </row>
    <row r="598" spans="5:10" x14ac:dyDescent="0.25">
      <c r="E598" s="72" t="s">
        <v>59</v>
      </c>
    </row>
    <row r="599" spans="5:10" x14ac:dyDescent="0.25">
      <c r="E599" s="72" t="s">
        <v>36</v>
      </c>
    </row>
    <row r="600" spans="5:10" x14ac:dyDescent="0.25">
      <c r="E600" s="72" t="s">
        <v>53</v>
      </c>
    </row>
    <row r="601" spans="5:10" x14ac:dyDescent="0.25">
      <c r="E601" s="72" t="s">
        <v>78</v>
      </c>
    </row>
    <row r="602" spans="5:10" x14ac:dyDescent="0.25">
      <c r="E602" s="72" t="s">
        <v>220</v>
      </c>
    </row>
    <row r="603" spans="5:10" x14ac:dyDescent="0.25">
      <c r="E603" s="72"/>
    </row>
    <row r="604" spans="5:10" x14ac:dyDescent="0.25">
      <c r="E604" s="72"/>
    </row>
  </sheetData>
  <mergeCells count="35">
    <mergeCell ref="E545:F545"/>
    <mergeCell ref="E538:F538"/>
    <mergeCell ref="E541:F541"/>
    <mergeCell ref="C499:D499"/>
    <mergeCell ref="C501:D501"/>
    <mergeCell ref="C506:D506"/>
    <mergeCell ref="C511:D511"/>
    <mergeCell ref="C515:D515"/>
    <mergeCell ref="C545:D545"/>
    <mergeCell ref="C517:D517"/>
    <mergeCell ref="C524:D524"/>
    <mergeCell ref="C527:D527"/>
    <mergeCell ref="C532:D532"/>
    <mergeCell ref="C538:D538"/>
    <mergeCell ref="C541:D541"/>
    <mergeCell ref="C543:D543"/>
    <mergeCell ref="E490:F490"/>
    <mergeCell ref="E499:F499"/>
    <mergeCell ref="E543:F543"/>
    <mergeCell ref="E501:F501"/>
    <mergeCell ref="E506:F506"/>
    <mergeCell ref="E511:F511"/>
    <mergeCell ref="E517:F517"/>
    <mergeCell ref="E524:F524"/>
    <mergeCell ref="E527:F527"/>
    <mergeCell ref="E532:F532"/>
    <mergeCell ref="E515:F515"/>
    <mergeCell ref="G1:I1"/>
    <mergeCell ref="G2:I2"/>
    <mergeCell ref="A3:I3"/>
    <mergeCell ref="B5:F5"/>
    <mergeCell ref="G5:G6"/>
    <mergeCell ref="H5:H6"/>
    <mergeCell ref="I5:I6"/>
    <mergeCell ref="A5:A6"/>
  </mergeCells>
  <pageMargins left="0.98425196850393704" right="0" top="0" bottom="0" header="0" footer="0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1" sqref="M3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прил 1 ист</vt:lpstr>
      <vt:lpstr>прил 2 дох</vt:lpstr>
      <vt:lpstr>прил 3 разд подр</vt:lpstr>
      <vt:lpstr>прил4 вед стр </vt:lpstr>
      <vt:lpstr>Лист1</vt:lpstr>
      <vt:lpstr>'прил 2 дох'!Заголовки_для_печати</vt:lpstr>
      <vt:lpstr>'прил4 вед стр '!Заголовки_для_печати</vt:lpstr>
      <vt:lpstr>'прил 2 дох'!Область_печати</vt:lpstr>
      <vt:lpstr>'прил 3 разд подр'!Область_печати</vt:lpstr>
      <vt:lpstr>'прил4 вед стр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finOtdeL</dc:creator>
  <cp:lastModifiedBy>finOtdeL</cp:lastModifiedBy>
  <cp:lastPrinted>2019-04-22T08:25:04Z</cp:lastPrinted>
  <dcterms:created xsi:type="dcterms:W3CDTF">2016-11-07T08:50:55Z</dcterms:created>
  <dcterms:modified xsi:type="dcterms:W3CDTF">2019-04-24T07:44:27Z</dcterms:modified>
</cp:coreProperties>
</file>