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ил 8 (2012)" sheetId="1" r:id="rId1"/>
    <sheet name="прил10 (2012 " sheetId="2" r:id="rId2"/>
    <sheet name="Лист3" sheetId="3" r:id="rId3"/>
  </sheets>
  <externalReferences>
    <externalReference r:id="rId6"/>
  </externalReferences>
  <definedNames>
    <definedName name="_xlnm.Print_Titles" localSheetId="0">'Прил 8 (2012)'!$8:$8</definedName>
    <definedName name="_xlnm.Print_Titles" localSheetId="1">'прил10 (2012 '!$9:$9</definedName>
    <definedName name="_xlnm.Print_Area" localSheetId="0">'Прил 8 (2012)'!$A$2:$F$63</definedName>
    <definedName name="_xlnm.Print_Area" localSheetId="1">'прил10 (2012 '!$A$2:$M$573</definedName>
  </definedNames>
  <calcPr fullCalcOnLoad="1"/>
</workbook>
</file>

<file path=xl/sharedStrings.xml><?xml version="1.0" encoding="utf-8"?>
<sst xmlns="http://schemas.openxmlformats.org/spreadsheetml/2006/main" count="3196" uniqueCount="544">
  <si>
    <t>092</t>
  </si>
  <si>
    <t>проект</t>
  </si>
  <si>
    <t>тыс.руб</t>
  </si>
  <si>
    <t>РАСПРЕДЕЛЕНИЕ</t>
  </si>
  <si>
    <t>расходов бюджета муниципального образования  "Онгудайский район" на 2012 год                                           по разделам и подразделам   классификации расходов бюджетов Российской Федерации</t>
  </si>
  <si>
    <t>Наименование разделов и подразделов</t>
  </si>
  <si>
    <t>Сумма на  2012 г.</t>
  </si>
  <si>
    <t xml:space="preserve">Изменения и дополнения </t>
  </si>
  <si>
    <t>Сумма на утверждение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</si>
  <si>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</si>
  <si>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</si>
  <si>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</si>
  <si>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</si>
  <si>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</si>
  <si>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</si>
  <si>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</si>
  <si>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</si>
  <si>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</si>
  <si>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</si>
  <si>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</si>
  <si>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</si>
  <si>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</si>
  <si>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</si>
  <si>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</si>
  <si>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</si>
  <si>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</si>
  <si>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</si>
  <si>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</si>
  <si>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</si>
  <si>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</si>
  <si>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</si>
  <si>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</si>
  <si>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</si>
  <si>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</si>
  <si>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</si>
  <si>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</si>
  <si>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</si>
  <si>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</si>
  <si>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</si>
  <si>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</si>
  <si>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</si>
  <si>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</si>
  <si>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</si>
  <si>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</si>
  <si>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</si>
  <si>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</si>
  <si>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</si>
  <si>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</si>
  <si>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</si>
  <si>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</si>
  <si>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</si>
  <si>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</si>
  <si>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</si>
  <si>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</si>
  <si>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</si>
  <si>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</si>
  <si>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</si>
  <si>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</si>
  <si>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</si>
  <si>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</si>
  <si>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</si>
  <si>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</si>
  <si>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</si>
  <si>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</si>
  <si>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</si>
  <si>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</si>
  <si>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</si>
  <si>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</si>
  <si>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</si>
  <si>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</si>
  <si>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</si>
  <si>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</si>
  <si>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</si>
  <si>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</si>
  <si>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</si>
  <si>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</si>
  <si>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</si>
  <si>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</si>
  <si>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</si>
  <si>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</si>
  <si>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</si>
  <si>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</si>
  <si>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</si>
  <si>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</si>
  <si>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</si>
  <si>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</si>
  <si>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>Ведомственная структура  расходов бюджета муниципального образования "Онгудайский район"                                     на 2012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</si>
  <si>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</si>
  <si>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</si>
  <si>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</si>
  <si>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</si>
  <si>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2012г (тыс.руб.)</t>
  </si>
  <si>
    <t>Сумма на утверждение  c учетом изменений 2012г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</si>
  <si>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</si>
  <si>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</si>
  <si>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0"/>
        <rFont val="Times New Roman"/>
        <family val="1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</si>
  <si>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</si>
  <si>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</si>
  <si>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</si>
  <si>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</si>
  <si>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А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</si>
  <si>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</si>
  <si>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</si>
  <si>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</si>
  <si>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</si>
  <si>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</si>
  <si>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</si>
  <si>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</si>
  <si>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</si>
  <si>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</si>
  <si>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</si>
  <si>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</si>
  <si>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</si>
  <si>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</si>
  <si>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</si>
  <si>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</si>
  <si>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</si>
  <si>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</si>
  <si>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</si>
  <si>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</si>
  <si>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</si>
  <si>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</si>
  <si>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</si>
  <si>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</si>
  <si>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</si>
  <si>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</si>
  <si>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</si>
  <si>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</si>
  <si>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</si>
  <si>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</si>
  <si>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</si>
  <si>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</si>
  <si>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</si>
  <si>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</si>
  <si>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</si>
  <si>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</si>
  <si>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</si>
  <si>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</si>
  <si>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</si>
  <si>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</si>
  <si>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</si>
  <si>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</si>
  <si>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</si>
  <si>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</si>
  <si>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</si>
  <si>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</si>
  <si>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</si>
  <si>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</si>
  <si>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</si>
  <si>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</si>
  <si>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</si>
  <si>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</si>
  <si>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</si>
  <si>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</si>
  <si>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</si>
  <si>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</si>
  <si>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</si>
  <si>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</si>
  <si>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</si>
  <si>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</si>
  <si>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</si>
  <si>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</si>
  <si>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</si>
  <si>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</si>
  <si>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</si>
  <si>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</si>
  <si>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</si>
  <si>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</si>
  <si>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</si>
  <si>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</si>
  <si>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</si>
  <si>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</si>
  <si>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</si>
  <si>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</si>
  <si>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</si>
  <si>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</si>
  <si>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</si>
  <si>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</si>
  <si>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</si>
  <si>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</si>
  <si>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</si>
  <si>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</si>
  <si>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</si>
  <si>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</si>
  <si>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</si>
  <si>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</si>
  <si>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</si>
  <si>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</si>
  <si>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</si>
  <si>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</si>
  <si>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</si>
  <si>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</si>
  <si>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</si>
  <si>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</si>
  <si>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</si>
  <si>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</si>
  <si>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</si>
  <si>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</si>
  <si>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</si>
  <si>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</si>
  <si>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</si>
  <si>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</si>
  <si>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</si>
  <si>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</si>
  <si>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</si>
  <si>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</si>
  <si>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</si>
  <si>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</si>
  <si>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</si>
  <si>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</si>
  <si>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</si>
  <si>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</si>
  <si>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</si>
  <si>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</si>
  <si>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</si>
  <si>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</si>
  <si>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</si>
  <si>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</si>
  <si>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</si>
  <si>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</si>
  <si>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</si>
  <si>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</si>
  <si>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</si>
  <si>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</si>
  <si>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</si>
  <si>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</si>
  <si>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</si>
  <si>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</si>
  <si>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</si>
  <si>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</si>
  <si>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</si>
  <si>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</si>
  <si>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</si>
  <si>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</si>
  <si>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</si>
  <si>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</si>
  <si>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</si>
  <si>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</si>
  <si>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</si>
  <si>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</si>
  <si>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</si>
  <si>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</si>
  <si>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</si>
  <si>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</si>
  <si>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</si>
  <si>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</si>
  <si>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</si>
  <si>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</si>
  <si>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</si>
  <si>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</si>
  <si>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</si>
  <si>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</si>
  <si>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</si>
  <si>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</si>
  <si>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</si>
  <si>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</si>
  <si>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</si>
  <si>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</si>
  <si>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</si>
  <si>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</si>
  <si>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</si>
  <si>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</si>
  <si>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</si>
  <si>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</si>
  <si>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</si>
  <si>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</si>
  <si>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</si>
  <si>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</si>
  <si>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</si>
  <si>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</si>
  <si>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</si>
  <si>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</si>
  <si>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</si>
  <si>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</si>
  <si>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</si>
  <si>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</si>
  <si>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</si>
  <si>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</si>
  <si>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</si>
  <si>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</si>
  <si>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</si>
  <si>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</si>
  <si>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</si>
  <si>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</si>
  <si>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</si>
  <si>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</si>
  <si>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</si>
  <si>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</si>
  <si>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</si>
  <si>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</si>
  <si>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</si>
  <si>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</si>
  <si>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</si>
  <si>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</si>
  <si>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</si>
  <si>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</si>
  <si>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</si>
  <si>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</si>
  <si>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</si>
  <si>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</si>
  <si>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</si>
  <si>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</si>
  <si>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</si>
  <si>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</si>
  <si>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</si>
  <si>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</si>
  <si>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</si>
  <si>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</si>
  <si>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</si>
  <si>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</si>
  <si>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</si>
  <si>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</si>
  <si>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</si>
  <si>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</si>
  <si>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</si>
  <si>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</si>
  <si>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</si>
  <si>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</si>
  <si>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</si>
  <si>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</si>
  <si>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</si>
  <si>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</si>
  <si>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</si>
  <si>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</si>
  <si>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</si>
  <si>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</si>
  <si>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</si>
  <si>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</si>
  <si>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</si>
  <si>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</si>
  <si>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</si>
  <si>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</si>
  <si>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</si>
  <si>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</si>
  <si>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</si>
  <si>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</si>
  <si>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</si>
  <si>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</si>
  <si>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</si>
  <si>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</si>
  <si>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</si>
  <si>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</si>
  <si>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</si>
  <si>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</si>
  <si>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</si>
  <si>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</si>
  <si>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</si>
  <si>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</si>
  <si>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</si>
  <si>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</si>
  <si>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</si>
  <si>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</si>
  <si>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</si>
  <si>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</si>
  <si>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</si>
  <si>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</si>
  <si>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</si>
  <si>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</si>
  <si>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</si>
  <si>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</si>
  <si>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</si>
  <si>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</si>
  <si>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</si>
  <si>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</si>
  <si>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Выполнение функций  государственными учреждениями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</si>
  <si>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</si>
  <si>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</si>
  <si>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</si>
  <si>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</si>
  <si>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</si>
  <si>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</si>
  <si>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</si>
  <si>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</si>
  <si>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</si>
  <si>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</si>
  <si>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</si>
  <si>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</si>
  <si>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</si>
  <si>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</si>
  <si>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</si>
  <si>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</si>
  <si>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</si>
  <si>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</si>
  <si>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</si>
  <si>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</si>
  <si>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</si>
  <si>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</si>
  <si>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</si>
  <si>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</si>
  <si>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</si>
  <si>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</si>
  <si>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</si>
  <si>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</si>
  <si>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</si>
  <si>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</si>
  <si>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</si>
  <si>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</si>
  <si>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</si>
  <si>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</si>
  <si>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</si>
  <si>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</si>
  <si>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</si>
  <si>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</si>
  <si>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</si>
  <si>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</si>
  <si>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</si>
  <si>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</si>
  <si>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</si>
  <si>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</si>
  <si>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</si>
  <si>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</si>
  <si>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</si>
  <si>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</si>
  <si>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</si>
  <si>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</si>
  <si>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</si>
  <si>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</si>
  <si>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</si>
  <si>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</si>
  <si>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</si>
  <si>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</si>
  <si>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</si>
  <si>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</si>
  <si>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</si>
  <si>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</si>
  <si>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</si>
  <si>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</si>
  <si>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</si>
  <si>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</si>
  <si>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</si>
  <si>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</si>
  <si>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</si>
  <si>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</si>
  <si>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</si>
  <si>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</si>
  <si>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</si>
  <si>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</si>
  <si>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</si>
  <si>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</si>
  <si>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</si>
  <si>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</si>
  <si>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</si>
  <si>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</si>
  <si>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</si>
  <si>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</si>
  <si>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</si>
  <si>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</si>
  <si>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</si>
  <si>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</si>
  <si>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</si>
  <si>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</si>
  <si>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</si>
  <si>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</si>
  <si>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</si>
  <si>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</si>
  <si>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</si>
  <si>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</si>
  <si>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</si>
  <si>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</si>
  <si>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</si>
  <si>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</si>
  <si>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</si>
  <si>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</si>
  <si>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</si>
  <si>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</si>
  <si>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</si>
  <si>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</si>
  <si>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</si>
  <si>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</si>
  <si>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</si>
  <si>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</si>
  <si>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</si>
  <si>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</si>
  <si>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</si>
  <si>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</si>
  <si>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</si>
  <si>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</si>
  <si>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</si>
  <si>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</si>
  <si>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</si>
  <si>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</si>
  <si>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</si>
  <si>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</si>
  <si>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</si>
  <si>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</si>
  <si>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</si>
  <si>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</si>
  <si>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</si>
  <si>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</si>
  <si>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</si>
  <si>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</si>
  <si>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</si>
  <si>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</si>
  <si>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</si>
  <si>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</si>
  <si>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</si>
  <si>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</si>
  <si>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</si>
  <si>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</si>
  <si>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</si>
  <si>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</si>
  <si>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</si>
  <si>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</si>
  <si>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</si>
  <si>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</si>
  <si>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</si>
  <si>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</si>
  <si>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</si>
  <si>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</si>
  <si>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</si>
  <si>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</si>
  <si>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</si>
  <si>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</si>
  <si>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</si>
  <si>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</si>
  <si>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</si>
  <si>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</si>
  <si>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</si>
  <si>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</si>
  <si>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</si>
  <si>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</si>
  <si>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</si>
  <si>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</si>
  <si>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</si>
  <si>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</si>
  <si>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</si>
  <si>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</si>
  <si>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</si>
  <si>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</si>
  <si>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</si>
  <si>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</si>
  <si>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</si>
  <si>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</si>
  <si>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</si>
  <si>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</si>
  <si>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</si>
  <si>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>3450100</t>
  </si>
  <si>
    <t xml:space="preserve">Субсидии  для софинансирования муниципальных программ развития малого и среднего предпринимательства </t>
  </si>
  <si>
    <t>0923400</t>
  </si>
  <si>
    <t>Софинансирование из федерального бюджета РЦП "Энергосбережение и повышение  энергетической эффективности  РА на 2010-2015 годы"</t>
  </si>
  <si>
    <t xml:space="preserve"> Приложение 10</t>
  </si>
  <si>
    <t>Приложение 8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</si>
  <si>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04.06.012г № 33-2,от 11.10.2012г№ 35-1, от 29.11.2012г № 36-1)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</si>
  <si>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04.06.2012г №33-2, от 11.10.2012г№ 35-1, от 29.11.2012г №36-1)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</si>
</sst>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4" fillId="0" borderId="10" xfId="57" applyFont="1" applyFill="1" applyBorder="1" applyAlignment="1">
      <alignment wrapText="1"/>
      <protection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11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2" fontId="9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justify" vertical="top" wrapText="1" shrinkToFit="1"/>
      <protection/>
    </xf>
    <xf numFmtId="4" fontId="4" fillId="0" borderId="10" xfId="0" applyNumberFormat="1" applyFont="1" applyFill="1" applyBorder="1" applyAlignment="1">
      <alignment horizontal="justify" vertical="top" wrapText="1"/>
    </xf>
    <xf numFmtId="2" fontId="13" fillId="0" borderId="15" xfId="0" applyNumberFormat="1" applyFont="1" applyFill="1" applyBorder="1" applyAlignment="1">
      <alignment/>
    </xf>
    <xf numFmtId="2" fontId="13" fillId="0" borderId="27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justify" wrapText="1" shrinkToFit="1"/>
      <protection/>
    </xf>
    <xf numFmtId="2" fontId="3" fillId="0" borderId="27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 shrinkToFit="1"/>
    </xf>
    <xf numFmtId="2" fontId="3" fillId="0" borderId="28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justify" vertical="top" wrapText="1" shrinkToFi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justify" vertical="center" wrapText="1" shrinkToFit="1"/>
      <protection/>
    </xf>
    <xf numFmtId="49" fontId="4" fillId="0" borderId="10" xfId="54" applyNumberFormat="1" applyFont="1" applyFill="1" applyBorder="1" applyAlignment="1">
      <alignment horizontal="left" wrapText="1" shrinkToFit="1"/>
      <protection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2" fontId="9" fillId="0" borderId="15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179" fontId="4" fillId="0" borderId="10" xfId="72" applyNumberFormat="1" applyFont="1" applyFill="1" applyBorder="1" applyAlignment="1">
      <alignment horizontal="left" vertical="justify" wrapText="1"/>
    </xf>
    <xf numFmtId="2" fontId="3" fillId="0" borderId="13" xfId="55" applyNumberFormat="1" applyFont="1" applyFill="1" applyBorder="1">
      <alignment/>
      <protection/>
    </xf>
    <xf numFmtId="2" fontId="10" fillId="0" borderId="13" xfId="55" applyNumberFormat="1" applyFont="1" applyFill="1" applyBorder="1">
      <alignment/>
      <protection/>
    </xf>
    <xf numFmtId="179" fontId="5" fillId="0" borderId="10" xfId="72" applyNumberFormat="1" applyFont="1" applyFill="1" applyBorder="1" applyAlignment="1">
      <alignment wrapText="1"/>
    </xf>
    <xf numFmtId="2" fontId="9" fillId="0" borderId="13" xfId="55" applyNumberFormat="1" applyFont="1" applyFill="1" applyBorder="1">
      <alignment/>
      <protection/>
    </xf>
    <xf numFmtId="2" fontId="10" fillId="0" borderId="10" xfId="0" applyNumberFormat="1" applyFont="1" applyFill="1" applyBorder="1" applyAlignment="1">
      <alignment/>
    </xf>
    <xf numFmtId="2" fontId="9" fillId="0" borderId="15" xfId="55" applyNumberFormat="1" applyFont="1" applyFill="1" applyBorder="1">
      <alignment/>
      <protection/>
    </xf>
    <xf numFmtId="2" fontId="9" fillId="0" borderId="27" xfId="55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/>
      <protection/>
    </xf>
    <xf numFmtId="2" fontId="14" fillId="0" borderId="13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61" fillId="0" borderId="11" xfId="0" applyNumberFormat="1" applyFont="1" applyFill="1" applyBorder="1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2" fontId="9" fillId="0" borderId="22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center" wrapText="1"/>
      <protection/>
    </xf>
    <xf numFmtId="180" fontId="4" fillId="0" borderId="10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12" fillId="0" borderId="33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2" fontId="10" fillId="0" borderId="26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2" fontId="17" fillId="0" borderId="26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2" fontId="9" fillId="0" borderId="35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181" fontId="9" fillId="0" borderId="37" xfId="0" applyNumberFormat="1" applyFont="1" applyFill="1" applyBorder="1" applyAlignment="1">
      <alignment/>
    </xf>
    <xf numFmtId="49" fontId="10" fillId="0" borderId="38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2" fontId="12" fillId="0" borderId="36" xfId="0" applyNumberFormat="1" applyFont="1" applyFill="1" applyBorder="1" applyAlignment="1">
      <alignment/>
    </xf>
    <xf numFmtId="181" fontId="9" fillId="0" borderId="26" xfId="0" applyNumberFormat="1" applyFont="1" applyFill="1" applyBorder="1" applyAlignment="1">
      <alignment/>
    </xf>
    <xf numFmtId="2" fontId="18" fillId="0" borderId="3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/>
    </xf>
    <xf numFmtId="185" fontId="4" fillId="0" borderId="10" xfId="55" applyNumberFormat="1" applyFont="1" applyFill="1" applyBorder="1">
      <alignment/>
      <protection/>
    </xf>
    <xf numFmtId="185" fontId="9" fillId="0" borderId="35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5" fontId="9" fillId="0" borderId="36" xfId="0" applyNumberFormat="1" applyFont="1" applyFill="1" applyBorder="1" applyAlignment="1">
      <alignment/>
    </xf>
    <xf numFmtId="185" fontId="12" fillId="0" borderId="3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181" fontId="3" fillId="0" borderId="0" xfId="0" applyNumberFormat="1" applyFont="1" applyFill="1" applyAlignment="1">
      <alignment/>
    </xf>
    <xf numFmtId="0" fontId="4" fillId="0" borderId="40" xfId="0" applyFont="1" applyFill="1" applyBorder="1" applyAlignment="1">
      <alignment horizontal="justify" vertical="center" wrapText="1" shrinkToFit="1"/>
    </xf>
    <xf numFmtId="0" fontId="4" fillId="0" borderId="40" xfId="0" applyFont="1" applyFill="1" applyBorder="1" applyAlignment="1">
      <alignment horizontal="justify" vertical="top" wrapText="1" shrinkToFit="1"/>
    </xf>
    <xf numFmtId="0" fontId="4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2" fontId="12" fillId="0" borderId="41" xfId="55" applyNumberFormat="1" applyFont="1" applyFill="1" applyBorder="1">
      <alignment/>
      <protection/>
    </xf>
    <xf numFmtId="185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4" fillId="0" borderId="10" xfId="58" applyNumberFormat="1" applyFont="1" applyFill="1" applyBorder="1" applyAlignment="1">
      <alignment horizontal="left" wrapText="1"/>
      <protection/>
    </xf>
    <xf numFmtId="2" fontId="3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16" fillId="0" borderId="10" xfId="57" applyNumberFormat="1" applyFont="1" applyFill="1" applyBorder="1" applyAlignment="1">
      <alignment wrapText="1"/>
      <protection/>
    </xf>
    <xf numFmtId="0" fontId="4" fillId="0" borderId="10" xfId="57" applyFont="1" applyFill="1" applyBorder="1" applyAlignment="1">
      <alignment horizontal="left" wrapText="1"/>
      <protection/>
    </xf>
    <xf numFmtId="181" fontId="4" fillId="0" borderId="10" xfId="0" applyNumberFormat="1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left"/>
    </xf>
    <xf numFmtId="2" fontId="3" fillId="0" borderId="29" xfId="0" applyNumberFormat="1" applyFont="1" applyFill="1" applyBorder="1" applyAlignment="1">
      <alignment horizontal="left"/>
    </xf>
    <xf numFmtId="2" fontId="9" fillId="0" borderId="32" xfId="0" applyNumberFormat="1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/>
    </xf>
    <xf numFmtId="182" fontId="12" fillId="0" borderId="43" xfId="0" applyNumberFormat="1" applyFont="1" applyFill="1" applyBorder="1" applyAlignment="1">
      <alignment/>
    </xf>
    <xf numFmtId="2" fontId="12" fillId="0" borderId="44" xfId="0" applyNumberFormat="1" applyFont="1" applyFill="1" applyBorder="1" applyAlignment="1">
      <alignment/>
    </xf>
    <xf numFmtId="18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82" fontId="16" fillId="0" borderId="10" xfId="0" applyNumberFormat="1" applyFont="1" applyFill="1" applyBorder="1" applyAlignment="1">
      <alignment/>
    </xf>
    <xf numFmtId="49" fontId="9" fillId="0" borderId="3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9" fillId="0" borderId="36" xfId="0" applyNumberFormat="1" applyFont="1" applyFill="1" applyBorder="1" applyAlignment="1">
      <alignment/>
    </xf>
    <xf numFmtId="49" fontId="17" fillId="0" borderId="38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49" fontId="9" fillId="0" borderId="37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/>
    </xf>
    <xf numFmtId="49" fontId="10" fillId="0" borderId="38" xfId="58" applyNumberFormat="1" applyFont="1" applyFill="1" applyBorder="1" applyAlignment="1">
      <alignment horizontal="center"/>
      <protection/>
    </xf>
    <xf numFmtId="181" fontId="9" fillId="0" borderId="35" xfId="0" applyNumberFormat="1" applyFont="1" applyFill="1" applyBorder="1" applyAlignment="1">
      <alignment/>
    </xf>
    <xf numFmtId="49" fontId="12" fillId="0" borderId="36" xfId="0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0" fillId="0" borderId="38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/>
    </xf>
    <xf numFmtId="181" fontId="9" fillId="0" borderId="39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185" fontId="16" fillId="0" borderId="0" xfId="0" applyNumberFormat="1" applyFont="1" applyFill="1" applyAlignment="1">
      <alignment/>
    </xf>
    <xf numFmtId="0" fontId="0" fillId="0" borderId="30" xfId="0" applyBorder="1" applyAlignment="1">
      <alignment/>
    </xf>
    <xf numFmtId="0" fontId="3" fillId="0" borderId="0" xfId="0" applyFont="1" applyFill="1" applyAlignment="1">
      <alignment/>
    </xf>
    <xf numFmtId="181" fontId="4" fillId="0" borderId="0" xfId="58" applyNumberFormat="1" applyFont="1">
      <alignment/>
      <protection/>
    </xf>
    <xf numFmtId="0" fontId="5" fillId="0" borderId="30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0" xfId="55" applyNumberFormat="1" applyFont="1" applyFill="1" applyBorder="1">
      <alignment/>
      <protection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2" fillId="0" borderId="0" xfId="0" applyFont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/>
    </xf>
    <xf numFmtId="185" fontId="4" fillId="0" borderId="13" xfId="55" applyNumberFormat="1" applyFont="1" applyFill="1" applyBorder="1">
      <alignment/>
      <protection/>
    </xf>
    <xf numFmtId="185" fontId="4" fillId="0" borderId="15" xfId="55" applyNumberFormat="1" applyFont="1" applyFill="1" applyBorder="1">
      <alignment/>
      <protection/>
    </xf>
    <xf numFmtId="2" fontId="9" fillId="0" borderId="24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0" fontId="19" fillId="0" borderId="46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2" fontId="63" fillId="0" borderId="13" xfId="0" applyNumberFormat="1" applyFont="1" applyFill="1" applyBorder="1" applyAlignment="1">
      <alignment/>
    </xf>
    <xf numFmtId="2" fontId="63" fillId="0" borderId="14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179" fontId="4" fillId="0" borderId="10" xfId="68" applyNumberFormat="1" applyFont="1" applyFill="1" applyBorder="1" applyAlignment="1">
      <alignment horizontal="left" vertical="justify" wrapText="1"/>
    </xf>
    <xf numFmtId="184" fontId="4" fillId="0" borderId="10" xfId="55" applyNumberFormat="1" applyFont="1" applyFill="1" applyBorder="1" applyAlignment="1">
      <alignment/>
      <protection/>
    </xf>
    <xf numFmtId="179" fontId="4" fillId="0" borderId="10" xfId="72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12" fillId="0" borderId="47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9" fillId="0" borderId="35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17" fillId="0" borderId="26" xfId="0" applyNumberFormat="1" applyFont="1" applyFill="1" applyBorder="1" applyAlignment="1">
      <alignment/>
    </xf>
    <xf numFmtId="2" fontId="17" fillId="0" borderId="34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2" fontId="12" fillId="0" borderId="36" xfId="0" applyNumberFormat="1" applyFont="1" applyFill="1" applyBorder="1" applyAlignment="1">
      <alignment/>
    </xf>
    <xf numFmtId="2" fontId="18" fillId="0" borderId="39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0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2" fontId="2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7">
      <selection activeCell="E12" sqref="E12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6" width="11.28125" style="1" customWidth="1"/>
    <col min="7" max="7" width="8.8515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285" t="s">
        <v>541</v>
      </c>
      <c r="D2" s="286"/>
      <c r="E2" s="286"/>
      <c r="F2" s="4"/>
      <c r="G2" s="4"/>
      <c r="H2" s="4"/>
    </row>
    <row r="3" spans="1:8" ht="39.75" customHeight="1">
      <c r="A3" s="3"/>
      <c r="C3" s="287" t="s">
        <v>542</v>
      </c>
      <c r="D3" s="287"/>
      <c r="E3" s="287"/>
      <c r="F3" s="287"/>
      <c r="G3" s="6"/>
      <c r="H3" s="6"/>
    </row>
    <row r="4" spans="1:6" ht="9" customHeight="1">
      <c r="A4" s="3"/>
      <c r="B4" s="5"/>
      <c r="C4" s="5"/>
      <c r="D4" s="5"/>
      <c r="E4" s="6"/>
      <c r="F4" s="6"/>
    </row>
    <row r="5" spans="1:6" ht="12.75">
      <c r="A5" s="288" t="s">
        <v>3</v>
      </c>
      <c r="B5" s="289"/>
      <c r="C5" s="289"/>
      <c r="D5" s="290"/>
      <c r="E5" s="291"/>
      <c r="F5" s="291"/>
    </row>
    <row r="6" spans="1:6" ht="27.75" customHeight="1">
      <c r="A6" s="292" t="s">
        <v>4</v>
      </c>
      <c r="B6" s="293"/>
      <c r="C6" s="293"/>
      <c r="D6" s="293"/>
      <c r="E6" s="293"/>
      <c r="F6" s="293"/>
    </row>
    <row r="7" spans="1:6" ht="12.75">
      <c r="A7" s="220"/>
      <c r="B7" s="217"/>
      <c r="C7" s="217"/>
      <c r="D7" s="217"/>
      <c r="E7" s="217"/>
      <c r="F7" s="217" t="s">
        <v>2</v>
      </c>
    </row>
    <row r="8" spans="1:6" ht="41.25" customHeight="1">
      <c r="A8" s="7" t="s">
        <v>5</v>
      </c>
      <c r="B8" s="7" t="s">
        <v>96</v>
      </c>
      <c r="C8" s="7" t="s">
        <v>97</v>
      </c>
      <c r="D8" s="7" t="s">
        <v>6</v>
      </c>
      <c r="E8" s="8" t="s">
        <v>7</v>
      </c>
      <c r="F8" s="7" t="s">
        <v>8</v>
      </c>
    </row>
    <row r="9" spans="1:7" ht="15" customHeight="1">
      <c r="A9" s="9" t="s">
        <v>9</v>
      </c>
      <c r="B9" s="284" t="s">
        <v>10</v>
      </c>
      <c r="C9" s="284"/>
      <c r="D9" s="11">
        <f>D10+D11+D12+D13+D14+D15+D16+D17</f>
        <v>26217.07409</v>
      </c>
      <c r="E9" s="16">
        <f>E10+E11+E12+E13+E14+E15+E16+E17</f>
        <v>24.144020000000012</v>
      </c>
      <c r="F9" s="11">
        <f>F10+F11+F12+F13+F14+F15+F16+F17</f>
        <v>26241.21811</v>
      </c>
      <c r="G9" s="219">
        <f>F9/309430.22*100</f>
        <v>8.480496219793917</v>
      </c>
    </row>
    <row r="10" spans="1:6" ht="21.75" customHeight="1">
      <c r="A10" s="12" t="s">
        <v>466</v>
      </c>
      <c r="B10" s="13" t="s">
        <v>11</v>
      </c>
      <c r="C10" s="13" t="s">
        <v>12</v>
      </c>
      <c r="D10" s="14">
        <f>'прил10 (2012 '!J581</f>
        <v>1109.992</v>
      </c>
      <c r="E10" s="14">
        <f>'прил10 (2012 '!K581</f>
        <v>60.01</v>
      </c>
      <c r="F10" s="14">
        <f>'прил10 (2012 '!L581</f>
        <v>1170.002</v>
      </c>
    </row>
    <row r="11" spans="1:6" ht="25.5" customHeight="1">
      <c r="A11" s="12" t="s">
        <v>467</v>
      </c>
      <c r="B11" s="13" t="s">
        <v>11</v>
      </c>
      <c r="C11" s="13" t="s">
        <v>13</v>
      </c>
      <c r="D11" s="14">
        <f>'прил10 (2012 '!J582</f>
        <v>1382.1100000000001</v>
      </c>
      <c r="E11" s="14">
        <f>'прил10 (2012 '!K582</f>
        <v>164.573</v>
      </c>
      <c r="F11" s="14">
        <f>'прил10 (2012 '!L582</f>
        <v>1546.683</v>
      </c>
    </row>
    <row r="12" spans="1:6" ht="15" customHeight="1">
      <c r="A12" s="12" t="s">
        <v>468</v>
      </c>
      <c r="B12" s="13" t="s">
        <v>11</v>
      </c>
      <c r="C12" s="13" t="s">
        <v>14</v>
      </c>
      <c r="D12" s="14">
        <f>'прил10 (2012 '!J583</f>
        <v>17566.47328</v>
      </c>
      <c r="E12" s="14">
        <f>'прил10 (2012 '!K583</f>
        <v>-239.03448999999998</v>
      </c>
      <c r="F12" s="14">
        <f>'прил10 (2012 '!L583</f>
        <v>17327.43879</v>
      </c>
    </row>
    <row r="13" spans="1:6" ht="15" customHeight="1">
      <c r="A13" s="12" t="s">
        <v>15</v>
      </c>
      <c r="B13" s="13" t="s">
        <v>11</v>
      </c>
      <c r="C13" s="13" t="s">
        <v>16</v>
      </c>
      <c r="D13" s="14">
        <f>'прил10 (2012 '!J584</f>
        <v>11.7</v>
      </c>
      <c r="E13" s="14">
        <f>'прил10 (2012 '!K584</f>
        <v>0</v>
      </c>
      <c r="F13" s="14">
        <f>'прил10 (2012 '!L584</f>
        <v>11.7</v>
      </c>
    </row>
    <row r="14" spans="1:6" ht="28.5" customHeight="1">
      <c r="A14" s="12" t="s">
        <v>469</v>
      </c>
      <c r="B14" s="13" t="s">
        <v>11</v>
      </c>
      <c r="C14" s="13" t="s">
        <v>17</v>
      </c>
      <c r="D14" s="14">
        <f>'прил10 (2012 '!J585</f>
        <v>4556.81881</v>
      </c>
      <c r="E14" s="14">
        <f>'прил10 (2012 '!K585</f>
        <v>54.09551</v>
      </c>
      <c r="F14" s="14">
        <f>'прил10 (2012 '!L585</f>
        <v>4610.91432</v>
      </c>
    </row>
    <row r="15" spans="1:6" ht="15" customHeight="1">
      <c r="A15" s="12" t="s">
        <v>18</v>
      </c>
      <c r="B15" s="13" t="s">
        <v>11</v>
      </c>
      <c r="C15" s="13" t="s">
        <v>19</v>
      </c>
      <c r="D15" s="14">
        <f>'прил10 (2012 '!J586</f>
        <v>0</v>
      </c>
      <c r="E15" s="14">
        <f>'прил10 (2012 '!K586</f>
        <v>0</v>
      </c>
      <c r="F15" s="14">
        <f>'прил10 (2012 '!L586</f>
        <v>0</v>
      </c>
    </row>
    <row r="16" spans="1:6" ht="15" customHeight="1">
      <c r="A16" s="12" t="s">
        <v>20</v>
      </c>
      <c r="B16" s="13" t="s">
        <v>11</v>
      </c>
      <c r="C16" s="13" t="s">
        <v>21</v>
      </c>
      <c r="D16" s="14">
        <f>'прил10 (2012 '!J588</f>
        <v>225.18</v>
      </c>
      <c r="E16" s="14">
        <f>'прил10 (2012 '!K588</f>
        <v>-105</v>
      </c>
      <c r="F16" s="14">
        <f>'прил10 (2012 '!L588</f>
        <v>120.18</v>
      </c>
    </row>
    <row r="17" spans="1:6" ht="15" customHeight="1">
      <c r="A17" s="82" t="s">
        <v>24</v>
      </c>
      <c r="B17" s="13" t="s">
        <v>11</v>
      </c>
      <c r="C17" s="13" t="s">
        <v>23</v>
      </c>
      <c r="D17" s="14">
        <f>'прил10 (2012 '!J590</f>
        <v>1364.8</v>
      </c>
      <c r="E17" s="14">
        <f>'прил10 (2012 '!K590</f>
        <v>89.5</v>
      </c>
      <c r="F17" s="14">
        <f>'прил10 (2012 '!L590</f>
        <v>1454.3</v>
      </c>
    </row>
    <row r="18" spans="1:7" ht="15" customHeight="1">
      <c r="A18" s="9" t="s">
        <v>26</v>
      </c>
      <c r="B18" s="284" t="s">
        <v>27</v>
      </c>
      <c r="C18" s="284"/>
      <c r="D18" s="15">
        <f>D19</f>
        <v>562.6</v>
      </c>
      <c r="E18" s="15">
        <f>E19</f>
        <v>0</v>
      </c>
      <c r="F18" s="15">
        <f>F19</f>
        <v>562.6</v>
      </c>
      <c r="G18" s="219">
        <f>F18/309430.22*100</f>
        <v>0.18181805254832578</v>
      </c>
    </row>
    <row r="19" spans="1:6" ht="15" customHeight="1">
      <c r="A19" s="12" t="s">
        <v>28</v>
      </c>
      <c r="B19" s="13" t="s">
        <v>12</v>
      </c>
      <c r="C19" s="13" t="s">
        <v>13</v>
      </c>
      <c r="D19" s="14">
        <f>'прил10 (2012 '!J593</f>
        <v>562.6</v>
      </c>
      <c r="E19" s="14">
        <f>'прил10 (2012 '!K593</f>
        <v>0</v>
      </c>
      <c r="F19" s="14">
        <f>'прил10 (2012 '!L593</f>
        <v>562.6</v>
      </c>
    </row>
    <row r="20" spans="1:7" ht="15" customHeight="1">
      <c r="A20" s="9" t="s">
        <v>29</v>
      </c>
      <c r="B20" s="284" t="s">
        <v>30</v>
      </c>
      <c r="C20" s="284"/>
      <c r="D20" s="16">
        <f>SUM(D21:D23)</f>
        <v>200</v>
      </c>
      <c r="E20" s="16">
        <f>SUM(E21:E23)</f>
        <v>371.8</v>
      </c>
      <c r="F20" s="16">
        <f>SUM(F21:F23)</f>
        <v>571.8</v>
      </c>
      <c r="G20" s="219">
        <f>F20/309430.22*100</f>
        <v>0.1847912592377047</v>
      </c>
    </row>
    <row r="21" spans="1:6" ht="15" customHeight="1">
      <c r="A21" s="12" t="s">
        <v>31</v>
      </c>
      <c r="B21" s="13" t="s">
        <v>13</v>
      </c>
      <c r="C21" s="13" t="s">
        <v>12</v>
      </c>
      <c r="D21" s="14">
        <f>'прил10 (2012 '!J595</f>
        <v>0</v>
      </c>
      <c r="E21" s="14">
        <f>'прил10 (2012 '!K595</f>
        <v>0</v>
      </c>
      <c r="F21" s="14">
        <f>'прил10 (2012 '!L595</f>
        <v>0</v>
      </c>
    </row>
    <row r="22" spans="1:6" ht="25.5" customHeight="1">
      <c r="A22" s="12" t="s">
        <v>32</v>
      </c>
      <c r="B22" s="13" t="s">
        <v>13</v>
      </c>
      <c r="C22" s="13" t="s">
        <v>33</v>
      </c>
      <c r="D22" s="14">
        <f>'прил10 (2012 '!J596</f>
        <v>175</v>
      </c>
      <c r="E22" s="14">
        <f>'прил10 (2012 '!K596</f>
        <v>352.8</v>
      </c>
      <c r="F22" s="14">
        <f>'прил10 (2012 '!L596</f>
        <v>527.8</v>
      </c>
    </row>
    <row r="23" spans="1:6" ht="15" customHeight="1">
      <c r="A23" s="12" t="s">
        <v>34</v>
      </c>
      <c r="B23" s="13" t="s">
        <v>13</v>
      </c>
      <c r="C23" s="13" t="s">
        <v>25</v>
      </c>
      <c r="D23" s="14">
        <f>'прил10 (2012 '!J597</f>
        <v>25</v>
      </c>
      <c r="E23" s="14">
        <f>'прил10 (2012 '!K597</f>
        <v>19</v>
      </c>
      <c r="F23" s="14">
        <f>'прил10 (2012 '!L597</f>
        <v>44</v>
      </c>
    </row>
    <row r="24" spans="1:7" ht="15" customHeight="1">
      <c r="A24" s="9" t="s">
        <v>35</v>
      </c>
      <c r="B24" s="284" t="s">
        <v>36</v>
      </c>
      <c r="C24" s="284"/>
      <c r="D24" s="16">
        <f>SUM(D25:D28)</f>
        <v>14550.72</v>
      </c>
      <c r="E24" s="16">
        <f>SUM(E25:E28)</f>
        <v>5499.996</v>
      </c>
      <c r="F24" s="16">
        <f>SUM(F25:F28)</f>
        <v>20050.716</v>
      </c>
      <c r="G24" s="219">
        <f>F24/309430.22*100</f>
        <v>6.479882928047559</v>
      </c>
    </row>
    <row r="25" spans="1:6" ht="15" customHeight="1">
      <c r="A25" s="12" t="s">
        <v>37</v>
      </c>
      <c r="B25" s="13" t="s">
        <v>14</v>
      </c>
      <c r="C25" s="13" t="s">
        <v>11</v>
      </c>
      <c r="D25" s="14"/>
      <c r="E25" s="14"/>
      <c r="F25" s="14"/>
    </row>
    <row r="26" spans="1:6" ht="15" customHeight="1">
      <c r="A26" s="12" t="s">
        <v>38</v>
      </c>
      <c r="B26" s="13" t="s">
        <v>14</v>
      </c>
      <c r="C26" s="13" t="s">
        <v>16</v>
      </c>
      <c r="D26" s="14">
        <f>'прил10 (2012 '!J599</f>
        <v>445</v>
      </c>
      <c r="E26" s="14">
        <f>'прил10 (2012 '!K599</f>
        <v>0</v>
      </c>
      <c r="F26" s="14">
        <f>'прил10 (2012 '!L599</f>
        <v>445</v>
      </c>
    </row>
    <row r="27" spans="1:6" ht="15" customHeight="1">
      <c r="A27" s="12" t="s">
        <v>511</v>
      </c>
      <c r="B27" s="13" t="s">
        <v>14</v>
      </c>
      <c r="C27" s="13" t="s">
        <v>33</v>
      </c>
      <c r="D27" s="14">
        <f>'прил10 (2012 '!J600</f>
        <v>3949.65</v>
      </c>
      <c r="E27" s="14">
        <f>'прил10 (2012 '!K600</f>
        <v>0</v>
      </c>
      <c r="F27" s="14">
        <f>'прил10 (2012 '!L600</f>
        <v>3949.65</v>
      </c>
    </row>
    <row r="28" spans="1:6" ht="15" customHeight="1">
      <c r="A28" s="12" t="s">
        <v>40</v>
      </c>
      <c r="B28" s="13" t="s">
        <v>14</v>
      </c>
      <c r="C28" s="13" t="s">
        <v>22</v>
      </c>
      <c r="D28" s="14">
        <f>'прил10 (2012 '!J602</f>
        <v>10156.07</v>
      </c>
      <c r="E28" s="14">
        <f>'прил10 (2012 '!K602</f>
        <v>5499.996</v>
      </c>
      <c r="F28" s="14">
        <f>'прил10 (2012 '!L602</f>
        <v>15656.065999999999</v>
      </c>
    </row>
    <row r="29" spans="1:7" ht="15" customHeight="1">
      <c r="A29" s="9" t="s">
        <v>41</v>
      </c>
      <c r="B29" s="284" t="s">
        <v>42</v>
      </c>
      <c r="C29" s="284"/>
      <c r="D29" s="16">
        <f>SUM(D30:D32)</f>
        <v>30804.5113</v>
      </c>
      <c r="E29" s="16">
        <f>SUM(E30:E32)</f>
        <v>135.159</v>
      </c>
      <c r="F29" s="16">
        <f>SUM(F30:F32)</f>
        <v>30939.670299999998</v>
      </c>
      <c r="G29" s="219">
        <f>F29/309430.22*100</f>
        <v>9.99891681555861</v>
      </c>
    </row>
    <row r="30" spans="1:6" ht="15" customHeight="1">
      <c r="A30" s="12" t="s">
        <v>43</v>
      </c>
      <c r="B30" s="13" t="s">
        <v>16</v>
      </c>
      <c r="C30" s="13" t="s">
        <v>11</v>
      </c>
      <c r="D30" s="14">
        <f>'прил10 (2012 '!J604</f>
        <v>14347.462</v>
      </c>
      <c r="E30" s="14">
        <f>'прил10 (2012 '!K604</f>
        <v>0</v>
      </c>
      <c r="F30" s="14">
        <f>'прил10 (2012 '!L604</f>
        <v>14347.462</v>
      </c>
    </row>
    <row r="31" spans="1:6" ht="15" customHeight="1">
      <c r="A31" s="12" t="s">
        <v>44</v>
      </c>
      <c r="B31" s="13" t="s">
        <v>16</v>
      </c>
      <c r="C31" s="13" t="s">
        <v>12</v>
      </c>
      <c r="D31" s="14">
        <f>'прил10 (2012 '!J605</f>
        <v>15417.0493</v>
      </c>
      <c r="E31" s="14">
        <f>'прил10 (2012 '!K605</f>
        <v>-79.131</v>
      </c>
      <c r="F31" s="14">
        <f>'прил10 (2012 '!L605</f>
        <v>15337.9183</v>
      </c>
    </row>
    <row r="32" spans="1:6" ht="15" customHeight="1">
      <c r="A32" s="12" t="s">
        <v>45</v>
      </c>
      <c r="B32" s="13" t="s">
        <v>16</v>
      </c>
      <c r="C32" s="13" t="s">
        <v>13</v>
      </c>
      <c r="D32" s="14">
        <f>'прил10 (2012 '!J606</f>
        <v>1040</v>
      </c>
      <c r="E32" s="14">
        <f>'прил10 (2012 '!K606</f>
        <v>214.29</v>
      </c>
      <c r="F32" s="14">
        <f>'прил10 (2012 '!L606</f>
        <v>1254.29</v>
      </c>
    </row>
    <row r="33" spans="1:7" ht="15" customHeight="1">
      <c r="A33" s="9" t="s">
        <v>46</v>
      </c>
      <c r="B33" s="284" t="s">
        <v>47</v>
      </c>
      <c r="C33" s="284"/>
      <c r="D33" s="16">
        <f>SUM(D34:D38)</f>
        <v>296497.94894000003</v>
      </c>
      <c r="E33" s="16">
        <f>SUM(E34:E38)</f>
        <v>3592.411</v>
      </c>
      <c r="F33" s="16">
        <f>SUM(F34:F38)</f>
        <v>300090.35994000005</v>
      </c>
      <c r="G33" s="219">
        <f>F33/309430.22*100</f>
        <v>96.98159408605923</v>
      </c>
    </row>
    <row r="34" spans="1:6" ht="15" customHeight="1">
      <c r="A34" s="12" t="s">
        <v>48</v>
      </c>
      <c r="B34" s="13" t="s">
        <v>19</v>
      </c>
      <c r="C34" s="13" t="s">
        <v>11</v>
      </c>
      <c r="D34" s="14">
        <f>'прил10 (2012 '!J609</f>
        <v>11202.2</v>
      </c>
      <c r="E34" s="14">
        <f>'прил10 (2012 '!K609</f>
        <v>1000</v>
      </c>
      <c r="F34" s="14">
        <f>'прил10 (2012 '!L609</f>
        <v>12202.2</v>
      </c>
    </row>
    <row r="35" spans="1:6" ht="15" customHeight="1">
      <c r="A35" s="12" t="s">
        <v>49</v>
      </c>
      <c r="B35" s="13" t="s">
        <v>19</v>
      </c>
      <c r="C35" s="13" t="s">
        <v>12</v>
      </c>
      <c r="D35" s="14">
        <f>'прил10 (2012 '!J610</f>
        <v>274814.90994000004</v>
      </c>
      <c r="E35" s="14">
        <f>'прил10 (2012 '!K610</f>
        <v>2564</v>
      </c>
      <c r="F35" s="14">
        <f>'прил10 (2012 '!L610</f>
        <v>277378.90994000004</v>
      </c>
    </row>
    <row r="36" spans="1:6" ht="15" customHeight="1">
      <c r="A36" s="12" t="s">
        <v>50</v>
      </c>
      <c r="B36" s="13" t="s">
        <v>19</v>
      </c>
      <c r="C36" s="13" t="s">
        <v>16</v>
      </c>
      <c r="D36" s="14">
        <f>'прил10 (2012 '!J611</f>
        <v>400</v>
      </c>
      <c r="E36" s="14">
        <f>'прил10 (2012 '!K611</f>
        <v>0</v>
      </c>
      <c r="F36" s="14">
        <f>'прил10 (2012 '!L611</f>
        <v>400</v>
      </c>
    </row>
    <row r="37" spans="1:6" ht="15" customHeight="1">
      <c r="A37" s="12" t="s">
        <v>51</v>
      </c>
      <c r="B37" s="13" t="s">
        <v>19</v>
      </c>
      <c r="C37" s="13" t="s">
        <v>19</v>
      </c>
      <c r="D37" s="14">
        <f>'прил10 (2012 '!J612</f>
        <v>2169.261</v>
      </c>
      <c r="E37" s="14">
        <f>'прил10 (2012 '!K612</f>
        <v>8.411</v>
      </c>
      <c r="F37" s="14">
        <f>'прил10 (2012 '!L612</f>
        <v>2177.672</v>
      </c>
    </row>
    <row r="38" spans="1:6" ht="15" customHeight="1">
      <c r="A38" s="12" t="s">
        <v>52</v>
      </c>
      <c r="B38" s="13" t="s">
        <v>19</v>
      </c>
      <c r="C38" s="13" t="s">
        <v>33</v>
      </c>
      <c r="D38" s="14">
        <f>'прил10 (2012 '!J613</f>
        <v>7911.578</v>
      </c>
      <c r="E38" s="14">
        <f>'прил10 (2012 '!K613</f>
        <v>20</v>
      </c>
      <c r="F38" s="14">
        <f>'прил10 (2012 '!L613</f>
        <v>7931.578</v>
      </c>
    </row>
    <row r="39" spans="1:7" ht="15" customHeight="1">
      <c r="A39" s="9" t="s">
        <v>53</v>
      </c>
      <c r="B39" s="284" t="s">
        <v>54</v>
      </c>
      <c r="C39" s="284"/>
      <c r="D39" s="16">
        <f>SUM(D40:D42)</f>
        <v>10531.57624</v>
      </c>
      <c r="E39" s="16">
        <f>SUM(E40:E42)</f>
        <v>1227.106</v>
      </c>
      <c r="F39" s="16">
        <f>SUM(F40:F42)</f>
        <v>11758.68224</v>
      </c>
      <c r="G39" s="219">
        <f>F39/309430.22*100</f>
        <v>3.8001079015488535</v>
      </c>
    </row>
    <row r="40" spans="1:6" ht="15" customHeight="1">
      <c r="A40" s="12" t="s">
        <v>55</v>
      </c>
      <c r="B40" s="13" t="s">
        <v>39</v>
      </c>
      <c r="C40" s="13" t="s">
        <v>11</v>
      </c>
      <c r="D40" s="14">
        <f>'прил10 (2012 '!J615</f>
        <v>7646.72724</v>
      </c>
      <c r="E40" s="14">
        <f>'прил10 (2012 '!K615</f>
        <v>892.53</v>
      </c>
      <c r="F40" s="14">
        <f>'прил10 (2012 '!L615</f>
        <v>8539.25724</v>
      </c>
    </row>
    <row r="41" spans="1:6" ht="15" customHeight="1">
      <c r="A41" s="12" t="s">
        <v>56</v>
      </c>
      <c r="B41" s="13" t="s">
        <v>39</v>
      </c>
      <c r="C41" s="13" t="s">
        <v>14</v>
      </c>
      <c r="D41" s="14">
        <f>'прил10 (2012 '!J616</f>
        <v>0</v>
      </c>
      <c r="E41" s="14">
        <f>'прил10 (2012 '!K616</f>
        <v>0</v>
      </c>
      <c r="F41" s="14">
        <f>'прил10 (2012 '!L616</f>
        <v>0</v>
      </c>
    </row>
    <row r="42" spans="1:6" ht="15" customHeight="1">
      <c r="A42" s="12" t="s">
        <v>57</v>
      </c>
      <c r="B42" s="13" t="s">
        <v>39</v>
      </c>
      <c r="C42" s="13" t="s">
        <v>14</v>
      </c>
      <c r="D42" s="14">
        <f>'прил10 (2012 '!J617</f>
        <v>2884.8489999999997</v>
      </c>
      <c r="E42" s="14">
        <f>'прил10 (2012 '!K617</f>
        <v>334.57599999999996</v>
      </c>
      <c r="F42" s="14">
        <f>'прил10 (2012 '!L617</f>
        <v>3219.4249999999997</v>
      </c>
    </row>
    <row r="43" spans="1:7" ht="15" customHeight="1">
      <c r="A43" s="9" t="s">
        <v>58</v>
      </c>
      <c r="B43" s="284" t="s">
        <v>59</v>
      </c>
      <c r="C43" s="284"/>
      <c r="D43" s="16">
        <f>SUM(D44:D47)</f>
        <v>490</v>
      </c>
      <c r="E43" s="16">
        <f>SUM(E44:E47)</f>
        <v>0</v>
      </c>
      <c r="F43" s="16">
        <f>SUM(F44:F47)</f>
        <v>490</v>
      </c>
      <c r="G43" s="219">
        <f>F43/309430.22*100</f>
        <v>0.15835557367344405</v>
      </c>
    </row>
    <row r="44" spans="1:6" ht="15" customHeight="1">
      <c r="A44" s="12" t="s">
        <v>60</v>
      </c>
      <c r="B44" s="13" t="s">
        <v>33</v>
      </c>
      <c r="C44" s="13" t="s">
        <v>11</v>
      </c>
      <c r="D44" s="14">
        <f>'прил10 (2012 '!J620</f>
        <v>0</v>
      </c>
      <c r="E44" s="14">
        <f>'прил10 (2012 '!K620</f>
        <v>0</v>
      </c>
      <c r="F44" s="14">
        <f>'прил10 (2012 '!L620</f>
        <v>0</v>
      </c>
    </row>
    <row r="45" spans="1:6" ht="15" customHeight="1">
      <c r="A45" s="12" t="s">
        <v>61</v>
      </c>
      <c r="B45" s="13" t="s">
        <v>33</v>
      </c>
      <c r="C45" s="13" t="s">
        <v>12</v>
      </c>
      <c r="D45" s="14">
        <f>'прил10 (2012 '!J621</f>
        <v>0</v>
      </c>
      <c r="E45" s="14">
        <f>'прил10 (2012 '!K621</f>
        <v>0</v>
      </c>
      <c r="F45" s="14">
        <f>'прил10 (2012 '!L621</f>
        <v>0</v>
      </c>
    </row>
    <row r="46" spans="1:6" ht="15" customHeight="1">
      <c r="A46" s="12" t="s">
        <v>62</v>
      </c>
      <c r="B46" s="13" t="s">
        <v>33</v>
      </c>
      <c r="C46" s="13" t="s">
        <v>14</v>
      </c>
      <c r="D46" s="14">
        <f>'прил10 (2012 '!J622</f>
        <v>0</v>
      </c>
      <c r="E46" s="14">
        <f>'прил10 (2012 '!K622</f>
        <v>0</v>
      </c>
      <c r="F46" s="14">
        <f>'прил10 (2012 '!L622</f>
        <v>0</v>
      </c>
    </row>
    <row r="47" spans="1:6" ht="15" customHeight="1">
      <c r="A47" s="12" t="s">
        <v>64</v>
      </c>
      <c r="B47" s="13" t="s">
        <v>33</v>
      </c>
      <c r="C47" s="13" t="s">
        <v>33</v>
      </c>
      <c r="D47" s="14">
        <f>'прил10 (2012 '!J624</f>
        <v>490</v>
      </c>
      <c r="E47" s="14">
        <f>'прил10 (2012 '!K624</f>
        <v>0</v>
      </c>
      <c r="F47" s="14">
        <f>'прил10 (2012 '!L624</f>
        <v>490</v>
      </c>
    </row>
    <row r="48" spans="1:7" ht="15" customHeight="1">
      <c r="A48" s="9" t="s">
        <v>67</v>
      </c>
      <c r="B48" s="284" t="s">
        <v>68</v>
      </c>
      <c r="C48" s="284"/>
      <c r="D48" s="16">
        <f>SUM(D49:D53)</f>
        <v>28514.026</v>
      </c>
      <c r="E48" s="16">
        <f>SUM(E49:E53)</f>
        <v>858.1</v>
      </c>
      <c r="F48" s="16">
        <f>SUM(F49:F53)</f>
        <v>29372.126000000004</v>
      </c>
      <c r="G48" s="219">
        <f>F48/309430.22*100</f>
        <v>9.492326250487107</v>
      </c>
    </row>
    <row r="49" spans="1:6" ht="15" customHeight="1">
      <c r="A49" s="12" t="s">
        <v>69</v>
      </c>
      <c r="B49" s="13" t="s">
        <v>66</v>
      </c>
      <c r="C49" s="13" t="s">
        <v>11</v>
      </c>
      <c r="D49" s="14">
        <f>'прил10 (2012 '!J627</f>
        <v>117.8</v>
      </c>
      <c r="E49" s="14">
        <f>'прил10 (2012 '!K627</f>
        <v>0</v>
      </c>
      <c r="F49" s="14">
        <f>'прил10 (2012 '!L627</f>
        <v>117.8</v>
      </c>
    </row>
    <row r="50" spans="1:6" ht="15" customHeight="1">
      <c r="A50" s="12" t="s">
        <v>70</v>
      </c>
      <c r="B50" s="13" t="s">
        <v>66</v>
      </c>
      <c r="C50" s="13" t="s">
        <v>12</v>
      </c>
      <c r="D50" s="14">
        <f>'прил10 (2012 '!J628</f>
        <v>306.54</v>
      </c>
      <c r="E50" s="14">
        <f>'прил10 (2012 '!K628</f>
        <v>0</v>
      </c>
      <c r="F50" s="14">
        <f>'прил10 (2012 '!L628</f>
        <v>306.54</v>
      </c>
    </row>
    <row r="51" spans="1:6" ht="15" customHeight="1">
      <c r="A51" s="12" t="s">
        <v>71</v>
      </c>
      <c r="B51" s="13" t="s">
        <v>66</v>
      </c>
      <c r="C51" s="13" t="s">
        <v>13</v>
      </c>
      <c r="D51" s="14">
        <f>'прил10 (2012 '!J629</f>
        <v>9917.986</v>
      </c>
      <c r="E51" s="14">
        <f>'прил10 (2012 '!K629</f>
        <v>0</v>
      </c>
      <c r="F51" s="14">
        <f>'прил10 (2012 '!L629</f>
        <v>9917.986</v>
      </c>
    </row>
    <row r="52" spans="1:6" ht="15" customHeight="1">
      <c r="A52" s="12" t="s">
        <v>72</v>
      </c>
      <c r="B52" s="13" t="s">
        <v>66</v>
      </c>
      <c r="C52" s="13" t="s">
        <v>14</v>
      </c>
      <c r="D52" s="14">
        <f>'прил10 (2012 '!J630</f>
        <v>17830.7</v>
      </c>
      <c r="E52" s="14">
        <f>'прил10 (2012 '!K630</f>
        <v>858.1</v>
      </c>
      <c r="F52" s="14">
        <f>'прил10 (2012 '!L630</f>
        <v>18688.800000000003</v>
      </c>
    </row>
    <row r="53" spans="1:6" ht="15" customHeight="1">
      <c r="A53" s="12" t="s">
        <v>73</v>
      </c>
      <c r="B53" s="13" t="s">
        <v>66</v>
      </c>
      <c r="C53" s="13" t="s">
        <v>17</v>
      </c>
      <c r="D53" s="14">
        <f>'прил10 (2012 '!J631</f>
        <v>341</v>
      </c>
      <c r="E53" s="14">
        <f>'прил10 (2012 '!K631</f>
        <v>0</v>
      </c>
      <c r="F53" s="14">
        <f>'прил10 (2012 '!L631</f>
        <v>341</v>
      </c>
    </row>
    <row r="54" spans="1:7" ht="15" customHeight="1">
      <c r="A54" s="9" t="s">
        <v>63</v>
      </c>
      <c r="B54" s="284" t="s">
        <v>74</v>
      </c>
      <c r="C54" s="284"/>
      <c r="D54" s="15">
        <f>D55</f>
        <v>1676.6</v>
      </c>
      <c r="E54" s="15">
        <f>E55</f>
        <v>0</v>
      </c>
      <c r="F54" s="15">
        <f>F55</f>
        <v>1676.6</v>
      </c>
      <c r="G54" s="219">
        <f>F54/309430.22*100</f>
        <v>0.5418346016752985</v>
      </c>
    </row>
    <row r="55" spans="1:6" ht="15" customHeight="1">
      <c r="A55" s="12" t="s">
        <v>75</v>
      </c>
      <c r="B55" s="13" t="s">
        <v>21</v>
      </c>
      <c r="C55" s="13" t="s">
        <v>11</v>
      </c>
      <c r="D55" s="14">
        <f>'прил10 (2012 '!J638</f>
        <v>1676.6</v>
      </c>
      <c r="E55" s="14">
        <f>'прил10 (2012 '!K638</f>
        <v>0</v>
      </c>
      <c r="F55" s="14">
        <f>'прил10 (2012 '!L638</f>
        <v>1676.6</v>
      </c>
    </row>
    <row r="56" spans="1:7" ht="15" customHeight="1">
      <c r="A56" s="9" t="s">
        <v>76</v>
      </c>
      <c r="B56" s="284" t="s">
        <v>77</v>
      </c>
      <c r="C56" s="284"/>
      <c r="D56" s="15">
        <f>D57</f>
        <v>963.8352100000001</v>
      </c>
      <c r="E56" s="15">
        <f>E57</f>
        <v>5.84519</v>
      </c>
      <c r="F56" s="15">
        <f>F57</f>
        <v>969.6804000000001</v>
      </c>
      <c r="G56" s="219">
        <f>F56/309430.22*100</f>
        <v>0.31337611433039736</v>
      </c>
    </row>
    <row r="57" spans="1:6" ht="15" customHeight="1">
      <c r="A57" s="12" t="s">
        <v>56</v>
      </c>
      <c r="B57" s="13" t="s">
        <v>22</v>
      </c>
      <c r="C57" s="13" t="s">
        <v>12</v>
      </c>
      <c r="D57" s="14">
        <f>'прил10 (2012 '!J641</f>
        <v>963.8352100000001</v>
      </c>
      <c r="E57" s="14">
        <f>'прил10 (2012 '!K641</f>
        <v>5.84519</v>
      </c>
      <c r="F57" s="14">
        <f>'прил10 (2012 '!L641</f>
        <v>969.6804000000001</v>
      </c>
    </row>
    <row r="58" spans="1:7" ht="15" customHeight="1">
      <c r="A58" s="9" t="s">
        <v>78</v>
      </c>
      <c r="B58" s="284" t="s">
        <v>79</v>
      </c>
      <c r="C58" s="284"/>
      <c r="D58" s="15">
        <f>D59</f>
        <v>279.1</v>
      </c>
      <c r="E58" s="15">
        <f>E59</f>
        <v>0</v>
      </c>
      <c r="F58" s="15">
        <f>F59</f>
        <v>279.1</v>
      </c>
      <c r="G58" s="219">
        <f>F58/309430.22*100</f>
        <v>0.09019804206583315</v>
      </c>
    </row>
    <row r="59" spans="1:6" ht="24.75" customHeight="1">
      <c r="A59" s="12" t="s">
        <v>80</v>
      </c>
      <c r="B59" s="13" t="s">
        <v>23</v>
      </c>
      <c r="C59" s="13" t="s">
        <v>11</v>
      </c>
      <c r="D59" s="14">
        <f>'прил10 (2012 '!J645</f>
        <v>279.1</v>
      </c>
      <c r="E59" s="14">
        <f>'прил10 (2012 '!K645</f>
        <v>0</v>
      </c>
      <c r="F59" s="14">
        <f>'прил10 (2012 '!L645</f>
        <v>279.1</v>
      </c>
    </row>
    <row r="60" spans="1:7" ht="23.25" customHeight="1">
      <c r="A60" s="9" t="s">
        <v>81</v>
      </c>
      <c r="B60" s="284" t="s">
        <v>82</v>
      </c>
      <c r="C60" s="284"/>
      <c r="D60" s="15">
        <f>D61+D62</f>
        <v>36880.9067</v>
      </c>
      <c r="E60" s="15">
        <f>E61+E62</f>
        <v>105</v>
      </c>
      <c r="F60" s="15">
        <f>F61+F62</f>
        <v>36985.9067</v>
      </c>
      <c r="G60" s="219">
        <f>F60/309430.22*100</f>
        <v>11.95290708838975</v>
      </c>
    </row>
    <row r="61" spans="1:6" ht="23.25" customHeight="1">
      <c r="A61" s="12" t="s">
        <v>83</v>
      </c>
      <c r="B61" s="13" t="s">
        <v>25</v>
      </c>
      <c r="C61" s="13" t="s">
        <v>11</v>
      </c>
      <c r="D61" s="14">
        <f>'прил10 (2012 '!J648</f>
        <v>30877.1</v>
      </c>
      <c r="E61" s="14">
        <f>'прил10 (2012 '!K648</f>
        <v>0</v>
      </c>
      <c r="F61" s="14">
        <f>'прил10 (2012 '!L648</f>
        <v>30877.1</v>
      </c>
    </row>
    <row r="62" spans="1:6" ht="26.25" customHeight="1">
      <c r="A62" s="12" t="s">
        <v>84</v>
      </c>
      <c r="B62" s="13" t="s">
        <v>25</v>
      </c>
      <c r="C62" s="13" t="s">
        <v>13</v>
      </c>
      <c r="D62" s="14">
        <f>'прил10 (2012 '!J650</f>
        <v>6003.806699999999</v>
      </c>
      <c r="E62" s="14">
        <f>'прил10 (2012 '!K650</f>
        <v>105</v>
      </c>
      <c r="F62" s="14">
        <f>'прил10 (2012 '!L650</f>
        <v>6108.806699999999</v>
      </c>
    </row>
    <row r="63" spans="1:7" ht="12.75">
      <c r="A63" s="9" t="s">
        <v>85</v>
      </c>
      <c r="B63" s="10"/>
      <c r="C63" s="10"/>
      <c r="D63" s="16">
        <f>D9+D18+D20+D24+D29+D33+D39+D43+D48+D54+D56+D58+D60</f>
        <v>448168.89848</v>
      </c>
      <c r="E63" s="16">
        <f>E9+E18+E20+E24+E29+E33+E39+E43+E48+E54+E56+E58+E60</f>
        <v>11819.56121</v>
      </c>
      <c r="F63" s="16">
        <f>F9+F18+F20+F24+F29+F33+F39+F43+F48+F54+F56+F58+F60</f>
        <v>459988.45969</v>
      </c>
      <c r="G63" s="219">
        <f>SUM(G9:G62)</f>
        <v>148.65660493341602</v>
      </c>
    </row>
    <row r="64" spans="4:5" ht="12.75">
      <c r="D64" s="17"/>
      <c r="E64" s="17"/>
    </row>
    <row r="65" spans="4:6" ht="12.75">
      <c r="D65" s="17"/>
      <c r="E65" s="17"/>
      <c r="F65" s="17"/>
    </row>
  </sheetData>
  <sheetProtection/>
  <mergeCells count="17">
    <mergeCell ref="B48:C48"/>
    <mergeCell ref="B54:C54"/>
    <mergeCell ref="B56:C56"/>
    <mergeCell ref="B58:C58"/>
    <mergeCell ref="B60:C60"/>
    <mergeCell ref="B20:C20"/>
    <mergeCell ref="B24:C24"/>
    <mergeCell ref="B29:C29"/>
    <mergeCell ref="B33:C33"/>
    <mergeCell ref="B39:C39"/>
    <mergeCell ref="B43:C43"/>
    <mergeCell ref="C2:E2"/>
    <mergeCell ref="C3:F3"/>
    <mergeCell ref="A5:F5"/>
    <mergeCell ref="A6:F6"/>
    <mergeCell ref="B9:C9"/>
    <mergeCell ref="B18:C18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1"/>
  <sheetViews>
    <sheetView tabSelected="1" view="pageBreakPreview" zoomScaleSheetLayoutView="100" zoomScalePageLayoutView="0" workbookViewId="0" topLeftCell="A566">
      <selection activeCell="J569" sqref="J569"/>
    </sheetView>
  </sheetViews>
  <sheetFormatPr defaultColWidth="9.140625" defaultRowHeight="12.75"/>
  <cols>
    <col min="1" max="1" width="35.8515625" style="19" customWidth="1"/>
    <col min="2" max="2" width="7.00390625" style="19" customWidth="1"/>
    <col min="3" max="3" width="6.7109375" style="19" customWidth="1"/>
    <col min="4" max="4" width="5.140625" style="19" customWidth="1"/>
    <col min="5" max="5" width="9.7109375" style="19" customWidth="1"/>
    <col min="6" max="6" width="7.28125" style="19" customWidth="1"/>
    <col min="7" max="7" width="0.13671875" style="19" customWidth="1"/>
    <col min="8" max="8" width="13.8515625" style="19" hidden="1" customWidth="1"/>
    <col min="9" max="9" width="12.57421875" style="19" hidden="1" customWidth="1"/>
    <col min="10" max="10" width="15.57421875" style="261" customWidth="1"/>
    <col min="11" max="11" width="15.00390625" style="261" customWidth="1"/>
    <col min="12" max="12" width="16.28125" style="261" customWidth="1"/>
    <col min="13" max="13" width="13.28125" style="19" hidden="1" customWidth="1"/>
    <col min="14" max="14" width="13.8515625" style="19" hidden="1" customWidth="1"/>
    <col min="15" max="15" width="13.140625" style="19" bestFit="1" customWidth="1"/>
    <col min="16" max="16" width="14.140625" style="19" hidden="1" customWidth="1"/>
    <col min="17" max="18" width="15.421875" style="19" bestFit="1" customWidth="1"/>
    <col min="19" max="16384" width="9.140625" style="19" customWidth="1"/>
  </cols>
  <sheetData>
    <row r="1" spans="2:13" ht="15">
      <c r="B1" s="18"/>
      <c r="C1" s="18"/>
      <c r="D1" s="18"/>
      <c r="E1" s="294"/>
      <c r="F1" s="294"/>
      <c r="G1" s="294"/>
      <c r="H1" s="294"/>
      <c r="I1" s="294"/>
      <c r="J1" s="260"/>
      <c r="K1" s="260"/>
      <c r="L1" s="260"/>
      <c r="M1" s="19" t="s">
        <v>1</v>
      </c>
    </row>
    <row r="2" spans="2:17" ht="15">
      <c r="B2" s="18"/>
      <c r="C2" s="18"/>
      <c r="D2" s="18"/>
      <c r="E2" s="295"/>
      <c r="F2" s="296"/>
      <c r="G2" s="296"/>
      <c r="H2" s="296"/>
      <c r="I2" s="296"/>
      <c r="J2" s="260" t="s">
        <v>540</v>
      </c>
      <c r="K2" s="260"/>
      <c r="L2" s="260"/>
      <c r="M2" s="295"/>
      <c r="N2" s="296"/>
      <c r="O2" s="296"/>
      <c r="P2" s="296"/>
      <c r="Q2" s="296"/>
    </row>
    <row r="3" spans="2:19" ht="45" customHeight="1">
      <c r="B3" s="18"/>
      <c r="C3" s="18"/>
      <c r="D3" s="18"/>
      <c r="E3" s="164"/>
      <c r="F3" s="164"/>
      <c r="G3" s="164"/>
      <c r="H3" s="164"/>
      <c r="I3" s="164"/>
      <c r="J3" s="297" t="s">
        <v>543</v>
      </c>
      <c r="K3" s="297"/>
      <c r="L3" s="297"/>
      <c r="P3" s="164"/>
      <c r="Q3" s="164"/>
      <c r="R3" s="165"/>
      <c r="S3" s="165"/>
    </row>
    <row r="4" spans="1:14" ht="32.25" customHeight="1">
      <c r="A4" s="298" t="s">
        <v>86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65"/>
      <c r="N4" s="165"/>
    </row>
    <row r="5" ht="8.25" customHeight="1" thickBot="1"/>
    <row r="6" spans="1:14" ht="12.75" customHeight="1">
      <c r="A6" s="300" t="s">
        <v>87</v>
      </c>
      <c r="B6" s="300" t="s">
        <v>88</v>
      </c>
      <c r="C6" s="300"/>
      <c r="D6" s="300"/>
      <c r="E6" s="300"/>
      <c r="F6" s="300"/>
      <c r="G6" s="301" t="s">
        <v>89</v>
      </c>
      <c r="H6" s="302" t="s">
        <v>90</v>
      </c>
      <c r="I6" s="300" t="s">
        <v>89</v>
      </c>
      <c r="J6" s="305" t="s">
        <v>91</v>
      </c>
      <c r="K6" s="305" t="s">
        <v>89</v>
      </c>
      <c r="L6" s="305" t="s">
        <v>92</v>
      </c>
      <c r="M6" s="308" t="s">
        <v>89</v>
      </c>
      <c r="N6" s="311" t="s">
        <v>93</v>
      </c>
    </row>
    <row r="7" spans="1:14" ht="15">
      <c r="A7" s="300"/>
      <c r="B7" s="300" t="s">
        <v>94</v>
      </c>
      <c r="C7" s="300"/>
      <c r="D7" s="300"/>
      <c r="E7" s="300"/>
      <c r="F7" s="300"/>
      <c r="G7" s="301"/>
      <c r="H7" s="303"/>
      <c r="I7" s="304"/>
      <c r="J7" s="306"/>
      <c r="K7" s="307"/>
      <c r="L7" s="305"/>
      <c r="M7" s="309"/>
      <c r="N7" s="312"/>
    </row>
    <row r="8" spans="1:14" ht="36" customHeight="1" thickBot="1">
      <c r="A8" s="300"/>
      <c r="B8" s="22" t="s">
        <v>95</v>
      </c>
      <c r="C8" s="20" t="s">
        <v>96</v>
      </c>
      <c r="D8" s="20" t="s">
        <v>97</v>
      </c>
      <c r="E8" s="20" t="s">
        <v>98</v>
      </c>
      <c r="F8" s="20" t="s">
        <v>99</v>
      </c>
      <c r="G8" s="301"/>
      <c r="H8" s="303"/>
      <c r="I8" s="304"/>
      <c r="J8" s="306"/>
      <c r="K8" s="307"/>
      <c r="L8" s="305"/>
      <c r="M8" s="310"/>
      <c r="N8" s="313"/>
    </row>
    <row r="9" spans="1:14" s="252" customFormat="1" ht="9" thickBot="1">
      <c r="A9" s="247" t="s">
        <v>100</v>
      </c>
      <c r="B9" s="247">
        <v>1</v>
      </c>
      <c r="C9" s="247">
        <v>2</v>
      </c>
      <c r="D9" s="247">
        <v>3</v>
      </c>
      <c r="E9" s="247">
        <v>4</v>
      </c>
      <c r="F9" s="247">
        <v>5</v>
      </c>
      <c r="G9" s="247"/>
      <c r="H9" s="248"/>
      <c r="I9" s="249"/>
      <c r="J9" s="262">
        <v>6</v>
      </c>
      <c r="K9" s="263">
        <v>7</v>
      </c>
      <c r="L9" s="262">
        <v>8</v>
      </c>
      <c r="M9" s="250">
        <v>7</v>
      </c>
      <c r="N9" s="251">
        <v>8</v>
      </c>
    </row>
    <row r="10" spans="1:18" ht="43.5" customHeight="1" hidden="1">
      <c r="A10" s="28" t="s">
        <v>65</v>
      </c>
      <c r="B10" s="29" t="s">
        <v>101</v>
      </c>
      <c r="C10" s="29" t="s">
        <v>33</v>
      </c>
      <c r="D10" s="29" t="s">
        <v>66</v>
      </c>
      <c r="E10" s="29"/>
      <c r="F10" s="29"/>
      <c r="G10" s="21">
        <f aca="true" t="shared" si="0" ref="G10:N12">G11</f>
        <v>0</v>
      </c>
      <c r="H10" s="21">
        <f t="shared" si="0"/>
        <v>1049.66</v>
      </c>
      <c r="I10" s="21">
        <f t="shared" si="0"/>
        <v>0</v>
      </c>
      <c r="J10" s="264">
        <v>0</v>
      </c>
      <c r="K10" s="264">
        <f>K11+K14+K16+K18+K20+K22</f>
        <v>0</v>
      </c>
      <c r="L10" s="264">
        <f>L11+L14+L16+L18+L20+L22</f>
        <v>0</v>
      </c>
      <c r="M10" s="46">
        <f>M11+M14</f>
        <v>33</v>
      </c>
      <c r="N10" s="47">
        <f>N11+N14</f>
        <v>33</v>
      </c>
      <c r="O10" s="48"/>
      <c r="P10" s="48"/>
      <c r="Q10" s="48"/>
      <c r="R10" s="49"/>
    </row>
    <row r="11" spans="1:18" ht="45" customHeight="1" hidden="1">
      <c r="A11" s="34" t="s">
        <v>118</v>
      </c>
      <c r="B11" s="23" t="s">
        <v>101</v>
      </c>
      <c r="C11" s="23" t="s">
        <v>33</v>
      </c>
      <c r="D11" s="23" t="s">
        <v>66</v>
      </c>
      <c r="E11" s="23" t="s">
        <v>119</v>
      </c>
      <c r="F11" s="23"/>
      <c r="G11" s="37">
        <f t="shared" si="0"/>
        <v>0</v>
      </c>
      <c r="H11" s="37">
        <f t="shared" si="0"/>
        <v>1049.66</v>
      </c>
      <c r="I11" s="37">
        <f t="shared" si="0"/>
        <v>0</v>
      </c>
      <c r="J11" s="265">
        <v>0</v>
      </c>
      <c r="K11" s="265">
        <f t="shared" si="0"/>
        <v>0</v>
      </c>
      <c r="L11" s="265">
        <f t="shared" si="0"/>
        <v>0</v>
      </c>
      <c r="M11" s="32">
        <f t="shared" si="0"/>
        <v>0</v>
      </c>
      <c r="N11" s="47">
        <f t="shared" si="0"/>
        <v>0</v>
      </c>
      <c r="O11" s="49"/>
      <c r="P11" s="49"/>
      <c r="Q11" s="49"/>
      <c r="R11" s="49"/>
    </row>
    <row r="12" spans="1:18" ht="30" customHeight="1" hidden="1">
      <c r="A12" s="34" t="s">
        <v>113</v>
      </c>
      <c r="B12" s="23" t="s">
        <v>101</v>
      </c>
      <c r="C12" s="23" t="s">
        <v>33</v>
      </c>
      <c r="D12" s="23" t="s">
        <v>66</v>
      </c>
      <c r="E12" s="23" t="s">
        <v>120</v>
      </c>
      <c r="F12" s="23"/>
      <c r="G12" s="37">
        <f t="shared" si="0"/>
        <v>0</v>
      </c>
      <c r="H12" s="37">
        <f t="shared" si="0"/>
        <v>1049.66</v>
      </c>
      <c r="I12" s="37">
        <f t="shared" si="0"/>
        <v>0</v>
      </c>
      <c r="J12" s="265">
        <v>0</v>
      </c>
      <c r="K12" s="265">
        <f t="shared" si="0"/>
        <v>0</v>
      </c>
      <c r="L12" s="265">
        <f t="shared" si="0"/>
        <v>0</v>
      </c>
      <c r="M12" s="32">
        <f t="shared" si="0"/>
        <v>0</v>
      </c>
      <c r="N12" s="47">
        <f t="shared" si="0"/>
        <v>0</v>
      </c>
      <c r="O12" s="49"/>
      <c r="P12" s="49"/>
      <c r="Q12" s="49"/>
      <c r="R12" s="49"/>
    </row>
    <row r="13" spans="1:18" ht="30.75" customHeight="1" hidden="1">
      <c r="A13" s="34" t="s">
        <v>115</v>
      </c>
      <c r="B13" s="23" t="s">
        <v>101</v>
      </c>
      <c r="C13" s="23" t="s">
        <v>33</v>
      </c>
      <c r="D13" s="23" t="s">
        <v>66</v>
      </c>
      <c r="E13" s="23" t="s">
        <v>120</v>
      </c>
      <c r="F13" s="23" t="s">
        <v>112</v>
      </c>
      <c r="G13" s="37"/>
      <c r="H13" s="30">
        <v>1049.66</v>
      </c>
      <c r="I13" s="37"/>
      <c r="J13" s="265">
        <v>0</v>
      </c>
      <c r="K13" s="265"/>
      <c r="L13" s="265">
        <f>J13+K13</f>
        <v>0</v>
      </c>
      <c r="M13" s="40"/>
      <c r="N13" s="50">
        <f>L13+M13</f>
        <v>0</v>
      </c>
      <c r="O13" s="49"/>
      <c r="P13" s="49"/>
      <c r="Q13" s="51"/>
      <c r="R13" s="49"/>
    </row>
    <row r="14" spans="1:18" ht="60.75" customHeight="1" hidden="1">
      <c r="A14" s="34" t="s">
        <v>121</v>
      </c>
      <c r="B14" s="43" t="s">
        <v>101</v>
      </c>
      <c r="C14" s="44" t="s">
        <v>33</v>
      </c>
      <c r="D14" s="44" t="s">
        <v>66</v>
      </c>
      <c r="E14" s="45">
        <v>7952014</v>
      </c>
      <c r="F14" s="44"/>
      <c r="G14" s="44"/>
      <c r="H14" s="30"/>
      <c r="I14" s="37"/>
      <c r="J14" s="265">
        <f>J15</f>
        <v>0</v>
      </c>
      <c r="K14" s="265">
        <f>K15</f>
        <v>0</v>
      </c>
      <c r="L14" s="265">
        <f>L15</f>
        <v>0</v>
      </c>
      <c r="M14" s="32">
        <f>M15</f>
        <v>33</v>
      </c>
      <c r="N14" s="52">
        <f>N15</f>
        <v>33</v>
      </c>
      <c r="O14" s="49"/>
      <c r="P14" s="49"/>
      <c r="Q14" s="51"/>
      <c r="R14" s="49"/>
    </row>
    <row r="15" spans="1:18" ht="30" customHeight="1" hidden="1" thickBot="1">
      <c r="A15" s="34" t="s">
        <v>109</v>
      </c>
      <c r="B15" s="44" t="s">
        <v>101</v>
      </c>
      <c r="C15" s="44" t="s">
        <v>33</v>
      </c>
      <c r="D15" s="44" t="s">
        <v>66</v>
      </c>
      <c r="E15" s="45">
        <v>7952014</v>
      </c>
      <c r="F15" s="44" t="s">
        <v>108</v>
      </c>
      <c r="G15" s="37"/>
      <c r="H15" s="30"/>
      <c r="I15" s="37"/>
      <c r="J15" s="265"/>
      <c r="K15" s="265"/>
      <c r="L15" s="265">
        <f>J15+K15</f>
        <v>0</v>
      </c>
      <c r="M15" s="53">
        <v>33</v>
      </c>
      <c r="N15" s="54">
        <f>L15+M15</f>
        <v>33</v>
      </c>
      <c r="O15" s="49"/>
      <c r="P15" s="49"/>
      <c r="Q15" s="51"/>
      <c r="R15" s="49"/>
    </row>
    <row r="16" spans="1:18" ht="57.75" customHeight="1" hidden="1" thickBot="1">
      <c r="A16" s="34" t="s">
        <v>122</v>
      </c>
      <c r="B16" s="43" t="s">
        <v>101</v>
      </c>
      <c r="C16" s="44" t="s">
        <v>33</v>
      </c>
      <c r="D16" s="44" t="s">
        <v>66</v>
      </c>
      <c r="E16" s="45">
        <v>7952013</v>
      </c>
      <c r="F16" s="44"/>
      <c r="G16" s="37"/>
      <c r="H16" s="30"/>
      <c r="I16" s="37"/>
      <c r="J16" s="265">
        <f>J17</f>
        <v>0</v>
      </c>
      <c r="K16" s="265">
        <f>K17</f>
        <v>0</v>
      </c>
      <c r="L16" s="265">
        <f>L17</f>
        <v>0</v>
      </c>
      <c r="M16" s="55"/>
      <c r="N16" s="56"/>
      <c r="O16" s="49"/>
      <c r="P16" s="49"/>
      <c r="Q16" s="51"/>
      <c r="R16" s="49"/>
    </row>
    <row r="17" spans="1:18" ht="30" customHeight="1" hidden="1" thickBot="1">
      <c r="A17" s="34" t="s">
        <v>109</v>
      </c>
      <c r="B17" s="44" t="s">
        <v>101</v>
      </c>
      <c r="C17" s="44" t="s">
        <v>33</v>
      </c>
      <c r="D17" s="44" t="s">
        <v>66</v>
      </c>
      <c r="E17" s="45">
        <v>7952013</v>
      </c>
      <c r="F17" s="44" t="s">
        <v>108</v>
      </c>
      <c r="G17" s="37"/>
      <c r="H17" s="30"/>
      <c r="I17" s="37"/>
      <c r="J17" s="265"/>
      <c r="K17" s="265"/>
      <c r="L17" s="265">
        <f>J17+K17</f>
        <v>0</v>
      </c>
      <c r="M17" s="55"/>
      <c r="N17" s="56"/>
      <c r="O17" s="49"/>
      <c r="P17" s="49"/>
      <c r="Q17" s="51"/>
      <c r="R17" s="49"/>
    </row>
    <row r="18" spans="1:18" ht="57" customHeight="1" hidden="1" thickBot="1">
      <c r="A18" s="34" t="s">
        <v>123</v>
      </c>
      <c r="B18" s="43" t="s">
        <v>101</v>
      </c>
      <c r="C18" s="44" t="s">
        <v>33</v>
      </c>
      <c r="D18" s="44" t="s">
        <v>66</v>
      </c>
      <c r="E18" s="45">
        <v>7952015</v>
      </c>
      <c r="F18" s="44"/>
      <c r="G18" s="37"/>
      <c r="H18" s="30"/>
      <c r="I18" s="37"/>
      <c r="J18" s="265">
        <f>J19</f>
        <v>0</v>
      </c>
      <c r="K18" s="265">
        <f>K19</f>
        <v>0</v>
      </c>
      <c r="L18" s="265">
        <f>L19</f>
        <v>0</v>
      </c>
      <c r="M18" s="55"/>
      <c r="N18" s="56"/>
      <c r="O18" s="49"/>
      <c r="P18" s="49"/>
      <c r="Q18" s="51"/>
      <c r="R18" s="49"/>
    </row>
    <row r="19" spans="1:18" ht="30" customHeight="1" hidden="1" thickBot="1">
      <c r="A19" s="34" t="s">
        <v>109</v>
      </c>
      <c r="B19" s="44" t="s">
        <v>101</v>
      </c>
      <c r="C19" s="44" t="s">
        <v>33</v>
      </c>
      <c r="D19" s="44" t="s">
        <v>66</v>
      </c>
      <c r="E19" s="45">
        <v>7952015</v>
      </c>
      <c r="F19" s="44" t="s">
        <v>108</v>
      </c>
      <c r="G19" s="37"/>
      <c r="H19" s="30"/>
      <c r="I19" s="37"/>
      <c r="J19" s="265"/>
      <c r="K19" s="265"/>
      <c r="L19" s="265">
        <f>J19+K19</f>
        <v>0</v>
      </c>
      <c r="M19" s="55"/>
      <c r="N19" s="56"/>
      <c r="O19" s="49"/>
      <c r="P19" s="49"/>
      <c r="Q19" s="51"/>
      <c r="R19" s="49"/>
    </row>
    <row r="20" spans="1:18" ht="90" customHeight="1" hidden="1" thickBot="1">
      <c r="A20" s="34" t="s">
        <v>124</v>
      </c>
      <c r="B20" s="43" t="s">
        <v>101</v>
      </c>
      <c r="C20" s="44" t="s">
        <v>33</v>
      </c>
      <c r="D20" s="44" t="s">
        <v>66</v>
      </c>
      <c r="E20" s="45">
        <v>7952016</v>
      </c>
      <c r="F20" s="44"/>
      <c r="G20" s="37"/>
      <c r="H20" s="30"/>
      <c r="I20" s="37"/>
      <c r="J20" s="265">
        <f>J21</f>
        <v>0</v>
      </c>
      <c r="K20" s="265">
        <f>K21</f>
        <v>0</v>
      </c>
      <c r="L20" s="265">
        <f>L21</f>
        <v>0</v>
      </c>
      <c r="M20" s="55"/>
      <c r="N20" s="56"/>
      <c r="O20" s="49"/>
      <c r="P20" s="49"/>
      <c r="Q20" s="51"/>
      <c r="R20" s="49"/>
    </row>
    <row r="21" spans="1:18" ht="30" customHeight="1" hidden="1" thickBot="1">
      <c r="A21" s="34" t="s">
        <v>109</v>
      </c>
      <c r="B21" s="44" t="s">
        <v>101</v>
      </c>
      <c r="C21" s="44" t="s">
        <v>33</v>
      </c>
      <c r="D21" s="44" t="s">
        <v>66</v>
      </c>
      <c r="E21" s="45">
        <v>7952016</v>
      </c>
      <c r="F21" s="44" t="s">
        <v>108</v>
      </c>
      <c r="G21" s="37"/>
      <c r="H21" s="30"/>
      <c r="I21" s="37"/>
      <c r="J21" s="265"/>
      <c r="K21" s="265"/>
      <c r="L21" s="265">
        <f>J21+K21</f>
        <v>0</v>
      </c>
      <c r="M21" s="55"/>
      <c r="N21" s="56"/>
      <c r="O21" s="49"/>
      <c r="P21" s="49"/>
      <c r="Q21" s="51"/>
      <c r="R21" s="49"/>
    </row>
    <row r="22" spans="1:18" ht="45" customHeight="1" hidden="1" thickBot="1">
      <c r="A22" s="34" t="s">
        <v>125</v>
      </c>
      <c r="B22" s="43" t="s">
        <v>101</v>
      </c>
      <c r="C22" s="44" t="s">
        <v>33</v>
      </c>
      <c r="D22" s="44" t="s">
        <v>66</v>
      </c>
      <c r="E22" s="45">
        <v>7952017</v>
      </c>
      <c r="F22" s="44"/>
      <c r="G22" s="37"/>
      <c r="H22" s="30"/>
      <c r="I22" s="37"/>
      <c r="J22" s="265">
        <f>J23</f>
        <v>0</v>
      </c>
      <c r="K22" s="265">
        <f>K23</f>
        <v>0</v>
      </c>
      <c r="L22" s="265">
        <f>L23</f>
        <v>0</v>
      </c>
      <c r="M22" s="55"/>
      <c r="N22" s="56"/>
      <c r="O22" s="49"/>
      <c r="P22" s="49"/>
      <c r="Q22" s="51"/>
      <c r="R22" s="49"/>
    </row>
    <row r="23" spans="1:18" ht="33" customHeight="1" hidden="1" thickBot="1">
      <c r="A23" s="34" t="s">
        <v>109</v>
      </c>
      <c r="B23" s="44" t="s">
        <v>101</v>
      </c>
      <c r="C23" s="44" t="s">
        <v>33</v>
      </c>
      <c r="D23" s="44" t="s">
        <v>66</v>
      </c>
      <c r="E23" s="45">
        <v>7952017</v>
      </c>
      <c r="F23" s="44" t="s">
        <v>108</v>
      </c>
      <c r="G23" s="37"/>
      <c r="H23" s="30"/>
      <c r="I23" s="37"/>
      <c r="J23" s="265"/>
      <c r="K23" s="265">
        <f>30-30</f>
        <v>0</v>
      </c>
      <c r="L23" s="265">
        <f>J23+K23</f>
        <v>0</v>
      </c>
      <c r="M23" s="57"/>
      <c r="N23" s="58"/>
      <c r="O23" s="49"/>
      <c r="P23" s="49"/>
      <c r="Q23" s="51"/>
      <c r="R23" s="49"/>
    </row>
    <row r="24" spans="1:17" ht="15.75" thickBot="1">
      <c r="A24" s="232" t="s">
        <v>126</v>
      </c>
      <c r="B24" s="230" t="s">
        <v>127</v>
      </c>
      <c r="C24" s="230"/>
      <c r="D24" s="230"/>
      <c r="E24" s="230"/>
      <c r="F24" s="230"/>
      <c r="G24" s="231" t="e">
        <f>#REF!+G25+G125</f>
        <v>#REF!</v>
      </c>
      <c r="H24" s="231" t="e">
        <f>#REF!+H25+H125</f>
        <v>#REF!</v>
      </c>
      <c r="I24" s="231" t="e">
        <f>#REF!+I25+I125</f>
        <v>#REF!</v>
      </c>
      <c r="J24" s="266">
        <f>J25+J125</f>
        <v>239038.91757000005</v>
      </c>
      <c r="K24" s="266">
        <f>K25+K125</f>
        <v>4372.1</v>
      </c>
      <c r="L24" s="266">
        <f>L25+L125</f>
        <v>243411.01757000003</v>
      </c>
      <c r="M24" s="60" t="e">
        <f>#REF!+M25+M125</f>
        <v>#REF!</v>
      </c>
      <c r="N24" s="61" t="e">
        <f>#REF!+N25+N125</f>
        <v>#REF!</v>
      </c>
      <c r="O24" s="124">
        <f>L41+L46+L47+L50+L52+L54+L59+L68+L80+L82+L87+L94+L102+L103+L107+L110+L111+L112+L117+L118+L119+L120+L121+L122+L124+L132+L134+L138+L142+L143</f>
        <v>199239.42594000002</v>
      </c>
      <c r="Q24" s="124"/>
    </row>
    <row r="25" spans="1:14" ht="15">
      <c r="A25" s="28" t="s">
        <v>102</v>
      </c>
      <c r="B25" s="29" t="s">
        <v>127</v>
      </c>
      <c r="C25" s="29" t="s">
        <v>19</v>
      </c>
      <c r="D25" s="29"/>
      <c r="E25" s="29"/>
      <c r="F25" s="29"/>
      <c r="G25" s="21" t="e">
        <f>G26+G36+G90+G95+G104</f>
        <v>#REF!</v>
      </c>
      <c r="H25" s="24" t="e">
        <f>H26+H36+H90+H95+H104</f>
        <v>#REF!</v>
      </c>
      <c r="I25" s="24" t="e">
        <f>I26+I36+I90+I95+I104</f>
        <v>#REF!</v>
      </c>
      <c r="J25" s="264">
        <f>J36+J90+J95+J104+J26</f>
        <v>221208.21757000004</v>
      </c>
      <c r="K25" s="264">
        <f>K36+K90+K95+K104+K26</f>
        <v>3514</v>
      </c>
      <c r="L25" s="264">
        <f>L36+L90+L95+L104+L26</f>
        <v>224722.21757000004</v>
      </c>
      <c r="M25" s="35" t="e">
        <f>M26+M36+M90+M95+M104</f>
        <v>#REF!</v>
      </c>
      <c r="N25" s="36" t="e">
        <f>N26+N36+N90+N95+N104</f>
        <v>#REF!</v>
      </c>
    </row>
    <row r="26" spans="1:14" ht="15" customHeight="1">
      <c r="A26" s="28" t="s">
        <v>48</v>
      </c>
      <c r="B26" s="29" t="s">
        <v>127</v>
      </c>
      <c r="C26" s="29" t="s">
        <v>19</v>
      </c>
      <c r="D26" s="29" t="s">
        <v>11</v>
      </c>
      <c r="E26" s="29"/>
      <c r="F26" s="29"/>
      <c r="G26" s="21">
        <f aca="true" t="shared" si="1" ref="G26:N28">G27</f>
        <v>-926.36</v>
      </c>
      <c r="H26" s="21">
        <f t="shared" si="1"/>
        <v>3734</v>
      </c>
      <c r="I26" s="21">
        <f t="shared" si="1"/>
        <v>0</v>
      </c>
      <c r="J26" s="264">
        <f>J27+J30+J33</f>
        <v>10750.42</v>
      </c>
      <c r="K26" s="264">
        <f>K27+K30+K33</f>
        <v>1000</v>
      </c>
      <c r="L26" s="264">
        <f>L27+L30+L33</f>
        <v>11750.42</v>
      </c>
      <c r="M26" s="46">
        <f t="shared" si="1"/>
        <v>870.6</v>
      </c>
      <c r="N26" s="63">
        <f t="shared" si="1"/>
        <v>4078.6</v>
      </c>
    </row>
    <row r="27" spans="1:14" ht="15" customHeight="1">
      <c r="A27" s="34" t="s">
        <v>134</v>
      </c>
      <c r="B27" s="23" t="s">
        <v>127</v>
      </c>
      <c r="C27" s="23" t="s">
        <v>19</v>
      </c>
      <c r="D27" s="23" t="s">
        <v>11</v>
      </c>
      <c r="E27" s="23" t="s">
        <v>135</v>
      </c>
      <c r="F27" s="23"/>
      <c r="G27" s="37">
        <f t="shared" si="1"/>
        <v>-926.36</v>
      </c>
      <c r="H27" s="37">
        <f t="shared" si="1"/>
        <v>3734</v>
      </c>
      <c r="I27" s="37">
        <f t="shared" si="1"/>
        <v>0</v>
      </c>
      <c r="J27" s="265">
        <f aca="true" t="shared" si="2" ref="J27:L28">J28</f>
        <v>2208</v>
      </c>
      <c r="K27" s="265">
        <f t="shared" si="2"/>
        <v>1000</v>
      </c>
      <c r="L27" s="265">
        <f t="shared" si="2"/>
        <v>3208</v>
      </c>
      <c r="M27" s="32">
        <f t="shared" si="1"/>
        <v>870.6</v>
      </c>
      <c r="N27" s="33">
        <f t="shared" si="1"/>
        <v>4078.6</v>
      </c>
    </row>
    <row r="28" spans="1:14" ht="30" customHeight="1">
      <c r="A28" s="34" t="s">
        <v>113</v>
      </c>
      <c r="B28" s="23" t="s">
        <v>127</v>
      </c>
      <c r="C28" s="23" t="s">
        <v>19</v>
      </c>
      <c r="D28" s="23" t="s">
        <v>11</v>
      </c>
      <c r="E28" s="23" t="s">
        <v>136</v>
      </c>
      <c r="F28" s="23"/>
      <c r="G28" s="37">
        <f>G29+G32</f>
        <v>-926.36</v>
      </c>
      <c r="H28" s="37">
        <f>H29+H32</f>
        <v>3734</v>
      </c>
      <c r="I28" s="37">
        <f>I29+I32</f>
        <v>0</v>
      </c>
      <c r="J28" s="265">
        <f t="shared" si="2"/>
        <v>2208</v>
      </c>
      <c r="K28" s="265">
        <f t="shared" si="2"/>
        <v>1000</v>
      </c>
      <c r="L28" s="265">
        <f t="shared" si="2"/>
        <v>3208</v>
      </c>
      <c r="M28" s="227">
        <f t="shared" si="1"/>
        <v>870.6</v>
      </c>
      <c r="N28" s="227">
        <f t="shared" si="1"/>
        <v>4078.6</v>
      </c>
    </row>
    <row r="29" spans="1:15" ht="30" customHeight="1">
      <c r="A29" s="168" t="s">
        <v>183</v>
      </c>
      <c r="B29" s="23" t="s">
        <v>127</v>
      </c>
      <c r="C29" s="23" t="s">
        <v>19</v>
      </c>
      <c r="D29" s="23" t="s">
        <v>11</v>
      </c>
      <c r="E29" s="23" t="s">
        <v>136</v>
      </c>
      <c r="F29" s="23" t="s">
        <v>150</v>
      </c>
      <c r="G29" s="37">
        <f>-36.76+103.4</f>
        <v>66.64000000000001</v>
      </c>
      <c r="H29" s="30">
        <v>2606</v>
      </c>
      <c r="I29" s="37"/>
      <c r="J29" s="265">
        <v>2208</v>
      </c>
      <c r="K29" s="265">
        <v>1000</v>
      </c>
      <c r="L29" s="265">
        <f>J29+K29</f>
        <v>3208</v>
      </c>
      <c r="M29" s="32">
        <f>-44.4+915</f>
        <v>870.6</v>
      </c>
      <c r="N29" s="33">
        <f>L29+M29</f>
        <v>4078.6</v>
      </c>
      <c r="O29" s="166"/>
    </row>
    <row r="30" spans="1:15" ht="30" customHeight="1">
      <c r="A30" s="66" t="s">
        <v>453</v>
      </c>
      <c r="B30" s="23" t="s">
        <v>127</v>
      </c>
      <c r="C30" s="23" t="s">
        <v>19</v>
      </c>
      <c r="D30" s="23" t="s">
        <v>11</v>
      </c>
      <c r="E30" s="23" t="s">
        <v>356</v>
      </c>
      <c r="F30" s="23"/>
      <c r="G30" s="37"/>
      <c r="H30" s="30"/>
      <c r="I30" s="37"/>
      <c r="J30" s="265">
        <f aca="true" t="shared" si="3" ref="J30:L31">J31</f>
        <v>8388</v>
      </c>
      <c r="K30" s="265">
        <f t="shared" si="3"/>
        <v>0</v>
      </c>
      <c r="L30" s="265">
        <f t="shared" si="3"/>
        <v>8388</v>
      </c>
      <c r="M30" s="32"/>
      <c r="N30" s="33"/>
      <c r="O30" s="166"/>
    </row>
    <row r="31" spans="1:15" ht="38.25">
      <c r="A31" s="66" t="s">
        <v>472</v>
      </c>
      <c r="B31" s="23" t="s">
        <v>127</v>
      </c>
      <c r="C31" s="23" t="s">
        <v>19</v>
      </c>
      <c r="D31" s="23" t="s">
        <v>11</v>
      </c>
      <c r="E31" s="23" t="s">
        <v>473</v>
      </c>
      <c r="F31" s="23"/>
      <c r="G31" s="37"/>
      <c r="H31" s="30"/>
      <c r="I31" s="37"/>
      <c r="J31" s="265">
        <f t="shared" si="3"/>
        <v>8388</v>
      </c>
      <c r="K31" s="265">
        <f t="shared" si="3"/>
        <v>0</v>
      </c>
      <c r="L31" s="265">
        <f t="shared" si="3"/>
        <v>8388</v>
      </c>
      <c r="M31" s="32"/>
      <c r="N31" s="33"/>
      <c r="O31" s="166"/>
    </row>
    <row r="32" spans="1:14" ht="25.5">
      <c r="A32" s="168" t="s">
        <v>183</v>
      </c>
      <c r="B32" s="23" t="s">
        <v>127</v>
      </c>
      <c r="C32" s="23" t="s">
        <v>19</v>
      </c>
      <c r="D32" s="23" t="s">
        <v>11</v>
      </c>
      <c r="E32" s="23" t="s">
        <v>473</v>
      </c>
      <c r="F32" s="23" t="s">
        <v>150</v>
      </c>
      <c r="G32" s="37">
        <f>-112.8-880.2</f>
        <v>-993</v>
      </c>
      <c r="H32" s="30">
        <v>1128</v>
      </c>
      <c r="I32" s="37"/>
      <c r="J32" s="265">
        <v>8388</v>
      </c>
      <c r="K32" s="265"/>
      <c r="L32" s="265">
        <f>J32+K32</f>
        <v>8388</v>
      </c>
      <c r="M32" s="32">
        <v>-65</v>
      </c>
      <c r="N32" s="33">
        <f>L32+M32</f>
        <v>8323</v>
      </c>
    </row>
    <row r="33" spans="1:14" ht="15">
      <c r="A33" s="66" t="s">
        <v>347</v>
      </c>
      <c r="B33" s="23" t="s">
        <v>127</v>
      </c>
      <c r="C33" s="23" t="s">
        <v>19</v>
      </c>
      <c r="D33" s="23" t="s">
        <v>11</v>
      </c>
      <c r="E33" s="23" t="s">
        <v>276</v>
      </c>
      <c r="F33" s="23"/>
      <c r="G33" s="37"/>
      <c r="H33" s="30"/>
      <c r="I33" s="37"/>
      <c r="J33" s="265">
        <f aca="true" t="shared" si="4" ref="J33:L34">J34</f>
        <v>154.42</v>
      </c>
      <c r="K33" s="265">
        <f t="shared" si="4"/>
        <v>0</v>
      </c>
      <c r="L33" s="265">
        <f t="shared" si="4"/>
        <v>154.42</v>
      </c>
      <c r="M33" s="32"/>
      <c r="N33" s="33"/>
    </row>
    <row r="34" spans="1:14" ht="25.5">
      <c r="A34" s="98" t="s">
        <v>308</v>
      </c>
      <c r="B34" s="23" t="s">
        <v>127</v>
      </c>
      <c r="C34" s="23" t="s">
        <v>19</v>
      </c>
      <c r="D34" s="23" t="s">
        <v>11</v>
      </c>
      <c r="E34" s="23" t="s">
        <v>309</v>
      </c>
      <c r="F34" s="23"/>
      <c r="G34" s="37"/>
      <c r="H34" s="30"/>
      <c r="I34" s="37"/>
      <c r="J34" s="265">
        <f t="shared" si="4"/>
        <v>154.42</v>
      </c>
      <c r="K34" s="265">
        <f t="shared" si="4"/>
        <v>0</v>
      </c>
      <c r="L34" s="265">
        <f t="shared" si="4"/>
        <v>154.42</v>
      </c>
      <c r="M34" s="32"/>
      <c r="N34" s="33"/>
    </row>
    <row r="35" spans="1:14" ht="25.5">
      <c r="A35" s="168" t="s">
        <v>183</v>
      </c>
      <c r="B35" s="23" t="s">
        <v>127</v>
      </c>
      <c r="C35" s="23" t="s">
        <v>19</v>
      </c>
      <c r="D35" s="23" t="s">
        <v>11</v>
      </c>
      <c r="E35" s="23" t="s">
        <v>309</v>
      </c>
      <c r="F35" s="23" t="s">
        <v>150</v>
      </c>
      <c r="G35" s="37"/>
      <c r="H35" s="30"/>
      <c r="I35" s="37"/>
      <c r="J35" s="265">
        <v>154.42</v>
      </c>
      <c r="K35" s="265"/>
      <c r="L35" s="265">
        <f>J35+K35</f>
        <v>154.42</v>
      </c>
      <c r="M35" s="32"/>
      <c r="N35" s="33"/>
    </row>
    <row r="36" spans="1:14" ht="15">
      <c r="A36" s="28" t="s">
        <v>49</v>
      </c>
      <c r="B36" s="29" t="s">
        <v>127</v>
      </c>
      <c r="C36" s="29" t="s">
        <v>19</v>
      </c>
      <c r="D36" s="29" t="s">
        <v>12</v>
      </c>
      <c r="E36" s="29"/>
      <c r="F36" s="29"/>
      <c r="G36" s="24" t="e">
        <f>G39+G60+#REF!+#REF!+#REF!+#REF!</f>
        <v>#REF!</v>
      </c>
      <c r="H36" s="24" t="e">
        <f>H39+H60+#REF!+#REF!+#REF!+#REF!</f>
        <v>#REF!</v>
      </c>
      <c r="I36" s="24" t="e">
        <f>I39+I60+#REF!+#REF!+#REF!+#REF!</f>
        <v>#REF!</v>
      </c>
      <c r="J36" s="264">
        <f>J39+J60+J78+J85+J69+J76+J37</f>
        <v>200244.26457000003</v>
      </c>
      <c r="K36" s="264">
        <f>K39+K60+K78+K85+K69+K76+K37</f>
        <v>2494</v>
      </c>
      <c r="L36" s="264">
        <f>L39+L60+L78+L85+L69+L76+L37</f>
        <v>202738.26457000003</v>
      </c>
      <c r="M36" s="46" t="e">
        <f>M39+M60+#REF!+#REF!+#REF!+#REF!</f>
        <v>#REF!</v>
      </c>
      <c r="N36" s="63" t="e">
        <f>N39+N60+#REF!+#REF!+#REF!+#REF!</f>
        <v>#REF!</v>
      </c>
    </row>
    <row r="37" spans="1:14" ht="51">
      <c r="A37" s="66" t="s">
        <v>539</v>
      </c>
      <c r="B37" s="23" t="s">
        <v>127</v>
      </c>
      <c r="C37" s="23" t="s">
        <v>19</v>
      </c>
      <c r="D37" s="23" t="s">
        <v>12</v>
      </c>
      <c r="E37" s="23" t="s">
        <v>538</v>
      </c>
      <c r="F37" s="23"/>
      <c r="G37" s="31"/>
      <c r="H37" s="31"/>
      <c r="I37" s="31"/>
      <c r="J37" s="265">
        <f>J38</f>
        <v>0</v>
      </c>
      <c r="K37" s="265">
        <f>K38</f>
        <v>1973</v>
      </c>
      <c r="L37" s="265">
        <f>L38</f>
        <v>1973</v>
      </c>
      <c r="M37" s="32"/>
      <c r="N37" s="38"/>
    </row>
    <row r="38" spans="1:14" ht="25.5">
      <c r="A38" s="168" t="s">
        <v>183</v>
      </c>
      <c r="B38" s="23" t="s">
        <v>127</v>
      </c>
      <c r="C38" s="23" t="s">
        <v>19</v>
      </c>
      <c r="D38" s="23" t="s">
        <v>12</v>
      </c>
      <c r="E38" s="23" t="s">
        <v>538</v>
      </c>
      <c r="F38" s="23" t="s">
        <v>150</v>
      </c>
      <c r="G38" s="31"/>
      <c r="H38" s="31"/>
      <c r="I38" s="31"/>
      <c r="J38" s="265"/>
      <c r="K38" s="265">
        <v>1973</v>
      </c>
      <c r="L38" s="265">
        <f>J38+K38</f>
        <v>1973</v>
      </c>
      <c r="M38" s="32"/>
      <c r="N38" s="38"/>
    </row>
    <row r="39" spans="1:14" ht="26.25">
      <c r="A39" s="34" t="s">
        <v>138</v>
      </c>
      <c r="B39" s="23" t="s">
        <v>127</v>
      </c>
      <c r="C39" s="23" t="s">
        <v>19</v>
      </c>
      <c r="D39" s="23" t="s">
        <v>12</v>
      </c>
      <c r="E39" s="23" t="s">
        <v>139</v>
      </c>
      <c r="F39" s="23"/>
      <c r="G39" s="31">
        <f>G42</f>
        <v>867.76</v>
      </c>
      <c r="H39" s="31">
        <f>H42</f>
        <v>122607.1</v>
      </c>
      <c r="I39" s="31">
        <f>I42</f>
        <v>0</v>
      </c>
      <c r="J39" s="265">
        <f>J40+J42+J48+J51+J53+J55+J56+J57</f>
        <v>173642.16324</v>
      </c>
      <c r="K39" s="265">
        <f>K40+K42+K48+K51+K53+K55+K56+K57</f>
        <v>521</v>
      </c>
      <c r="L39" s="265">
        <f>L40+L42+L48+L51+L53+L55+L56+L57</f>
        <v>174163.16324</v>
      </c>
      <c r="M39" s="32" t="e">
        <f>M42+M49+M50+M55+#REF!+M56+#REF!+#REF!+#REF!+M58+M59</f>
        <v>#REF!</v>
      </c>
      <c r="N39" s="64" t="e">
        <f>N42+N49+N50+N55+#REF!+N56+#REF!+#REF!+#REF!+N58+N59</f>
        <v>#REF!</v>
      </c>
    </row>
    <row r="40" spans="1:14" ht="102">
      <c r="A40" s="167" t="s">
        <v>443</v>
      </c>
      <c r="B40" s="43" t="s">
        <v>127</v>
      </c>
      <c r="C40" s="43" t="s">
        <v>19</v>
      </c>
      <c r="D40" s="43" t="s">
        <v>12</v>
      </c>
      <c r="E40" s="43" t="s">
        <v>444</v>
      </c>
      <c r="F40" s="23"/>
      <c r="G40" s="31"/>
      <c r="H40" s="31"/>
      <c r="I40" s="31"/>
      <c r="J40" s="265">
        <f>J41</f>
        <v>128848.7</v>
      </c>
      <c r="K40" s="265">
        <f>K41</f>
        <v>1904</v>
      </c>
      <c r="L40" s="265">
        <f>L41</f>
        <v>130752.7</v>
      </c>
      <c r="M40" s="32"/>
      <c r="N40" s="64"/>
    </row>
    <row r="41" spans="1:14" ht="63.75">
      <c r="A41" s="66" t="s">
        <v>141</v>
      </c>
      <c r="B41" s="23" t="s">
        <v>127</v>
      </c>
      <c r="C41" s="23" t="s">
        <v>19</v>
      </c>
      <c r="D41" s="23" t="s">
        <v>12</v>
      </c>
      <c r="E41" s="23" t="s">
        <v>146</v>
      </c>
      <c r="F41" s="23" t="s">
        <v>142</v>
      </c>
      <c r="G41" s="37"/>
      <c r="H41" s="30"/>
      <c r="I41" s="37"/>
      <c r="J41" s="265">
        <v>128848.7</v>
      </c>
      <c r="K41" s="265">
        <v>1904</v>
      </c>
      <c r="L41" s="265">
        <f>SUM(J41:K41)</f>
        <v>130752.7</v>
      </c>
      <c r="M41" s="32"/>
      <c r="N41" s="33"/>
    </row>
    <row r="42" spans="1:14" ht="26.25">
      <c r="A42" s="34" t="s">
        <v>113</v>
      </c>
      <c r="B42" s="23" t="s">
        <v>127</v>
      </c>
      <c r="C42" s="23" t="s">
        <v>19</v>
      </c>
      <c r="D42" s="23" t="s">
        <v>12</v>
      </c>
      <c r="E42" s="23" t="s">
        <v>140</v>
      </c>
      <c r="F42" s="23"/>
      <c r="G42" s="37">
        <f>G43+G49</f>
        <v>867.76</v>
      </c>
      <c r="H42" s="37">
        <f>H43+H49</f>
        <v>122607.1</v>
      </c>
      <c r="I42" s="37">
        <f>I43+I49</f>
        <v>0</v>
      </c>
      <c r="J42" s="265">
        <f>J43+J46+J47+J44+J45</f>
        <v>43845.46324</v>
      </c>
      <c r="K42" s="265">
        <f>K43+K46+K47+K44+K45</f>
        <v>-1383</v>
      </c>
      <c r="L42" s="265">
        <f>L43+L46+L47+L44+L45</f>
        <v>42462.46324</v>
      </c>
      <c r="M42" s="32">
        <f>M43+M46</f>
        <v>2311.3940000000002</v>
      </c>
      <c r="N42" s="64">
        <f>N43+N46</f>
        <v>2355.8940000000002</v>
      </c>
    </row>
    <row r="43" spans="1:15" ht="38.25">
      <c r="A43" s="66" t="s">
        <v>172</v>
      </c>
      <c r="B43" s="23" t="s">
        <v>127</v>
      </c>
      <c r="C43" s="23" t="s">
        <v>19</v>
      </c>
      <c r="D43" s="23" t="s">
        <v>12</v>
      </c>
      <c r="E43" s="23" t="s">
        <v>140</v>
      </c>
      <c r="F43" s="23" t="s">
        <v>173</v>
      </c>
      <c r="G43" s="37">
        <f>36.76+38-200</f>
        <v>-125.24000000000001</v>
      </c>
      <c r="H43" s="30">
        <v>121495.1</v>
      </c>
      <c r="I43" s="37"/>
      <c r="J43" s="265">
        <v>44.5</v>
      </c>
      <c r="K43" s="265"/>
      <c r="L43" s="265">
        <f>J43+K43</f>
        <v>44.5</v>
      </c>
      <c r="M43" s="65">
        <f>102.98+1108+1100.414</f>
        <v>2311.3940000000002</v>
      </c>
      <c r="N43" s="33">
        <f>L43+M43</f>
        <v>2355.8940000000002</v>
      </c>
      <c r="O43" s="124" t="e">
        <f>L43-#REF!</f>
        <v>#REF!</v>
      </c>
    </row>
    <row r="44" spans="1:15" ht="51" hidden="1">
      <c r="A44" s="66" t="s">
        <v>176</v>
      </c>
      <c r="B44" s="23" t="s">
        <v>127</v>
      </c>
      <c r="C44" s="23" t="s">
        <v>19</v>
      </c>
      <c r="D44" s="23" t="s">
        <v>12</v>
      </c>
      <c r="E44" s="23" t="s">
        <v>140</v>
      </c>
      <c r="F44" s="23" t="s">
        <v>177</v>
      </c>
      <c r="G44" s="37"/>
      <c r="H44" s="30"/>
      <c r="I44" s="37"/>
      <c r="J44" s="265"/>
      <c r="K44" s="265"/>
      <c r="L44" s="265">
        <f>J44+K44</f>
        <v>0</v>
      </c>
      <c r="M44" s="65"/>
      <c r="N44" s="33"/>
      <c r="O44" s="124"/>
    </row>
    <row r="45" spans="1:15" ht="38.25">
      <c r="A45" s="66" t="s">
        <v>163</v>
      </c>
      <c r="B45" s="23" t="s">
        <v>127</v>
      </c>
      <c r="C45" s="23" t="s">
        <v>19</v>
      </c>
      <c r="D45" s="23" t="s">
        <v>12</v>
      </c>
      <c r="E45" s="23" t="s">
        <v>140</v>
      </c>
      <c r="F45" s="23" t="s">
        <v>165</v>
      </c>
      <c r="G45" s="37"/>
      <c r="H45" s="30"/>
      <c r="I45" s="37"/>
      <c r="J45" s="265">
        <v>7639.375</v>
      </c>
      <c r="K45" s="265">
        <f>-300</f>
        <v>-300</v>
      </c>
      <c r="L45" s="265">
        <f>J45+K45</f>
        <v>7339.375</v>
      </c>
      <c r="M45" s="65"/>
      <c r="N45" s="33"/>
      <c r="O45" s="124"/>
    </row>
    <row r="46" spans="1:15" ht="63.75">
      <c r="A46" s="66" t="s">
        <v>141</v>
      </c>
      <c r="B46" s="23" t="s">
        <v>127</v>
      </c>
      <c r="C46" s="23" t="s">
        <v>19</v>
      </c>
      <c r="D46" s="23" t="s">
        <v>12</v>
      </c>
      <c r="E46" s="23" t="s">
        <v>140</v>
      </c>
      <c r="F46" s="23" t="s">
        <v>142</v>
      </c>
      <c r="G46" s="37"/>
      <c r="H46" s="30"/>
      <c r="I46" s="37"/>
      <c r="J46" s="265">
        <v>24936.83524</v>
      </c>
      <c r="K46" s="265">
        <v>-1122</v>
      </c>
      <c r="L46" s="265">
        <f>SUM(J46:K46)</f>
        <v>23814.83524</v>
      </c>
      <c r="M46" s="65"/>
      <c r="N46" s="33"/>
      <c r="O46" s="124"/>
    </row>
    <row r="47" spans="1:15" ht="25.5">
      <c r="A47" s="66" t="s">
        <v>452</v>
      </c>
      <c r="B47" s="23" t="s">
        <v>127</v>
      </c>
      <c r="C47" s="23" t="s">
        <v>19</v>
      </c>
      <c r="D47" s="23" t="s">
        <v>12</v>
      </c>
      <c r="E47" s="23" t="s">
        <v>140</v>
      </c>
      <c r="F47" s="23" t="s">
        <v>150</v>
      </c>
      <c r="G47" s="37"/>
      <c r="H47" s="30"/>
      <c r="I47" s="37"/>
      <c r="J47" s="265">
        <v>11224.753</v>
      </c>
      <c r="K47" s="265">
        <f>-200+140+99</f>
        <v>39</v>
      </c>
      <c r="L47" s="265">
        <f>SUM(J47:K47)</f>
        <v>11263.753</v>
      </c>
      <c r="M47" s="65"/>
      <c r="N47" s="33"/>
      <c r="O47" s="124"/>
    </row>
    <row r="48" spans="1:15" ht="51.75">
      <c r="A48" s="34" t="s">
        <v>114</v>
      </c>
      <c r="B48" s="23" t="s">
        <v>127</v>
      </c>
      <c r="C48" s="23" t="s">
        <v>19</v>
      </c>
      <c r="D48" s="23" t="s">
        <v>12</v>
      </c>
      <c r="E48" s="23" t="s">
        <v>143</v>
      </c>
      <c r="F48" s="23"/>
      <c r="G48" s="37"/>
      <c r="H48" s="30"/>
      <c r="I48" s="37"/>
      <c r="J48" s="265">
        <f>J49+J50</f>
        <v>948</v>
      </c>
      <c r="K48" s="265">
        <f>K49+K50</f>
        <v>0</v>
      </c>
      <c r="L48" s="265">
        <f>L49+L50</f>
        <v>948</v>
      </c>
      <c r="M48" s="65"/>
      <c r="N48" s="33"/>
      <c r="O48" s="124"/>
    </row>
    <row r="49" spans="1:15" ht="26.25" hidden="1">
      <c r="A49" s="34" t="s">
        <v>115</v>
      </c>
      <c r="B49" s="23" t="s">
        <v>127</v>
      </c>
      <c r="C49" s="23" t="s">
        <v>19</v>
      </c>
      <c r="D49" s="23" t="s">
        <v>12</v>
      </c>
      <c r="E49" s="23" t="s">
        <v>143</v>
      </c>
      <c r="F49" s="23" t="s">
        <v>112</v>
      </c>
      <c r="G49" s="37">
        <f>112.8+880.2</f>
        <v>993</v>
      </c>
      <c r="H49" s="30">
        <v>1112</v>
      </c>
      <c r="I49" s="37"/>
      <c r="J49" s="265"/>
      <c r="K49" s="265"/>
      <c r="L49" s="265">
        <f>J49+K49</f>
        <v>0</v>
      </c>
      <c r="M49" s="32">
        <f>-605</f>
        <v>-605</v>
      </c>
      <c r="N49" s="33">
        <f>L49+M49</f>
        <v>-605</v>
      </c>
      <c r="O49" s="95" t="e">
        <f>L49-#REF!</f>
        <v>#REF!</v>
      </c>
    </row>
    <row r="50" spans="1:15" ht="63.75">
      <c r="A50" s="66" t="s">
        <v>141</v>
      </c>
      <c r="B50" s="23" t="s">
        <v>127</v>
      </c>
      <c r="C50" s="23" t="s">
        <v>19</v>
      </c>
      <c r="D50" s="23" t="s">
        <v>12</v>
      </c>
      <c r="E50" s="23" t="s">
        <v>143</v>
      </c>
      <c r="F50" s="23" t="s">
        <v>142</v>
      </c>
      <c r="G50" s="37"/>
      <c r="H50" s="30"/>
      <c r="I50" s="37"/>
      <c r="J50" s="265">
        <v>948</v>
      </c>
      <c r="K50" s="265"/>
      <c r="L50" s="265">
        <f>SUM(J50:K50)</f>
        <v>948</v>
      </c>
      <c r="M50" s="32"/>
      <c r="N50" s="33"/>
      <c r="O50" s="227">
        <f>-(J50-1045.71926+136.63729+190.2)</f>
        <v>-229.11802999999992</v>
      </c>
    </row>
    <row r="51" spans="1:15" ht="25.5" hidden="1">
      <c r="A51" s="66" t="s">
        <v>447</v>
      </c>
      <c r="B51" s="23" t="s">
        <v>127</v>
      </c>
      <c r="C51" s="23" t="s">
        <v>19</v>
      </c>
      <c r="D51" s="23" t="s">
        <v>12</v>
      </c>
      <c r="E51" s="23" t="s">
        <v>149</v>
      </c>
      <c r="F51" s="23"/>
      <c r="G51" s="37"/>
      <c r="H51" s="30"/>
      <c r="I51" s="37"/>
      <c r="J51" s="265">
        <f>J52</f>
        <v>0</v>
      </c>
      <c r="K51" s="265">
        <f>K52</f>
        <v>0</v>
      </c>
      <c r="L51" s="265">
        <f>L52</f>
        <v>0</v>
      </c>
      <c r="M51" s="32"/>
      <c r="N51" s="33"/>
      <c r="O51" s="95"/>
    </row>
    <row r="52" spans="1:14" ht="25.5" hidden="1">
      <c r="A52" s="168" t="s">
        <v>183</v>
      </c>
      <c r="B52" s="23" t="s">
        <v>127</v>
      </c>
      <c r="C52" s="23" t="s">
        <v>19</v>
      </c>
      <c r="D52" s="23" t="s">
        <v>12</v>
      </c>
      <c r="E52" s="23" t="s">
        <v>149</v>
      </c>
      <c r="F52" s="23" t="s">
        <v>150</v>
      </c>
      <c r="G52" s="37"/>
      <c r="H52" s="30"/>
      <c r="I52" s="37"/>
      <c r="J52" s="265">
        <v>0</v>
      </c>
      <c r="K52" s="265"/>
      <c r="L52" s="265">
        <f>J52+K52</f>
        <v>0</v>
      </c>
      <c r="M52" s="32"/>
      <c r="N52" s="33"/>
    </row>
    <row r="53" spans="1:15" ht="39" hidden="1">
      <c r="A53" s="34" t="s">
        <v>446</v>
      </c>
      <c r="B53" s="23" t="s">
        <v>127</v>
      </c>
      <c r="C53" s="23" t="s">
        <v>19</v>
      </c>
      <c r="D53" s="23" t="s">
        <v>12</v>
      </c>
      <c r="E53" s="23" t="s">
        <v>151</v>
      </c>
      <c r="F53" s="23"/>
      <c r="G53" s="37"/>
      <c r="H53" s="30"/>
      <c r="I53" s="37"/>
      <c r="J53" s="265">
        <f>J54</f>
        <v>0</v>
      </c>
      <c r="K53" s="265">
        <f>K54</f>
        <v>0</v>
      </c>
      <c r="L53" s="265">
        <f>L54</f>
        <v>0</v>
      </c>
      <c r="M53" s="32"/>
      <c r="N53" s="33"/>
      <c r="O53" s="95"/>
    </row>
    <row r="54" spans="1:14" ht="25.5" hidden="1">
      <c r="A54" s="168" t="s">
        <v>183</v>
      </c>
      <c r="B54" s="23" t="s">
        <v>127</v>
      </c>
      <c r="C54" s="23" t="s">
        <v>19</v>
      </c>
      <c r="D54" s="23" t="s">
        <v>12</v>
      </c>
      <c r="E54" s="23" t="s">
        <v>151</v>
      </c>
      <c r="F54" s="23" t="s">
        <v>150</v>
      </c>
      <c r="G54" s="37"/>
      <c r="H54" s="30"/>
      <c r="I54" s="37"/>
      <c r="J54" s="265">
        <v>0</v>
      </c>
      <c r="K54" s="265"/>
      <c r="L54" s="265">
        <f>J54+K54</f>
        <v>0</v>
      </c>
      <c r="M54" s="32"/>
      <c r="N54" s="33"/>
    </row>
    <row r="55" spans="1:15" ht="76.5" hidden="1">
      <c r="A55" s="67" t="s">
        <v>144</v>
      </c>
      <c r="B55" s="23" t="s">
        <v>127</v>
      </c>
      <c r="C55" s="23" t="s">
        <v>19</v>
      </c>
      <c r="D55" s="23" t="s">
        <v>12</v>
      </c>
      <c r="E55" s="23" t="s">
        <v>145</v>
      </c>
      <c r="F55" s="23" t="s">
        <v>112</v>
      </c>
      <c r="G55" s="37"/>
      <c r="H55" s="30"/>
      <c r="I55" s="37"/>
      <c r="J55" s="265"/>
      <c r="K55" s="265"/>
      <c r="L55" s="265">
        <f>J55+K55</f>
        <v>0</v>
      </c>
      <c r="M55" s="32"/>
      <c r="N55" s="33"/>
      <c r="O55" s="19">
        <v>91019</v>
      </c>
    </row>
    <row r="56" spans="1:15" ht="51.75" hidden="1">
      <c r="A56" s="34" t="s">
        <v>147</v>
      </c>
      <c r="B56" s="23" t="s">
        <v>127</v>
      </c>
      <c r="C56" s="23" t="s">
        <v>19</v>
      </c>
      <c r="D56" s="23" t="s">
        <v>12</v>
      </c>
      <c r="E56" s="23" t="s">
        <v>148</v>
      </c>
      <c r="F56" s="23" t="s">
        <v>112</v>
      </c>
      <c r="G56" s="37"/>
      <c r="H56" s="30"/>
      <c r="I56" s="37"/>
      <c r="J56" s="265"/>
      <c r="K56" s="265"/>
      <c r="L56" s="265">
        <f>J56+K56</f>
        <v>0</v>
      </c>
      <c r="M56" s="32"/>
      <c r="N56" s="33"/>
      <c r="O56" s="162"/>
    </row>
    <row r="57" spans="1:14" ht="51.75" hidden="1">
      <c r="A57" s="34" t="s">
        <v>152</v>
      </c>
      <c r="B57" s="23" t="s">
        <v>127</v>
      </c>
      <c r="C57" s="23" t="s">
        <v>19</v>
      </c>
      <c r="D57" s="23" t="s">
        <v>12</v>
      </c>
      <c r="E57" s="23" t="s">
        <v>153</v>
      </c>
      <c r="F57" s="23"/>
      <c r="G57" s="37"/>
      <c r="H57" s="30"/>
      <c r="I57" s="37"/>
      <c r="J57" s="265">
        <f>J58+J59</f>
        <v>0</v>
      </c>
      <c r="K57" s="265">
        <f>K58+K59</f>
        <v>0</v>
      </c>
      <c r="L57" s="265">
        <f>L58+L59</f>
        <v>0</v>
      </c>
      <c r="M57" s="32"/>
      <c r="N57" s="33"/>
    </row>
    <row r="58" spans="1:17" ht="51.75" hidden="1">
      <c r="A58" s="34" t="s">
        <v>152</v>
      </c>
      <c r="B58" s="23" t="s">
        <v>127</v>
      </c>
      <c r="C58" s="23" t="s">
        <v>19</v>
      </c>
      <c r="D58" s="23" t="s">
        <v>12</v>
      </c>
      <c r="E58" s="23" t="s">
        <v>153</v>
      </c>
      <c r="F58" s="23" t="s">
        <v>112</v>
      </c>
      <c r="G58" s="37"/>
      <c r="H58" s="30"/>
      <c r="I58" s="37"/>
      <c r="J58" s="265"/>
      <c r="K58" s="265"/>
      <c r="L58" s="265">
        <f>J58+K58</f>
        <v>0</v>
      </c>
      <c r="M58" s="32"/>
      <c r="N58" s="33"/>
      <c r="O58" s="162">
        <v>1770.5</v>
      </c>
      <c r="Q58" s="95">
        <f>L58-O58</f>
        <v>-1770.5</v>
      </c>
    </row>
    <row r="59" spans="1:17" ht="63.75" hidden="1">
      <c r="A59" s="66" t="s">
        <v>141</v>
      </c>
      <c r="B59" s="23" t="s">
        <v>127</v>
      </c>
      <c r="C59" s="23" t="s">
        <v>19</v>
      </c>
      <c r="D59" s="23" t="s">
        <v>12</v>
      </c>
      <c r="E59" s="23" t="s">
        <v>153</v>
      </c>
      <c r="F59" s="23" t="s">
        <v>142</v>
      </c>
      <c r="G59" s="37"/>
      <c r="H59" s="30"/>
      <c r="I59" s="37"/>
      <c r="J59" s="265"/>
      <c r="K59" s="265"/>
      <c r="L59" s="265">
        <f>SUM(J59:K59)</f>
        <v>0</v>
      </c>
      <c r="M59" s="32"/>
      <c r="N59" s="33"/>
      <c r="O59" s="162"/>
      <c r="Q59" s="95"/>
    </row>
    <row r="60" spans="1:14" ht="26.25">
      <c r="A60" s="34" t="s">
        <v>154</v>
      </c>
      <c r="B60" s="23" t="s">
        <v>127</v>
      </c>
      <c r="C60" s="23" t="s">
        <v>19</v>
      </c>
      <c r="D60" s="23" t="s">
        <v>12</v>
      </c>
      <c r="E60" s="23" t="s">
        <v>155</v>
      </c>
      <c r="F60" s="23"/>
      <c r="G60" s="37" t="e">
        <f aca="true" t="shared" si="5" ref="G60:N60">G61</f>
        <v>#REF!</v>
      </c>
      <c r="H60" s="37" t="e">
        <f t="shared" si="5"/>
        <v>#REF!</v>
      </c>
      <c r="I60" s="37" t="e">
        <f t="shared" si="5"/>
        <v>#REF!</v>
      </c>
      <c r="J60" s="265">
        <f t="shared" si="5"/>
        <v>7043.101329999999</v>
      </c>
      <c r="K60" s="265">
        <f t="shared" si="5"/>
        <v>0</v>
      </c>
      <c r="L60" s="265">
        <f t="shared" si="5"/>
        <v>7043.101329999999</v>
      </c>
      <c r="M60" s="32" t="e">
        <f t="shared" si="5"/>
        <v>#REF!</v>
      </c>
      <c r="N60" s="33" t="e">
        <f t="shared" si="5"/>
        <v>#REF!</v>
      </c>
    </row>
    <row r="61" spans="1:14" ht="26.25">
      <c r="A61" s="34" t="s">
        <v>113</v>
      </c>
      <c r="B61" s="23" t="s">
        <v>127</v>
      </c>
      <c r="C61" s="23" t="s">
        <v>19</v>
      </c>
      <c r="D61" s="23" t="s">
        <v>12</v>
      </c>
      <c r="E61" s="23" t="s">
        <v>156</v>
      </c>
      <c r="F61" s="23"/>
      <c r="G61" s="37" t="e">
        <f>G62+#REF!</f>
        <v>#REF!</v>
      </c>
      <c r="H61" s="37" t="e">
        <f>H62+#REF!</f>
        <v>#REF!</v>
      </c>
      <c r="I61" s="37" t="e">
        <f>I62+#REF!</f>
        <v>#REF!</v>
      </c>
      <c r="J61" s="265">
        <f>J62+J68+J63+J64+J65+J66+J67</f>
        <v>7043.101329999999</v>
      </c>
      <c r="K61" s="265">
        <f>K62+K68+K63+K64+K65+K66+K67</f>
        <v>0</v>
      </c>
      <c r="L61" s="265">
        <f>L62+L68+L63+L64+L65+L66+L67</f>
        <v>7043.101329999999</v>
      </c>
      <c r="M61" s="32" t="e">
        <f>M62+#REF!</f>
        <v>#REF!</v>
      </c>
      <c r="N61" s="33" t="e">
        <f>N62+#REF!</f>
        <v>#REF!</v>
      </c>
    </row>
    <row r="62" spans="1:15" ht="26.25">
      <c r="A62" s="71" t="s">
        <v>169</v>
      </c>
      <c r="B62" s="23" t="s">
        <v>127</v>
      </c>
      <c r="C62" s="23" t="s">
        <v>19</v>
      </c>
      <c r="D62" s="23" t="s">
        <v>12</v>
      </c>
      <c r="E62" s="23" t="s">
        <v>156</v>
      </c>
      <c r="F62" s="23" t="s">
        <v>170</v>
      </c>
      <c r="G62" s="37">
        <v>165.6</v>
      </c>
      <c r="H62" s="30">
        <v>10077.24</v>
      </c>
      <c r="I62" s="37"/>
      <c r="J62" s="265">
        <v>3075.88883</v>
      </c>
      <c r="K62" s="265"/>
      <c r="L62" s="265">
        <f aca="true" t="shared" si="6" ref="L62:L67">J62+K62</f>
        <v>3075.88883</v>
      </c>
      <c r="M62" s="32">
        <f>15</f>
        <v>15</v>
      </c>
      <c r="N62" s="33">
        <f>L62+M62</f>
        <v>3090.88883</v>
      </c>
      <c r="O62" s="162" t="e">
        <f>L62-#REF!</f>
        <v>#REF!</v>
      </c>
    </row>
    <row r="63" spans="1:15" ht="38.25">
      <c r="A63" s="66" t="s">
        <v>172</v>
      </c>
      <c r="B63" s="23" t="s">
        <v>127</v>
      </c>
      <c r="C63" s="23" t="s">
        <v>19</v>
      </c>
      <c r="D63" s="23" t="s">
        <v>12</v>
      </c>
      <c r="E63" s="23" t="s">
        <v>156</v>
      </c>
      <c r="F63" s="23" t="s">
        <v>173</v>
      </c>
      <c r="G63" s="37"/>
      <c r="H63" s="30"/>
      <c r="I63" s="37"/>
      <c r="J63" s="265">
        <v>94.45</v>
      </c>
      <c r="K63" s="265"/>
      <c r="L63" s="265">
        <f t="shared" si="6"/>
        <v>94.45</v>
      </c>
      <c r="M63" s="32"/>
      <c r="N63" s="33"/>
      <c r="O63" s="162"/>
    </row>
    <row r="64" spans="1:15" ht="51">
      <c r="A64" s="66" t="s">
        <v>176</v>
      </c>
      <c r="B64" s="23" t="s">
        <v>127</v>
      </c>
      <c r="C64" s="23" t="s">
        <v>19</v>
      </c>
      <c r="D64" s="23" t="s">
        <v>12</v>
      </c>
      <c r="E64" s="23" t="s">
        <v>156</v>
      </c>
      <c r="F64" s="23" t="s">
        <v>177</v>
      </c>
      <c r="G64" s="37"/>
      <c r="H64" s="30"/>
      <c r="I64" s="37"/>
      <c r="J64" s="265">
        <v>40.2</v>
      </c>
      <c r="K64" s="265"/>
      <c r="L64" s="265">
        <f t="shared" si="6"/>
        <v>40.2</v>
      </c>
      <c r="M64" s="32"/>
      <c r="N64" s="33"/>
      <c r="O64" s="162"/>
    </row>
    <row r="65" spans="1:15" ht="38.25">
      <c r="A65" s="66" t="s">
        <v>163</v>
      </c>
      <c r="B65" s="23" t="s">
        <v>127</v>
      </c>
      <c r="C65" s="23" t="s">
        <v>19</v>
      </c>
      <c r="D65" s="23" t="s">
        <v>12</v>
      </c>
      <c r="E65" s="23" t="s">
        <v>156</v>
      </c>
      <c r="F65" s="23" t="s">
        <v>165</v>
      </c>
      <c r="G65" s="37"/>
      <c r="H65" s="30"/>
      <c r="I65" s="37"/>
      <c r="J65" s="265">
        <v>1457.5708</v>
      </c>
      <c r="K65" s="265"/>
      <c r="L65" s="265">
        <f t="shared" si="6"/>
        <v>1457.5708</v>
      </c>
      <c r="M65" s="32"/>
      <c r="N65" s="33"/>
      <c r="O65" s="162"/>
    </row>
    <row r="66" spans="1:15" ht="38.25">
      <c r="A66" s="66" t="s">
        <v>178</v>
      </c>
      <c r="B66" s="23" t="s">
        <v>127</v>
      </c>
      <c r="C66" s="23" t="s">
        <v>19</v>
      </c>
      <c r="D66" s="23" t="s">
        <v>12</v>
      </c>
      <c r="E66" s="23" t="s">
        <v>156</v>
      </c>
      <c r="F66" s="23" t="s">
        <v>179</v>
      </c>
      <c r="G66" s="37"/>
      <c r="H66" s="30"/>
      <c r="I66" s="37"/>
      <c r="J66" s="265">
        <v>206.442</v>
      </c>
      <c r="K66" s="265"/>
      <c r="L66" s="265">
        <f t="shared" si="6"/>
        <v>206.442</v>
      </c>
      <c r="M66" s="32"/>
      <c r="N66" s="33"/>
      <c r="O66" s="162"/>
    </row>
    <row r="67" spans="1:15" ht="25.5">
      <c r="A67" s="66" t="s">
        <v>180</v>
      </c>
      <c r="B67" s="23" t="s">
        <v>127</v>
      </c>
      <c r="C67" s="23" t="s">
        <v>19</v>
      </c>
      <c r="D67" s="23" t="s">
        <v>12</v>
      </c>
      <c r="E67" s="23" t="s">
        <v>156</v>
      </c>
      <c r="F67" s="23" t="s">
        <v>181</v>
      </c>
      <c r="G67" s="37"/>
      <c r="H67" s="30"/>
      <c r="I67" s="37"/>
      <c r="J67" s="265">
        <v>5</v>
      </c>
      <c r="K67" s="265"/>
      <c r="L67" s="265">
        <f t="shared" si="6"/>
        <v>5</v>
      </c>
      <c r="M67" s="32"/>
      <c r="N67" s="33"/>
      <c r="O67" s="162"/>
    </row>
    <row r="68" spans="1:14" ht="27.75" customHeight="1">
      <c r="A68" s="66" t="s">
        <v>141</v>
      </c>
      <c r="B68" s="23" t="s">
        <v>127</v>
      </c>
      <c r="C68" s="23" t="s">
        <v>19</v>
      </c>
      <c r="D68" s="23" t="s">
        <v>12</v>
      </c>
      <c r="E68" s="23" t="s">
        <v>156</v>
      </c>
      <c r="F68" s="23" t="s">
        <v>142</v>
      </c>
      <c r="G68" s="37"/>
      <c r="H68" s="30"/>
      <c r="I68" s="37"/>
      <c r="J68" s="265">
        <v>2163.5497</v>
      </c>
      <c r="K68" s="265"/>
      <c r="L68" s="265">
        <f>SUM(J68:K68)</f>
        <v>2163.5497</v>
      </c>
      <c r="M68" s="32"/>
      <c r="N68" s="33"/>
    </row>
    <row r="69" spans="1:14" ht="27.75" customHeight="1">
      <c r="A69" s="66" t="s">
        <v>490</v>
      </c>
      <c r="B69" s="23" t="s">
        <v>127</v>
      </c>
      <c r="C69" s="23" t="s">
        <v>19</v>
      </c>
      <c r="D69" s="23" t="s">
        <v>12</v>
      </c>
      <c r="E69" s="23" t="s">
        <v>492</v>
      </c>
      <c r="F69" s="23"/>
      <c r="G69" s="37"/>
      <c r="H69" s="30"/>
      <c r="I69" s="37"/>
      <c r="J69" s="265">
        <f>J70+J72+J74</f>
        <v>11116.289999999999</v>
      </c>
      <c r="K69" s="265">
        <f>K70+K72+K74</f>
        <v>0</v>
      </c>
      <c r="L69" s="265">
        <f>L70+L72+L74</f>
        <v>11116.289999999999</v>
      </c>
      <c r="M69" s="38"/>
      <c r="N69" s="38"/>
    </row>
    <row r="70" spans="1:15" ht="27.75" customHeight="1">
      <c r="A70" s="66" t="s">
        <v>493</v>
      </c>
      <c r="B70" s="23" t="s">
        <v>127</v>
      </c>
      <c r="C70" s="23" t="s">
        <v>19</v>
      </c>
      <c r="D70" s="23" t="s">
        <v>12</v>
      </c>
      <c r="E70" s="23" t="s">
        <v>491</v>
      </c>
      <c r="F70" s="23"/>
      <c r="G70" s="37"/>
      <c r="H70" s="30"/>
      <c r="I70" s="37"/>
      <c r="J70" s="265">
        <f aca="true" t="shared" si="7" ref="J70:O70">J71</f>
        <v>11005.13</v>
      </c>
      <c r="K70" s="265">
        <f t="shared" si="7"/>
        <v>0</v>
      </c>
      <c r="L70" s="265">
        <f t="shared" si="7"/>
        <v>11005.13</v>
      </c>
      <c r="M70" s="237">
        <f t="shared" si="7"/>
        <v>0</v>
      </c>
      <c r="N70" s="237">
        <f t="shared" si="7"/>
        <v>0</v>
      </c>
      <c r="O70" s="237">
        <f t="shared" si="7"/>
        <v>0</v>
      </c>
    </row>
    <row r="71" spans="1:15" ht="27.75" customHeight="1">
      <c r="A71" s="168" t="s">
        <v>183</v>
      </c>
      <c r="B71" s="23" t="s">
        <v>127</v>
      </c>
      <c r="C71" s="23" t="s">
        <v>19</v>
      </c>
      <c r="D71" s="23" t="s">
        <v>12</v>
      </c>
      <c r="E71" s="23" t="s">
        <v>491</v>
      </c>
      <c r="F71" s="23" t="s">
        <v>150</v>
      </c>
      <c r="G71" s="37"/>
      <c r="H71" s="30"/>
      <c r="I71" s="37"/>
      <c r="J71" s="265">
        <v>11005.13</v>
      </c>
      <c r="K71" s="265"/>
      <c r="L71" s="265">
        <f>J71+K71</f>
        <v>11005.13</v>
      </c>
      <c r="M71" s="238"/>
      <c r="N71" s="239"/>
      <c r="O71" s="240"/>
    </row>
    <row r="72" spans="1:15" ht="27.75" customHeight="1" hidden="1">
      <c r="A72" s="66" t="s">
        <v>495</v>
      </c>
      <c r="B72" s="23" t="s">
        <v>127</v>
      </c>
      <c r="C72" s="23" t="s">
        <v>19</v>
      </c>
      <c r="D72" s="23" t="s">
        <v>12</v>
      </c>
      <c r="E72" s="23" t="s">
        <v>496</v>
      </c>
      <c r="F72" s="23"/>
      <c r="G72" s="37"/>
      <c r="H72" s="30"/>
      <c r="I72" s="37"/>
      <c r="J72" s="265">
        <f>J73</f>
        <v>0</v>
      </c>
      <c r="K72" s="265">
        <f>K73</f>
        <v>0</v>
      </c>
      <c r="L72" s="265">
        <f>L73</f>
        <v>0</v>
      </c>
      <c r="M72" s="239"/>
      <c r="N72" s="239"/>
      <c r="O72" s="241"/>
    </row>
    <row r="73" spans="1:14" ht="27.75" customHeight="1" hidden="1">
      <c r="A73" s="168" t="s">
        <v>183</v>
      </c>
      <c r="B73" s="23" t="s">
        <v>127</v>
      </c>
      <c r="C73" s="23" t="s">
        <v>19</v>
      </c>
      <c r="D73" s="23" t="s">
        <v>12</v>
      </c>
      <c r="E73" s="23" t="s">
        <v>496</v>
      </c>
      <c r="F73" s="23" t="s">
        <v>150</v>
      </c>
      <c r="G73" s="37"/>
      <c r="H73" s="30"/>
      <c r="I73" s="37"/>
      <c r="J73" s="265"/>
      <c r="K73" s="265"/>
      <c r="L73" s="265">
        <f>J73+K73</f>
        <v>0</v>
      </c>
      <c r="M73" s="38"/>
      <c r="N73" s="38"/>
    </row>
    <row r="74" spans="1:14" ht="46.5" customHeight="1">
      <c r="A74" s="66" t="s">
        <v>494</v>
      </c>
      <c r="B74" s="23" t="s">
        <v>127</v>
      </c>
      <c r="C74" s="23" t="s">
        <v>19</v>
      </c>
      <c r="D74" s="23" t="s">
        <v>12</v>
      </c>
      <c r="E74" s="23" t="s">
        <v>497</v>
      </c>
      <c r="F74" s="23"/>
      <c r="G74" s="37"/>
      <c r="H74" s="30"/>
      <c r="I74" s="37"/>
      <c r="J74" s="265">
        <f>J75</f>
        <v>111.16</v>
      </c>
      <c r="K74" s="265">
        <f>K75</f>
        <v>0</v>
      </c>
      <c r="L74" s="265">
        <f>L75</f>
        <v>111.16</v>
      </c>
      <c r="M74" s="38"/>
      <c r="N74" s="38"/>
    </row>
    <row r="75" spans="1:14" ht="27.75" customHeight="1">
      <c r="A75" s="168" t="s">
        <v>183</v>
      </c>
      <c r="B75" s="23" t="s">
        <v>127</v>
      </c>
      <c r="C75" s="23" t="s">
        <v>19</v>
      </c>
      <c r="D75" s="23" t="s">
        <v>12</v>
      </c>
      <c r="E75" s="23" t="s">
        <v>497</v>
      </c>
      <c r="F75" s="23" t="s">
        <v>150</v>
      </c>
      <c r="G75" s="37"/>
      <c r="H75" s="30"/>
      <c r="I75" s="37"/>
      <c r="J75" s="265">
        <v>111.16</v>
      </c>
      <c r="K75" s="265"/>
      <c r="L75" s="265">
        <f>J75+K75</f>
        <v>111.16</v>
      </c>
      <c r="M75" s="38"/>
      <c r="N75" s="38"/>
    </row>
    <row r="76" spans="1:16" ht="38.25">
      <c r="A76" s="66" t="s">
        <v>498</v>
      </c>
      <c r="B76" s="23" t="s">
        <v>127</v>
      </c>
      <c r="C76" s="23" t="s">
        <v>19</v>
      </c>
      <c r="D76" s="23" t="s">
        <v>12</v>
      </c>
      <c r="E76" s="23" t="s">
        <v>499</v>
      </c>
      <c r="F76" s="23"/>
      <c r="G76" s="37"/>
      <c r="H76" s="30"/>
      <c r="I76" s="37"/>
      <c r="J76" s="265">
        <f aca="true" t="shared" si="8" ref="J76:O76">J77</f>
        <v>2690.5</v>
      </c>
      <c r="K76" s="265">
        <f t="shared" si="8"/>
        <v>0</v>
      </c>
      <c r="L76" s="265">
        <f t="shared" si="8"/>
        <v>2690.5</v>
      </c>
      <c r="M76" s="240">
        <f t="shared" si="8"/>
        <v>0</v>
      </c>
      <c r="N76" s="240">
        <f t="shared" si="8"/>
        <v>0</v>
      </c>
      <c r="O76" s="240">
        <f t="shared" si="8"/>
        <v>0</v>
      </c>
      <c r="P76" s="242">
        <f>O76/L76*100</f>
        <v>0</v>
      </c>
    </row>
    <row r="77" spans="1:16" ht="25.5">
      <c r="A77" s="168" t="s">
        <v>183</v>
      </c>
      <c r="B77" s="23" t="s">
        <v>127</v>
      </c>
      <c r="C77" s="23" t="s">
        <v>19</v>
      </c>
      <c r="D77" s="23" t="s">
        <v>12</v>
      </c>
      <c r="E77" s="23" t="s">
        <v>499</v>
      </c>
      <c r="F77" s="23" t="s">
        <v>150</v>
      </c>
      <c r="G77" s="37"/>
      <c r="H77" s="30"/>
      <c r="I77" s="37"/>
      <c r="J77" s="265">
        <v>2690.5</v>
      </c>
      <c r="K77" s="265"/>
      <c r="L77" s="265">
        <f>J77+K77</f>
        <v>2690.5</v>
      </c>
      <c r="M77" s="238"/>
      <c r="N77" s="239"/>
      <c r="O77" s="240"/>
      <c r="P77" s="242">
        <f>O77/L77*100</f>
        <v>0</v>
      </c>
    </row>
    <row r="78" spans="1:14" ht="27.75" customHeight="1">
      <c r="A78" s="66" t="s">
        <v>453</v>
      </c>
      <c r="B78" s="23" t="s">
        <v>127</v>
      </c>
      <c r="C78" s="23" t="s">
        <v>19</v>
      </c>
      <c r="D78" s="23" t="s">
        <v>12</v>
      </c>
      <c r="E78" s="23" t="s">
        <v>356</v>
      </c>
      <c r="F78" s="23"/>
      <c r="G78" s="37"/>
      <c r="H78" s="30"/>
      <c r="I78" s="37"/>
      <c r="J78" s="265">
        <f>J79+J81+J83</f>
        <v>4429.200000000001</v>
      </c>
      <c r="K78" s="265">
        <f>K79+K81+K83</f>
        <v>0</v>
      </c>
      <c r="L78" s="265">
        <f>L79+L81+L83</f>
        <v>4429.200000000001</v>
      </c>
      <c r="M78" s="38"/>
      <c r="N78" s="38"/>
    </row>
    <row r="79" spans="1:14" ht="27.75" customHeight="1">
      <c r="A79" s="66" t="s">
        <v>454</v>
      </c>
      <c r="B79" s="23" t="s">
        <v>127</v>
      </c>
      <c r="C79" s="23" t="s">
        <v>19</v>
      </c>
      <c r="D79" s="23" t="s">
        <v>12</v>
      </c>
      <c r="E79" s="23" t="s">
        <v>455</v>
      </c>
      <c r="F79" s="23"/>
      <c r="G79" s="37"/>
      <c r="H79" s="30"/>
      <c r="I79" s="37"/>
      <c r="J79" s="265">
        <f>J80</f>
        <v>1667.4</v>
      </c>
      <c r="K79" s="265">
        <f>K80</f>
        <v>0</v>
      </c>
      <c r="L79" s="265">
        <f>L80</f>
        <v>1667.4</v>
      </c>
      <c r="M79" s="38"/>
      <c r="N79" s="38"/>
    </row>
    <row r="80" spans="1:14" ht="27.75" customHeight="1">
      <c r="A80" s="66" t="s">
        <v>141</v>
      </c>
      <c r="B80" s="23" t="s">
        <v>127</v>
      </c>
      <c r="C80" s="23" t="s">
        <v>19</v>
      </c>
      <c r="D80" s="23" t="s">
        <v>12</v>
      </c>
      <c r="E80" s="23" t="s">
        <v>455</v>
      </c>
      <c r="F80" s="23" t="s">
        <v>142</v>
      </c>
      <c r="G80" s="37"/>
      <c r="H80" s="30"/>
      <c r="I80" s="37"/>
      <c r="J80" s="265">
        <v>1667.4</v>
      </c>
      <c r="K80" s="265"/>
      <c r="L80" s="265">
        <f>J80+K80</f>
        <v>1667.4</v>
      </c>
      <c r="M80" s="38"/>
      <c r="N80" s="38"/>
    </row>
    <row r="81" spans="1:14" ht="28.5" customHeight="1">
      <c r="A81" s="66" t="s">
        <v>157</v>
      </c>
      <c r="B81" s="23" t="s">
        <v>127</v>
      </c>
      <c r="C81" s="23" t="s">
        <v>19</v>
      </c>
      <c r="D81" s="23" t="s">
        <v>12</v>
      </c>
      <c r="E81" s="23" t="s">
        <v>158</v>
      </c>
      <c r="F81" s="23"/>
      <c r="G81" s="37"/>
      <c r="H81" s="30"/>
      <c r="I81" s="37"/>
      <c r="J81" s="265">
        <f>J82</f>
        <v>384.8</v>
      </c>
      <c r="K81" s="265">
        <f>K82</f>
        <v>0</v>
      </c>
      <c r="L81" s="265">
        <f>L82</f>
        <v>384.8</v>
      </c>
      <c r="M81" s="68">
        <f>M82</f>
        <v>0</v>
      </c>
      <c r="N81" s="69">
        <f>N82</f>
        <v>0</v>
      </c>
    </row>
    <row r="82" spans="1:14" ht="57.75" customHeight="1">
      <c r="A82" s="66" t="s">
        <v>141</v>
      </c>
      <c r="B82" s="23" t="s">
        <v>127</v>
      </c>
      <c r="C82" s="23" t="s">
        <v>19</v>
      </c>
      <c r="D82" s="23" t="s">
        <v>12</v>
      </c>
      <c r="E82" s="23" t="s">
        <v>158</v>
      </c>
      <c r="F82" s="23" t="s">
        <v>142</v>
      </c>
      <c r="G82" s="37"/>
      <c r="H82" s="30"/>
      <c r="I82" s="37"/>
      <c r="J82" s="265">
        <v>384.8</v>
      </c>
      <c r="K82" s="265"/>
      <c r="L82" s="265">
        <f>J82+K82</f>
        <v>384.8</v>
      </c>
      <c r="M82" s="32"/>
      <c r="N82" s="33"/>
    </row>
    <row r="83" spans="1:14" ht="38.25">
      <c r="A83" s="66" t="s">
        <v>472</v>
      </c>
      <c r="B83" s="23" t="s">
        <v>127</v>
      </c>
      <c r="C83" s="23" t="s">
        <v>19</v>
      </c>
      <c r="D83" s="23" t="s">
        <v>12</v>
      </c>
      <c r="E83" s="23" t="s">
        <v>473</v>
      </c>
      <c r="F83" s="23"/>
      <c r="G83" s="37"/>
      <c r="H83" s="30"/>
      <c r="I83" s="37"/>
      <c r="J83" s="265">
        <f>J84</f>
        <v>2377</v>
      </c>
      <c r="K83" s="265">
        <f>K84</f>
        <v>0</v>
      </c>
      <c r="L83" s="265">
        <f>L84</f>
        <v>2377</v>
      </c>
      <c r="M83" s="32"/>
      <c r="N83" s="33"/>
    </row>
    <row r="84" spans="1:14" ht="25.5">
      <c r="A84" s="168" t="s">
        <v>183</v>
      </c>
      <c r="B84" s="23" t="s">
        <v>127</v>
      </c>
      <c r="C84" s="23" t="s">
        <v>19</v>
      </c>
      <c r="D84" s="23" t="s">
        <v>12</v>
      </c>
      <c r="E84" s="23" t="s">
        <v>473</v>
      </c>
      <c r="F84" s="23" t="s">
        <v>150</v>
      </c>
      <c r="G84" s="37"/>
      <c r="H84" s="30"/>
      <c r="I84" s="37"/>
      <c r="J84" s="265">
        <v>2377</v>
      </c>
      <c r="K84" s="265"/>
      <c r="L84" s="265">
        <f>J84+K84</f>
        <v>2377</v>
      </c>
      <c r="M84" s="32"/>
      <c r="N84" s="33"/>
    </row>
    <row r="85" spans="1:14" ht="15">
      <c r="A85" s="66" t="s">
        <v>347</v>
      </c>
      <c r="B85" s="23" t="s">
        <v>127</v>
      </c>
      <c r="C85" s="23" t="s">
        <v>19</v>
      </c>
      <c r="D85" s="23" t="s">
        <v>12</v>
      </c>
      <c r="E85" s="23" t="s">
        <v>276</v>
      </c>
      <c r="F85" s="23"/>
      <c r="G85" s="37"/>
      <c r="H85" s="30"/>
      <c r="I85" s="37"/>
      <c r="J85" s="265">
        <f>J86+J88</f>
        <v>1323.01</v>
      </c>
      <c r="K85" s="265">
        <f>K86+K88</f>
        <v>0</v>
      </c>
      <c r="L85" s="265">
        <f>L86+L88</f>
        <v>1323.01</v>
      </c>
      <c r="M85" s="32"/>
      <c r="N85" s="33"/>
    </row>
    <row r="86" spans="1:14" ht="25.5">
      <c r="A86" s="98" t="s">
        <v>308</v>
      </c>
      <c r="B86" s="23" t="s">
        <v>127</v>
      </c>
      <c r="C86" s="23" t="s">
        <v>19</v>
      </c>
      <c r="D86" s="23" t="s">
        <v>12</v>
      </c>
      <c r="E86" s="23" t="s">
        <v>309</v>
      </c>
      <c r="F86" s="23"/>
      <c r="G86" s="37"/>
      <c r="H86" s="30"/>
      <c r="I86" s="37"/>
      <c r="J86" s="265">
        <f>J87</f>
        <v>1224.01</v>
      </c>
      <c r="K86" s="265">
        <f>K87</f>
        <v>0</v>
      </c>
      <c r="L86" s="265">
        <f>L87</f>
        <v>1224.01</v>
      </c>
      <c r="M86" s="32"/>
      <c r="N86" s="33"/>
    </row>
    <row r="87" spans="1:14" ht="25.5">
      <c r="A87" s="168" t="s">
        <v>183</v>
      </c>
      <c r="B87" s="23" t="s">
        <v>127</v>
      </c>
      <c r="C87" s="23" t="s">
        <v>19</v>
      </c>
      <c r="D87" s="23" t="s">
        <v>12</v>
      </c>
      <c r="E87" s="23" t="s">
        <v>309</v>
      </c>
      <c r="F87" s="23" t="s">
        <v>150</v>
      </c>
      <c r="G87" s="37"/>
      <c r="H87" s="30"/>
      <c r="I87" s="37"/>
      <c r="J87" s="265">
        <v>1224.01</v>
      </c>
      <c r="K87" s="265"/>
      <c r="L87" s="265">
        <f>J87+K87</f>
        <v>1224.01</v>
      </c>
      <c r="M87" s="32"/>
      <c r="N87" s="33"/>
    </row>
    <row r="88" spans="1:14" ht="39">
      <c r="A88" s="174" t="s">
        <v>348</v>
      </c>
      <c r="B88" s="23" t="s">
        <v>127</v>
      </c>
      <c r="C88" s="23" t="s">
        <v>19</v>
      </c>
      <c r="D88" s="23" t="s">
        <v>12</v>
      </c>
      <c r="E88" s="23" t="s">
        <v>349</v>
      </c>
      <c r="F88" s="23"/>
      <c r="G88" s="37"/>
      <c r="H88" s="30"/>
      <c r="I88" s="37"/>
      <c r="J88" s="265">
        <f>J89</f>
        <v>99</v>
      </c>
      <c r="K88" s="265">
        <f>K89</f>
        <v>0</v>
      </c>
      <c r="L88" s="265">
        <f>L89</f>
        <v>99</v>
      </c>
      <c r="M88" s="32"/>
      <c r="N88" s="33"/>
    </row>
    <row r="89" spans="1:14" ht="25.5">
      <c r="A89" s="168" t="s">
        <v>183</v>
      </c>
      <c r="B89" s="23" t="s">
        <v>127</v>
      </c>
      <c r="C89" s="23" t="s">
        <v>19</v>
      </c>
      <c r="D89" s="23" t="s">
        <v>12</v>
      </c>
      <c r="E89" s="23" t="s">
        <v>349</v>
      </c>
      <c r="F89" s="23" t="s">
        <v>150</v>
      </c>
      <c r="G89" s="37"/>
      <c r="H89" s="30"/>
      <c r="I89" s="37"/>
      <c r="J89" s="265">
        <v>99</v>
      </c>
      <c r="K89" s="265"/>
      <c r="L89" s="265">
        <f>J89+K89</f>
        <v>99</v>
      </c>
      <c r="M89" s="32"/>
      <c r="N89" s="33"/>
    </row>
    <row r="90" spans="1:14" ht="26.25">
      <c r="A90" s="28" t="s">
        <v>159</v>
      </c>
      <c r="B90" s="29" t="s">
        <v>127</v>
      </c>
      <c r="C90" s="29" t="s">
        <v>19</v>
      </c>
      <c r="D90" s="29" t="s">
        <v>16</v>
      </c>
      <c r="E90" s="29"/>
      <c r="F90" s="29"/>
      <c r="G90" s="21" t="e">
        <f>G91+#REF!</f>
        <v>#REF!</v>
      </c>
      <c r="H90" s="21" t="e">
        <f>H91+#REF!</f>
        <v>#REF!</v>
      </c>
      <c r="I90" s="21" t="e">
        <f>I91+#REF!</f>
        <v>#REF!</v>
      </c>
      <c r="J90" s="264">
        <f aca="true" t="shared" si="9" ref="J90:L91">J91</f>
        <v>400</v>
      </c>
      <c r="K90" s="264">
        <f t="shared" si="9"/>
        <v>0</v>
      </c>
      <c r="L90" s="264">
        <f t="shared" si="9"/>
        <v>400</v>
      </c>
      <c r="M90" s="46" t="e">
        <f>M91+#REF!</f>
        <v>#REF!</v>
      </c>
      <c r="N90" s="63" t="e">
        <f>N91+#REF!</f>
        <v>#REF!</v>
      </c>
    </row>
    <row r="91" spans="1:14" ht="26.25">
      <c r="A91" s="34" t="s">
        <v>103</v>
      </c>
      <c r="B91" s="23" t="s">
        <v>127</v>
      </c>
      <c r="C91" s="23" t="s">
        <v>19</v>
      </c>
      <c r="D91" s="23" t="s">
        <v>16</v>
      </c>
      <c r="E91" s="23" t="s">
        <v>104</v>
      </c>
      <c r="F91" s="23"/>
      <c r="G91" s="37">
        <f aca="true" t="shared" si="10" ref="G91:N92">G92</f>
        <v>-224</v>
      </c>
      <c r="H91" s="37">
        <f t="shared" si="10"/>
        <v>234.8</v>
      </c>
      <c r="I91" s="37">
        <f t="shared" si="10"/>
        <v>0</v>
      </c>
      <c r="J91" s="265">
        <f t="shared" si="9"/>
        <v>400</v>
      </c>
      <c r="K91" s="265">
        <f t="shared" si="9"/>
        <v>0</v>
      </c>
      <c r="L91" s="265">
        <f t="shared" si="9"/>
        <v>400</v>
      </c>
      <c r="M91" s="32">
        <f t="shared" si="10"/>
        <v>0</v>
      </c>
      <c r="N91" s="33">
        <f t="shared" si="10"/>
        <v>0</v>
      </c>
    </row>
    <row r="92" spans="1:14" ht="26.25">
      <c r="A92" s="34" t="s">
        <v>105</v>
      </c>
      <c r="B92" s="23" t="s">
        <v>127</v>
      </c>
      <c r="C92" s="23" t="s">
        <v>19</v>
      </c>
      <c r="D92" s="23" t="s">
        <v>16</v>
      </c>
      <c r="E92" s="23" t="s">
        <v>106</v>
      </c>
      <c r="F92" s="23"/>
      <c r="G92" s="37">
        <f t="shared" si="10"/>
        <v>-224</v>
      </c>
      <c r="H92" s="37">
        <f t="shared" si="10"/>
        <v>234.8</v>
      </c>
      <c r="I92" s="37">
        <f t="shared" si="10"/>
        <v>0</v>
      </c>
      <c r="J92" s="265">
        <f>J93+J94</f>
        <v>400</v>
      </c>
      <c r="K92" s="265">
        <f>K93+K94</f>
        <v>0</v>
      </c>
      <c r="L92" s="265">
        <f>L93+L94</f>
        <v>400</v>
      </c>
      <c r="M92" s="32">
        <f t="shared" si="10"/>
        <v>0</v>
      </c>
      <c r="N92" s="33">
        <f t="shared" si="10"/>
        <v>0</v>
      </c>
    </row>
    <row r="93" spans="1:14" ht="31.5" customHeight="1" hidden="1">
      <c r="A93" s="34" t="s">
        <v>115</v>
      </c>
      <c r="B93" s="23" t="s">
        <v>127</v>
      </c>
      <c r="C93" s="23" t="s">
        <v>19</v>
      </c>
      <c r="D93" s="23" t="s">
        <v>16</v>
      </c>
      <c r="E93" s="23" t="s">
        <v>106</v>
      </c>
      <c r="F93" s="23" t="s">
        <v>108</v>
      </c>
      <c r="G93" s="37">
        <v>-224</v>
      </c>
      <c r="H93" s="30">
        <v>234.8</v>
      </c>
      <c r="I93" s="37"/>
      <c r="J93" s="265"/>
      <c r="K93" s="265"/>
      <c r="L93" s="265">
        <f>J93+K93</f>
        <v>0</v>
      </c>
      <c r="M93" s="32"/>
      <c r="N93" s="33">
        <f>L93+M93</f>
        <v>0</v>
      </c>
    </row>
    <row r="94" spans="1:14" ht="18.75" customHeight="1">
      <c r="A94" s="66" t="s">
        <v>141</v>
      </c>
      <c r="B94" s="23" t="s">
        <v>127</v>
      </c>
      <c r="C94" s="23" t="s">
        <v>19</v>
      </c>
      <c r="D94" s="23" t="s">
        <v>16</v>
      </c>
      <c r="E94" s="23" t="s">
        <v>106</v>
      </c>
      <c r="F94" s="23" t="s">
        <v>142</v>
      </c>
      <c r="G94" s="30"/>
      <c r="H94" s="30"/>
      <c r="I94" s="30"/>
      <c r="J94" s="265">
        <v>400</v>
      </c>
      <c r="K94" s="265"/>
      <c r="L94" s="265">
        <f>SUM(J94:K94)</f>
        <v>400</v>
      </c>
      <c r="M94" s="32"/>
      <c r="N94" s="33"/>
    </row>
    <row r="95" spans="1:14" ht="26.25">
      <c r="A95" s="28" t="s">
        <v>51</v>
      </c>
      <c r="B95" s="29" t="s">
        <v>127</v>
      </c>
      <c r="C95" s="29" t="s">
        <v>19</v>
      </c>
      <c r="D95" s="29" t="s">
        <v>19</v>
      </c>
      <c r="E95" s="29"/>
      <c r="F95" s="29"/>
      <c r="G95" s="21" t="e">
        <f aca="true" t="shared" si="11" ref="G95:N95">G96</f>
        <v>#REF!</v>
      </c>
      <c r="H95" s="21" t="e">
        <f t="shared" si="11"/>
        <v>#REF!</v>
      </c>
      <c r="I95" s="21" t="e">
        <f t="shared" si="11"/>
        <v>#REF!</v>
      </c>
      <c r="J95" s="264">
        <f>J96</f>
        <v>1901.955</v>
      </c>
      <c r="K95" s="264">
        <f>K96</f>
        <v>0</v>
      </c>
      <c r="L95" s="264">
        <f>L96</f>
        <v>1901.955</v>
      </c>
      <c r="M95" s="46" t="e">
        <f t="shared" si="11"/>
        <v>#REF!</v>
      </c>
      <c r="N95" s="63" t="e">
        <f t="shared" si="11"/>
        <v>#REF!</v>
      </c>
    </row>
    <row r="96" spans="1:14" ht="39">
      <c r="A96" s="34" t="s">
        <v>160</v>
      </c>
      <c r="B96" s="23" t="s">
        <v>127</v>
      </c>
      <c r="C96" s="23" t="s">
        <v>19</v>
      </c>
      <c r="D96" s="23" t="s">
        <v>19</v>
      </c>
      <c r="E96" s="23" t="s">
        <v>161</v>
      </c>
      <c r="F96" s="23"/>
      <c r="G96" s="37" t="e">
        <f>G97</f>
        <v>#REF!</v>
      </c>
      <c r="H96" s="37" t="e">
        <f>H97</f>
        <v>#REF!</v>
      </c>
      <c r="I96" s="37" t="e">
        <f>I97</f>
        <v>#REF!</v>
      </c>
      <c r="J96" s="265">
        <f>J97+J99+J101+J103</f>
        <v>1901.955</v>
      </c>
      <c r="K96" s="265">
        <f>K97+K99+K101+K103</f>
        <v>0</v>
      </c>
      <c r="L96" s="265">
        <f>L97+L99+L101+L103</f>
        <v>1901.955</v>
      </c>
      <c r="M96" s="32" t="e">
        <f>M97</f>
        <v>#REF!</v>
      </c>
      <c r="N96" s="33" t="e">
        <f>N97</f>
        <v>#REF!</v>
      </c>
    </row>
    <row r="97" spans="1:14" ht="26.25" hidden="1">
      <c r="A97" s="34" t="s">
        <v>450</v>
      </c>
      <c r="B97" s="23" t="s">
        <v>127</v>
      </c>
      <c r="C97" s="23" t="s">
        <v>19</v>
      </c>
      <c r="D97" s="23" t="s">
        <v>19</v>
      </c>
      <c r="E97" s="23" t="s">
        <v>162</v>
      </c>
      <c r="F97" s="23"/>
      <c r="G97" s="37" t="e">
        <f>G98+#REF!</f>
        <v>#REF!</v>
      </c>
      <c r="H97" s="37" t="e">
        <f>H98+#REF!</f>
        <v>#REF!</v>
      </c>
      <c r="I97" s="37" t="e">
        <f>I98+#REF!</f>
        <v>#REF!</v>
      </c>
      <c r="J97" s="265">
        <f>J98</f>
        <v>0</v>
      </c>
      <c r="K97" s="265">
        <f>K98</f>
        <v>0</v>
      </c>
      <c r="L97" s="265">
        <f>L98</f>
        <v>0</v>
      </c>
      <c r="M97" s="32" t="e">
        <f>M98+#REF!</f>
        <v>#REF!</v>
      </c>
      <c r="N97" s="33" t="e">
        <f>N98+#REF!</f>
        <v>#REF!</v>
      </c>
    </row>
    <row r="98" spans="1:14" ht="26.25" hidden="1">
      <c r="A98" s="34" t="s">
        <v>115</v>
      </c>
      <c r="B98" s="23" t="s">
        <v>127</v>
      </c>
      <c r="C98" s="23" t="s">
        <v>19</v>
      </c>
      <c r="D98" s="23" t="s">
        <v>19</v>
      </c>
      <c r="E98" s="23" t="s">
        <v>162</v>
      </c>
      <c r="F98" s="23" t="s">
        <v>150</v>
      </c>
      <c r="G98" s="37">
        <v>321</v>
      </c>
      <c r="H98" s="30">
        <v>650</v>
      </c>
      <c r="I98" s="37"/>
      <c r="J98" s="265"/>
      <c r="K98" s="265"/>
      <c r="L98" s="265">
        <f>J98+K98</f>
        <v>0</v>
      </c>
      <c r="M98" s="32"/>
      <c r="N98" s="33">
        <f>L98+M98</f>
        <v>0</v>
      </c>
    </row>
    <row r="99" spans="1:14" ht="26.25">
      <c r="A99" s="34" t="s">
        <v>448</v>
      </c>
      <c r="B99" s="23" t="s">
        <v>127</v>
      </c>
      <c r="C99" s="23" t="s">
        <v>19</v>
      </c>
      <c r="D99" s="23" t="s">
        <v>19</v>
      </c>
      <c r="E99" s="23" t="s">
        <v>166</v>
      </c>
      <c r="F99" s="23"/>
      <c r="G99" s="37"/>
      <c r="H99" s="30"/>
      <c r="I99" s="37"/>
      <c r="J99" s="265">
        <f>J100</f>
        <v>1651.955</v>
      </c>
      <c r="K99" s="265">
        <f>K100</f>
        <v>0</v>
      </c>
      <c r="L99" s="265">
        <f>L100</f>
        <v>1651.955</v>
      </c>
      <c r="M99" s="32"/>
      <c r="N99" s="33"/>
    </row>
    <row r="100" spans="1:14" ht="26.25">
      <c r="A100" s="34" t="s">
        <v>115</v>
      </c>
      <c r="B100" s="23" t="s">
        <v>127</v>
      </c>
      <c r="C100" s="23" t="s">
        <v>19</v>
      </c>
      <c r="D100" s="23" t="s">
        <v>19</v>
      </c>
      <c r="E100" s="23" t="s">
        <v>166</v>
      </c>
      <c r="F100" s="23" t="s">
        <v>150</v>
      </c>
      <c r="G100" s="37">
        <v>500</v>
      </c>
      <c r="H100" s="30"/>
      <c r="I100" s="37"/>
      <c r="J100" s="265">
        <v>1651.955</v>
      </c>
      <c r="K100" s="265"/>
      <c r="L100" s="265">
        <f>J100+K100</f>
        <v>1651.955</v>
      </c>
      <c r="M100" s="32">
        <v>670</v>
      </c>
      <c r="N100" s="33">
        <f>L100+M100</f>
        <v>2321.955</v>
      </c>
    </row>
    <row r="101" spans="1:14" ht="26.25">
      <c r="A101" s="34" t="s">
        <v>449</v>
      </c>
      <c r="B101" s="23" t="s">
        <v>127</v>
      </c>
      <c r="C101" s="23" t="s">
        <v>19</v>
      </c>
      <c r="D101" s="23" t="s">
        <v>19</v>
      </c>
      <c r="E101" s="23" t="s">
        <v>164</v>
      </c>
      <c r="F101" s="23" t="s">
        <v>150</v>
      </c>
      <c r="G101" s="37"/>
      <c r="H101" s="30"/>
      <c r="I101" s="37"/>
      <c r="J101" s="265">
        <v>250</v>
      </c>
      <c r="K101" s="265"/>
      <c r="L101" s="265">
        <f>J101+K101</f>
        <v>250</v>
      </c>
      <c r="M101" s="32"/>
      <c r="N101" s="33"/>
    </row>
    <row r="102" spans="1:14" ht="38.25" hidden="1">
      <c r="A102" s="66" t="s">
        <v>163</v>
      </c>
      <c r="B102" s="23" t="s">
        <v>127</v>
      </c>
      <c r="C102" s="23" t="s">
        <v>19</v>
      </c>
      <c r="D102" s="23" t="s">
        <v>19</v>
      </c>
      <c r="E102" s="23" t="s">
        <v>164</v>
      </c>
      <c r="F102" s="23" t="s">
        <v>165</v>
      </c>
      <c r="G102" s="37"/>
      <c r="H102" s="30"/>
      <c r="I102" s="37"/>
      <c r="J102" s="265"/>
      <c r="K102" s="265"/>
      <c r="L102" s="265">
        <f>SUM(J102:K102)</f>
        <v>0</v>
      </c>
      <c r="M102" s="32"/>
      <c r="N102" s="33"/>
    </row>
    <row r="103" spans="1:14" ht="31.5" customHeight="1">
      <c r="A103" s="66" t="s">
        <v>141</v>
      </c>
      <c r="B103" s="23" t="s">
        <v>127</v>
      </c>
      <c r="C103" s="23" t="s">
        <v>19</v>
      </c>
      <c r="D103" s="23" t="s">
        <v>19</v>
      </c>
      <c r="E103" s="23" t="s">
        <v>167</v>
      </c>
      <c r="F103" s="23" t="s">
        <v>142</v>
      </c>
      <c r="G103" s="37"/>
      <c r="H103" s="30"/>
      <c r="I103" s="37"/>
      <c r="J103" s="265">
        <v>0</v>
      </c>
      <c r="K103" s="265"/>
      <c r="L103" s="265">
        <f>J103+K103</f>
        <v>0</v>
      </c>
      <c r="M103" s="38"/>
      <c r="N103" s="38"/>
    </row>
    <row r="104" spans="1:14" ht="22.5" customHeight="1">
      <c r="A104" s="28" t="s">
        <v>52</v>
      </c>
      <c r="B104" s="29" t="s">
        <v>127</v>
      </c>
      <c r="C104" s="29" t="s">
        <v>19</v>
      </c>
      <c r="D104" s="29" t="s">
        <v>33</v>
      </c>
      <c r="E104" s="29"/>
      <c r="F104" s="29"/>
      <c r="G104" s="24" t="e">
        <f>G105+G114+#REF!+#REF!+G109+G123</f>
        <v>#REF!</v>
      </c>
      <c r="H104" s="24" t="e">
        <f>H105+H114+#REF!+#REF!+H109+H123</f>
        <v>#REF!</v>
      </c>
      <c r="I104" s="24" t="e">
        <f>I105+I114+#REF!+#REF!+I109+I123</f>
        <v>#REF!</v>
      </c>
      <c r="J104" s="264">
        <f>J105+J109+J114+J123</f>
        <v>7911.578</v>
      </c>
      <c r="K104" s="264">
        <f>K105+K109+K114+K123</f>
        <v>20</v>
      </c>
      <c r="L104" s="264">
        <f>L105+L109+L114+L123</f>
        <v>7931.578</v>
      </c>
      <c r="M104" s="46" t="e">
        <f>M105+M114+#REF!+#REF!+M109+M123</f>
        <v>#REF!</v>
      </c>
      <c r="N104" s="70" t="e">
        <f>N105+N114+#REF!+#REF!+N109+N123</f>
        <v>#REF!</v>
      </c>
    </row>
    <row r="105" spans="1:14" ht="51.75">
      <c r="A105" s="34" t="s">
        <v>130</v>
      </c>
      <c r="B105" s="23" t="s">
        <v>127</v>
      </c>
      <c r="C105" s="23" t="s">
        <v>19</v>
      </c>
      <c r="D105" s="23" t="s">
        <v>33</v>
      </c>
      <c r="E105" s="23" t="s">
        <v>131</v>
      </c>
      <c r="F105" s="23"/>
      <c r="G105" s="37" t="e">
        <f aca="true" t="shared" si="12" ref="G105:N105">G106</f>
        <v>#REF!</v>
      </c>
      <c r="H105" s="37" t="e">
        <f t="shared" si="12"/>
        <v>#REF!</v>
      </c>
      <c r="I105" s="37" t="e">
        <f t="shared" si="12"/>
        <v>#REF!</v>
      </c>
      <c r="J105" s="265">
        <f t="shared" si="12"/>
        <v>1222.553</v>
      </c>
      <c r="K105" s="265">
        <f t="shared" si="12"/>
        <v>0</v>
      </c>
      <c r="L105" s="265">
        <f t="shared" si="12"/>
        <v>1222.553</v>
      </c>
      <c r="M105" s="32" t="e">
        <f t="shared" si="12"/>
        <v>#REF!</v>
      </c>
      <c r="N105" s="33" t="e">
        <f t="shared" si="12"/>
        <v>#REF!</v>
      </c>
    </row>
    <row r="106" spans="1:14" ht="15">
      <c r="A106" s="34" t="s">
        <v>132</v>
      </c>
      <c r="B106" s="23" t="s">
        <v>127</v>
      </c>
      <c r="C106" s="23" t="s">
        <v>19</v>
      </c>
      <c r="D106" s="23" t="s">
        <v>33</v>
      </c>
      <c r="E106" s="23" t="s">
        <v>133</v>
      </c>
      <c r="F106" s="23"/>
      <c r="G106" s="37" t="e">
        <f>#REF!+#REF!</f>
        <v>#REF!</v>
      </c>
      <c r="H106" s="31" t="e">
        <f>#REF!+#REF!</f>
        <v>#REF!</v>
      </c>
      <c r="I106" s="31" t="e">
        <f>#REF!+#REF!</f>
        <v>#REF!</v>
      </c>
      <c r="J106" s="265">
        <f>J107+J108</f>
        <v>1222.553</v>
      </c>
      <c r="K106" s="265">
        <f>K107+K108</f>
        <v>0</v>
      </c>
      <c r="L106" s="265">
        <f>L107+L108</f>
        <v>1222.553</v>
      </c>
      <c r="M106" s="32" t="e">
        <f>#REF!+#REF!</f>
        <v>#REF!</v>
      </c>
      <c r="N106" s="33" t="e">
        <f>#REF!+#REF!</f>
        <v>#REF!</v>
      </c>
    </row>
    <row r="107" spans="1:15" ht="25.5">
      <c r="A107" s="66" t="s">
        <v>169</v>
      </c>
      <c r="B107" s="23" t="s">
        <v>127</v>
      </c>
      <c r="C107" s="23" t="s">
        <v>19</v>
      </c>
      <c r="D107" s="23" t="s">
        <v>33</v>
      </c>
      <c r="E107" s="23" t="s">
        <v>133</v>
      </c>
      <c r="F107" s="23" t="s">
        <v>170</v>
      </c>
      <c r="G107" s="37"/>
      <c r="H107" s="30"/>
      <c r="I107" s="37"/>
      <c r="J107" s="265">
        <v>1222.553</v>
      </c>
      <c r="K107" s="265"/>
      <c r="L107" s="265">
        <f>SUM(J107:K107)</f>
        <v>1222.553</v>
      </c>
      <c r="M107" s="32"/>
      <c r="N107" s="33"/>
      <c r="O107" s="95"/>
    </row>
    <row r="108" spans="1:15" ht="26.25" hidden="1">
      <c r="A108" s="34" t="s">
        <v>109</v>
      </c>
      <c r="B108" s="23" t="s">
        <v>127</v>
      </c>
      <c r="C108" s="23" t="s">
        <v>19</v>
      </c>
      <c r="D108" s="23" t="s">
        <v>33</v>
      </c>
      <c r="E108" s="23" t="s">
        <v>133</v>
      </c>
      <c r="F108" s="23" t="s">
        <v>108</v>
      </c>
      <c r="G108" s="37">
        <f>519.1+79</f>
        <v>598.1</v>
      </c>
      <c r="H108" s="30"/>
      <c r="I108" s="37"/>
      <c r="J108" s="265"/>
      <c r="K108" s="265"/>
      <c r="L108" s="265">
        <f>J108+K108</f>
        <v>0</v>
      </c>
      <c r="M108" s="32"/>
      <c r="N108" s="33">
        <f>L108+M108</f>
        <v>0</v>
      </c>
      <c r="O108" s="95" t="e">
        <f>L108-#REF!</f>
        <v>#REF!</v>
      </c>
    </row>
    <row r="109" spans="1:14" ht="89.25">
      <c r="A109" s="167" t="s">
        <v>445</v>
      </c>
      <c r="B109" s="23" t="s">
        <v>127</v>
      </c>
      <c r="C109" s="23" t="s">
        <v>19</v>
      </c>
      <c r="D109" s="23" t="s">
        <v>33</v>
      </c>
      <c r="E109" s="23" t="s">
        <v>171</v>
      </c>
      <c r="F109" s="23"/>
      <c r="G109" s="37"/>
      <c r="H109" s="30"/>
      <c r="I109" s="37"/>
      <c r="J109" s="265">
        <f>J110+J111+J112+J113</f>
        <v>665.8</v>
      </c>
      <c r="K109" s="265">
        <f>K110+K111+K112+K113</f>
        <v>0</v>
      </c>
      <c r="L109" s="265">
        <f>L110+L111+L112+L113</f>
        <v>665.8</v>
      </c>
      <c r="M109" s="32"/>
      <c r="N109" s="33"/>
    </row>
    <row r="110" spans="1:17" ht="25.5">
      <c r="A110" s="66" t="s">
        <v>169</v>
      </c>
      <c r="B110" s="23" t="s">
        <v>127</v>
      </c>
      <c r="C110" s="23" t="s">
        <v>19</v>
      </c>
      <c r="D110" s="23" t="s">
        <v>33</v>
      </c>
      <c r="E110" s="23" t="s">
        <v>171</v>
      </c>
      <c r="F110" s="23" t="s">
        <v>170</v>
      </c>
      <c r="G110" s="37"/>
      <c r="H110" s="30"/>
      <c r="I110" s="37"/>
      <c r="J110" s="265">
        <f>255+87.21+145.4</f>
        <v>487.61</v>
      </c>
      <c r="K110" s="265"/>
      <c r="L110" s="265">
        <f>SUM(J110:K110)</f>
        <v>487.61</v>
      </c>
      <c r="M110" s="32"/>
      <c r="N110" s="33"/>
      <c r="O110" s="162"/>
      <c r="Q110" s="95"/>
    </row>
    <row r="111" spans="1:17" ht="38.25">
      <c r="A111" s="66" t="s">
        <v>172</v>
      </c>
      <c r="B111" s="23" t="s">
        <v>127</v>
      </c>
      <c r="C111" s="23" t="s">
        <v>19</v>
      </c>
      <c r="D111" s="23" t="s">
        <v>33</v>
      </c>
      <c r="E111" s="23" t="s">
        <v>171</v>
      </c>
      <c r="F111" s="23" t="s">
        <v>173</v>
      </c>
      <c r="G111" s="37"/>
      <c r="H111" s="30"/>
      <c r="I111" s="37"/>
      <c r="J111" s="265">
        <v>10.2</v>
      </c>
      <c r="K111" s="265"/>
      <c r="L111" s="265">
        <f>SUM(J111:K111)</f>
        <v>10.2</v>
      </c>
      <c r="M111" s="32"/>
      <c r="N111" s="33"/>
      <c r="O111" s="162"/>
      <c r="Q111" s="95"/>
    </row>
    <row r="112" spans="1:17" ht="38.25">
      <c r="A112" s="66" t="s">
        <v>163</v>
      </c>
      <c r="B112" s="23" t="s">
        <v>127</v>
      </c>
      <c r="C112" s="23" t="s">
        <v>19</v>
      </c>
      <c r="D112" s="23" t="s">
        <v>33</v>
      </c>
      <c r="E112" s="23" t="s">
        <v>171</v>
      </c>
      <c r="F112" s="23" t="s">
        <v>165</v>
      </c>
      <c r="G112" s="37"/>
      <c r="H112" s="30"/>
      <c r="I112" s="37"/>
      <c r="J112" s="265">
        <v>167.99</v>
      </c>
      <c r="K112" s="265"/>
      <c r="L112" s="265">
        <f>SUM(J112:K112)</f>
        <v>167.99</v>
      </c>
      <c r="M112" s="32"/>
      <c r="N112" s="33"/>
      <c r="O112" s="162"/>
      <c r="Q112" s="95"/>
    </row>
    <row r="113" spans="1:17" ht="26.25" hidden="1">
      <c r="A113" s="34" t="s">
        <v>109</v>
      </c>
      <c r="B113" s="23" t="s">
        <v>127</v>
      </c>
      <c r="C113" s="23" t="s">
        <v>19</v>
      </c>
      <c r="D113" s="23" t="s">
        <v>33</v>
      </c>
      <c r="E113" s="23" t="s">
        <v>171</v>
      </c>
      <c r="F113" s="23" t="s">
        <v>108</v>
      </c>
      <c r="G113" s="37"/>
      <c r="H113" s="30"/>
      <c r="I113" s="37"/>
      <c r="J113" s="265"/>
      <c r="K113" s="265"/>
      <c r="L113" s="265">
        <f>J113+K113</f>
        <v>0</v>
      </c>
      <c r="M113" s="32"/>
      <c r="N113" s="33"/>
      <c r="O113" s="162">
        <v>515</v>
      </c>
      <c r="Q113" s="95">
        <f>L113-O113</f>
        <v>-515</v>
      </c>
    </row>
    <row r="114" spans="1:14" ht="77.25">
      <c r="A114" s="34" t="s">
        <v>174</v>
      </c>
      <c r="B114" s="23" t="s">
        <v>127</v>
      </c>
      <c r="C114" s="23" t="s">
        <v>19</v>
      </c>
      <c r="D114" s="23" t="s">
        <v>33</v>
      </c>
      <c r="E114" s="23" t="s">
        <v>119</v>
      </c>
      <c r="F114" s="23"/>
      <c r="G114" s="37">
        <f aca="true" t="shared" si="13" ref="G114:N115">G115</f>
        <v>80</v>
      </c>
      <c r="H114" s="37">
        <f t="shared" si="13"/>
        <v>5211</v>
      </c>
      <c r="I114" s="37">
        <f t="shared" si="13"/>
        <v>0</v>
      </c>
      <c r="J114" s="265">
        <f>J115</f>
        <v>5773.225</v>
      </c>
      <c r="K114" s="265">
        <f t="shared" si="13"/>
        <v>20</v>
      </c>
      <c r="L114" s="265">
        <f>L115</f>
        <v>5793.225</v>
      </c>
      <c r="M114" s="32">
        <f t="shared" si="13"/>
        <v>-2015.414</v>
      </c>
      <c r="N114" s="33">
        <f t="shared" si="13"/>
        <v>-2015.414</v>
      </c>
    </row>
    <row r="115" spans="1:16" ht="26.25">
      <c r="A115" s="34" t="s">
        <v>113</v>
      </c>
      <c r="B115" s="23" t="s">
        <v>127</v>
      </c>
      <c r="C115" s="23" t="s">
        <v>19</v>
      </c>
      <c r="D115" s="23" t="s">
        <v>33</v>
      </c>
      <c r="E115" s="23" t="s">
        <v>120</v>
      </c>
      <c r="F115" s="23"/>
      <c r="G115" s="37">
        <f t="shared" si="13"/>
        <v>80</v>
      </c>
      <c r="H115" s="37">
        <f t="shared" si="13"/>
        <v>5211</v>
      </c>
      <c r="I115" s="37">
        <f t="shared" si="13"/>
        <v>0</v>
      </c>
      <c r="J115" s="265">
        <f aca="true" t="shared" si="14" ref="J115:P115">J116+J117+J118+J120+J119+J121+J122</f>
        <v>5773.225</v>
      </c>
      <c r="K115" s="265">
        <f t="shared" si="14"/>
        <v>20</v>
      </c>
      <c r="L115" s="265">
        <f t="shared" si="14"/>
        <v>5793.225</v>
      </c>
      <c r="M115" s="32">
        <f t="shared" si="14"/>
        <v>-2015.414</v>
      </c>
      <c r="N115" s="32">
        <f t="shared" si="14"/>
        <v>-2015.414</v>
      </c>
      <c r="O115" s="32" t="e">
        <f t="shared" si="14"/>
        <v>#REF!</v>
      </c>
      <c r="P115" s="32">
        <f t="shared" si="14"/>
        <v>0</v>
      </c>
    </row>
    <row r="116" spans="1:15" ht="26.25" hidden="1">
      <c r="A116" s="34" t="s">
        <v>137</v>
      </c>
      <c r="B116" s="23" t="s">
        <v>127</v>
      </c>
      <c r="C116" s="23" t="s">
        <v>19</v>
      </c>
      <c r="D116" s="23" t="s">
        <v>33</v>
      </c>
      <c r="E116" s="23" t="s">
        <v>120</v>
      </c>
      <c r="F116" s="23" t="s">
        <v>112</v>
      </c>
      <c r="G116" s="37">
        <f>50+30</f>
        <v>80</v>
      </c>
      <c r="H116" s="30">
        <v>5211</v>
      </c>
      <c r="I116" s="37"/>
      <c r="J116" s="265"/>
      <c r="K116" s="265"/>
      <c r="L116" s="265">
        <f>J116+K116</f>
        <v>0</v>
      </c>
      <c r="M116" s="32">
        <v>-2015.414</v>
      </c>
      <c r="N116" s="33">
        <f>L116+M116</f>
        <v>-2015.414</v>
      </c>
      <c r="O116" s="162" t="e">
        <f>L116-#REF!</f>
        <v>#REF!</v>
      </c>
    </row>
    <row r="117" spans="1:14" ht="30" customHeight="1">
      <c r="A117" s="71" t="s">
        <v>169</v>
      </c>
      <c r="B117" s="23" t="s">
        <v>127</v>
      </c>
      <c r="C117" s="23" t="s">
        <v>19</v>
      </c>
      <c r="D117" s="23" t="s">
        <v>33</v>
      </c>
      <c r="E117" s="23" t="s">
        <v>120</v>
      </c>
      <c r="F117" s="23" t="s">
        <v>170</v>
      </c>
      <c r="G117" s="37"/>
      <c r="H117" s="30"/>
      <c r="I117" s="37"/>
      <c r="J117" s="265">
        <v>4095.408</v>
      </c>
      <c r="K117" s="265"/>
      <c r="L117" s="265">
        <f aca="true" t="shared" si="15" ref="L117:L122">SUM(J117:K117)</f>
        <v>4095.408</v>
      </c>
      <c r="M117" s="32"/>
      <c r="N117" s="33"/>
    </row>
    <row r="118" spans="1:14" ht="30" customHeight="1">
      <c r="A118" s="66" t="s">
        <v>172</v>
      </c>
      <c r="B118" s="23" t="s">
        <v>127</v>
      </c>
      <c r="C118" s="23" t="s">
        <v>19</v>
      </c>
      <c r="D118" s="23" t="s">
        <v>33</v>
      </c>
      <c r="E118" s="23" t="s">
        <v>120</v>
      </c>
      <c r="F118" s="23" t="s">
        <v>173</v>
      </c>
      <c r="G118" s="37"/>
      <c r="H118" s="30"/>
      <c r="I118" s="37"/>
      <c r="J118" s="265">
        <v>47.2</v>
      </c>
      <c r="K118" s="265"/>
      <c r="L118" s="265">
        <f t="shared" si="15"/>
        <v>47.2</v>
      </c>
      <c r="M118" s="32"/>
      <c r="N118" s="33"/>
    </row>
    <row r="119" spans="1:14" ht="30" customHeight="1">
      <c r="A119" s="66" t="s">
        <v>176</v>
      </c>
      <c r="B119" s="23" t="s">
        <v>127</v>
      </c>
      <c r="C119" s="23" t="s">
        <v>19</v>
      </c>
      <c r="D119" s="23" t="s">
        <v>33</v>
      </c>
      <c r="E119" s="23" t="s">
        <v>120</v>
      </c>
      <c r="F119" s="23" t="s">
        <v>177</v>
      </c>
      <c r="G119" s="37"/>
      <c r="H119" s="30"/>
      <c r="I119" s="37"/>
      <c r="J119" s="265">
        <v>329.4</v>
      </c>
      <c r="K119" s="265"/>
      <c r="L119" s="265">
        <f t="shared" si="15"/>
        <v>329.4</v>
      </c>
      <c r="M119" s="32"/>
      <c r="N119" s="33"/>
    </row>
    <row r="120" spans="1:14" ht="30" customHeight="1">
      <c r="A120" s="66" t="s">
        <v>163</v>
      </c>
      <c r="B120" s="23" t="s">
        <v>127</v>
      </c>
      <c r="C120" s="23" t="s">
        <v>19</v>
      </c>
      <c r="D120" s="23" t="s">
        <v>33</v>
      </c>
      <c r="E120" s="23" t="s">
        <v>120</v>
      </c>
      <c r="F120" s="23" t="s">
        <v>165</v>
      </c>
      <c r="G120" s="37"/>
      <c r="H120" s="30"/>
      <c r="I120" s="37"/>
      <c r="J120" s="265">
        <v>1301.217</v>
      </c>
      <c r="K120" s="265">
        <v>20</v>
      </c>
      <c r="L120" s="265">
        <f t="shared" si="15"/>
        <v>1321.217</v>
      </c>
      <c r="M120" s="32"/>
      <c r="N120" s="33"/>
    </row>
    <row r="121" spans="1:14" ht="30" customHeight="1" hidden="1">
      <c r="A121" s="66" t="s">
        <v>178</v>
      </c>
      <c r="B121" s="23" t="s">
        <v>127</v>
      </c>
      <c r="C121" s="23" t="s">
        <v>19</v>
      </c>
      <c r="D121" s="23" t="s">
        <v>33</v>
      </c>
      <c r="E121" s="23" t="s">
        <v>120</v>
      </c>
      <c r="F121" s="23" t="s">
        <v>179</v>
      </c>
      <c r="G121" s="37"/>
      <c r="H121" s="30"/>
      <c r="I121" s="37"/>
      <c r="J121" s="265"/>
      <c r="K121" s="265"/>
      <c r="L121" s="265">
        <f t="shared" si="15"/>
        <v>0</v>
      </c>
      <c r="M121" s="32"/>
      <c r="N121" s="33"/>
    </row>
    <row r="122" spans="1:14" ht="30" customHeight="1" hidden="1">
      <c r="A122" s="66" t="s">
        <v>180</v>
      </c>
      <c r="B122" s="23" t="s">
        <v>127</v>
      </c>
      <c r="C122" s="23" t="s">
        <v>19</v>
      </c>
      <c r="D122" s="23" t="s">
        <v>33</v>
      </c>
      <c r="E122" s="23" t="s">
        <v>120</v>
      </c>
      <c r="F122" s="23" t="s">
        <v>181</v>
      </c>
      <c r="G122" s="37"/>
      <c r="H122" s="30"/>
      <c r="I122" s="37"/>
      <c r="J122" s="265"/>
      <c r="K122" s="265"/>
      <c r="L122" s="265">
        <f t="shared" si="15"/>
        <v>0</v>
      </c>
      <c r="M122" s="32"/>
      <c r="N122" s="33"/>
    </row>
    <row r="123" spans="1:14" ht="40.5" customHeight="1">
      <c r="A123" s="66" t="s">
        <v>175</v>
      </c>
      <c r="B123" s="23" t="s">
        <v>127</v>
      </c>
      <c r="C123" s="23" t="s">
        <v>19</v>
      </c>
      <c r="D123" s="23" t="s">
        <v>33</v>
      </c>
      <c r="E123" s="23" t="s">
        <v>182</v>
      </c>
      <c r="F123" s="23"/>
      <c r="G123" s="37"/>
      <c r="H123" s="30"/>
      <c r="I123" s="37"/>
      <c r="J123" s="265">
        <f>J124</f>
        <v>250</v>
      </c>
      <c r="K123" s="265">
        <f>K124</f>
        <v>0</v>
      </c>
      <c r="L123" s="265">
        <f>L124</f>
        <v>250</v>
      </c>
      <c r="M123" s="38">
        <f>M124</f>
        <v>0</v>
      </c>
      <c r="N123" s="72">
        <f>N124</f>
        <v>0</v>
      </c>
    </row>
    <row r="124" spans="1:14" ht="30" customHeight="1">
      <c r="A124" s="66" t="s">
        <v>183</v>
      </c>
      <c r="B124" s="23" t="s">
        <v>127</v>
      </c>
      <c r="C124" s="23" t="s">
        <v>19</v>
      </c>
      <c r="D124" s="23" t="s">
        <v>33</v>
      </c>
      <c r="E124" s="23" t="s">
        <v>182</v>
      </c>
      <c r="F124" s="23" t="s">
        <v>150</v>
      </c>
      <c r="G124" s="37"/>
      <c r="H124" s="30"/>
      <c r="I124" s="37"/>
      <c r="J124" s="265">
        <v>250</v>
      </c>
      <c r="K124" s="265"/>
      <c r="L124" s="265">
        <f>J124+K124</f>
        <v>250</v>
      </c>
      <c r="M124" s="32"/>
      <c r="N124" s="33"/>
    </row>
    <row r="125" spans="1:14" ht="15">
      <c r="A125" s="28" t="s">
        <v>67</v>
      </c>
      <c r="B125" s="29" t="s">
        <v>127</v>
      </c>
      <c r="C125" s="29" t="s">
        <v>66</v>
      </c>
      <c r="D125" s="29"/>
      <c r="E125" s="29"/>
      <c r="F125" s="29"/>
      <c r="G125" s="21" t="e">
        <f aca="true" t="shared" si="16" ref="G125:N125">G126+G129</f>
        <v>#REF!</v>
      </c>
      <c r="H125" s="21" t="e">
        <f t="shared" si="16"/>
        <v>#REF!</v>
      </c>
      <c r="I125" s="21" t="e">
        <f t="shared" si="16"/>
        <v>#REF!</v>
      </c>
      <c r="J125" s="264">
        <f t="shared" si="16"/>
        <v>17830.7</v>
      </c>
      <c r="K125" s="264">
        <f t="shared" si="16"/>
        <v>858.1</v>
      </c>
      <c r="L125" s="264">
        <f t="shared" si="16"/>
        <v>18688.800000000003</v>
      </c>
      <c r="M125" s="35" t="e">
        <f t="shared" si="16"/>
        <v>#REF!</v>
      </c>
      <c r="N125" s="36" t="e">
        <f t="shared" si="16"/>
        <v>#REF!</v>
      </c>
    </row>
    <row r="126" spans="1:14" ht="15" hidden="1">
      <c r="A126" s="28" t="s">
        <v>184</v>
      </c>
      <c r="B126" s="29" t="s">
        <v>127</v>
      </c>
      <c r="C126" s="29" t="s">
        <v>66</v>
      </c>
      <c r="D126" s="29" t="s">
        <v>13</v>
      </c>
      <c r="E126" s="29"/>
      <c r="F126" s="29"/>
      <c r="G126" s="21" t="e">
        <f aca="true" t="shared" si="17" ref="G126:N127">G127</f>
        <v>#REF!</v>
      </c>
      <c r="H126" s="21" t="e">
        <f t="shared" si="17"/>
        <v>#REF!</v>
      </c>
      <c r="I126" s="21" t="e">
        <f t="shared" si="17"/>
        <v>#REF!</v>
      </c>
      <c r="J126" s="264">
        <f t="shared" si="17"/>
        <v>0</v>
      </c>
      <c r="K126" s="264">
        <f t="shared" si="17"/>
        <v>0</v>
      </c>
      <c r="L126" s="264">
        <f t="shared" si="17"/>
        <v>0</v>
      </c>
      <c r="M126" s="46" t="e">
        <f t="shared" si="17"/>
        <v>#REF!</v>
      </c>
      <c r="N126" s="63" t="e">
        <f t="shared" si="17"/>
        <v>#REF!</v>
      </c>
    </row>
    <row r="127" spans="1:14" ht="77.25" hidden="1">
      <c r="A127" s="34" t="s">
        <v>185</v>
      </c>
      <c r="B127" s="23" t="s">
        <v>127</v>
      </c>
      <c r="C127" s="23" t="s">
        <v>66</v>
      </c>
      <c r="D127" s="23" t="s">
        <v>13</v>
      </c>
      <c r="E127" s="23" t="s">
        <v>186</v>
      </c>
      <c r="F127" s="23"/>
      <c r="G127" s="37" t="e">
        <f>#REF!+G128</f>
        <v>#REF!</v>
      </c>
      <c r="H127" s="37" t="e">
        <f>#REF!+H128</f>
        <v>#REF!</v>
      </c>
      <c r="I127" s="37" t="e">
        <f>#REF!+I128</f>
        <v>#REF!</v>
      </c>
      <c r="J127" s="265">
        <f>J128</f>
        <v>0</v>
      </c>
      <c r="K127" s="265">
        <f t="shared" si="17"/>
        <v>0</v>
      </c>
      <c r="L127" s="265">
        <f t="shared" si="17"/>
        <v>0</v>
      </c>
      <c r="M127" s="32" t="e">
        <f>#REF!+M128</f>
        <v>#REF!</v>
      </c>
      <c r="N127" s="33" t="e">
        <f>#REF!+N128</f>
        <v>#REF!</v>
      </c>
    </row>
    <row r="128" spans="1:17" ht="15" hidden="1">
      <c r="A128" s="34" t="s">
        <v>187</v>
      </c>
      <c r="B128" s="23" t="s">
        <v>127</v>
      </c>
      <c r="C128" s="23" t="s">
        <v>66</v>
      </c>
      <c r="D128" s="23" t="s">
        <v>13</v>
      </c>
      <c r="E128" s="23" t="s">
        <v>189</v>
      </c>
      <c r="F128" s="23" t="s">
        <v>188</v>
      </c>
      <c r="G128" s="37">
        <v>2819.6</v>
      </c>
      <c r="H128" s="30"/>
      <c r="I128" s="37"/>
      <c r="J128" s="265"/>
      <c r="K128" s="265"/>
      <c r="L128" s="265">
        <f>J128+K128</f>
        <v>0</v>
      </c>
      <c r="M128" s="32"/>
      <c r="N128" s="33">
        <f>L128+M128</f>
        <v>0</v>
      </c>
      <c r="O128" s="162">
        <v>925</v>
      </c>
      <c r="Q128" s="95">
        <f>L128-O128</f>
        <v>-925</v>
      </c>
    </row>
    <row r="129" spans="1:14" ht="15">
      <c r="A129" s="28" t="s">
        <v>190</v>
      </c>
      <c r="B129" s="29" t="s">
        <v>127</v>
      </c>
      <c r="C129" s="29" t="s">
        <v>66</v>
      </c>
      <c r="D129" s="29" t="s">
        <v>14</v>
      </c>
      <c r="E129" s="29"/>
      <c r="F129" s="29"/>
      <c r="G129" s="24" t="e">
        <f>#REF!+G135+#REF!+#REF!</f>
        <v>#REF!</v>
      </c>
      <c r="H129" s="24" t="e">
        <f>#REF!+H135+#REF!+#REF!</f>
        <v>#REF!</v>
      </c>
      <c r="I129" s="24" t="e">
        <f>#REF!+I135+#REF!+#REF!</f>
        <v>#REF!</v>
      </c>
      <c r="J129" s="264">
        <f>J130+J135</f>
        <v>17830.7</v>
      </c>
      <c r="K129" s="264">
        <f>K130+K135</f>
        <v>858.1</v>
      </c>
      <c r="L129" s="264">
        <f>L130+L135</f>
        <v>18688.800000000003</v>
      </c>
      <c r="M129" s="46" t="e">
        <f>#REF!+M135+#REF!+#REF!+M131</f>
        <v>#REF!</v>
      </c>
      <c r="N129" s="70" t="e">
        <f>#REF!+N135+#REF!+#REF!+N131</f>
        <v>#REF!</v>
      </c>
    </row>
    <row r="130" spans="1:14" ht="15">
      <c r="A130" s="169" t="s">
        <v>269</v>
      </c>
      <c r="B130" s="23" t="s">
        <v>127</v>
      </c>
      <c r="C130" s="23" t="s">
        <v>66</v>
      </c>
      <c r="D130" s="23" t="s">
        <v>14</v>
      </c>
      <c r="E130" s="23" t="s">
        <v>270</v>
      </c>
      <c r="F130" s="23"/>
      <c r="G130" s="31"/>
      <c r="H130" s="31"/>
      <c r="I130" s="31"/>
      <c r="J130" s="265">
        <f>J131+J133</f>
        <v>3664.6</v>
      </c>
      <c r="K130" s="265">
        <f>K131+K133</f>
        <v>858.1</v>
      </c>
      <c r="L130" s="265">
        <f>L131+L133</f>
        <v>4522.700000000001</v>
      </c>
      <c r="M130" s="46"/>
      <c r="N130" s="70"/>
    </row>
    <row r="131" spans="1:14" ht="71.25" customHeight="1">
      <c r="A131" s="34" t="s">
        <v>185</v>
      </c>
      <c r="B131" s="23" t="s">
        <v>127</v>
      </c>
      <c r="C131" s="23" t="s">
        <v>66</v>
      </c>
      <c r="D131" s="23" t="s">
        <v>14</v>
      </c>
      <c r="E131" s="23" t="s">
        <v>191</v>
      </c>
      <c r="F131" s="23"/>
      <c r="G131" s="37"/>
      <c r="H131" s="30"/>
      <c r="I131" s="37"/>
      <c r="J131" s="265">
        <f>J132</f>
        <v>3432</v>
      </c>
      <c r="K131" s="265">
        <f>K132</f>
        <v>858.1</v>
      </c>
      <c r="L131" s="265">
        <f>L132</f>
        <v>4290.1</v>
      </c>
      <c r="M131" s="32">
        <f>M132</f>
        <v>0</v>
      </c>
      <c r="N131" s="64">
        <f>N132</f>
        <v>0</v>
      </c>
    </row>
    <row r="132" spans="1:14" ht="43.5" customHeight="1">
      <c r="A132" s="34" t="s">
        <v>192</v>
      </c>
      <c r="B132" s="23" t="s">
        <v>127</v>
      </c>
      <c r="C132" s="23" t="s">
        <v>66</v>
      </c>
      <c r="D132" s="23" t="s">
        <v>14</v>
      </c>
      <c r="E132" s="23" t="s">
        <v>191</v>
      </c>
      <c r="F132" s="23" t="s">
        <v>193</v>
      </c>
      <c r="G132" s="37"/>
      <c r="H132" s="30"/>
      <c r="I132" s="37"/>
      <c r="J132" s="265">
        <v>3432</v>
      </c>
      <c r="K132" s="265">
        <v>858.1</v>
      </c>
      <c r="L132" s="265">
        <f>SUM(J132:K132)</f>
        <v>4290.1</v>
      </c>
      <c r="M132" s="32"/>
      <c r="N132" s="33"/>
    </row>
    <row r="133" spans="1:14" ht="43.5" customHeight="1">
      <c r="A133" s="66" t="s">
        <v>194</v>
      </c>
      <c r="B133" s="73" t="s">
        <v>127</v>
      </c>
      <c r="C133" s="73" t="s">
        <v>66</v>
      </c>
      <c r="D133" s="73" t="s">
        <v>14</v>
      </c>
      <c r="E133" s="73" t="s">
        <v>195</v>
      </c>
      <c r="F133" s="23"/>
      <c r="G133" s="37"/>
      <c r="H133" s="30"/>
      <c r="I133" s="37"/>
      <c r="J133" s="265">
        <f>J134</f>
        <v>232.6</v>
      </c>
      <c r="K133" s="265">
        <f>K134</f>
        <v>0</v>
      </c>
      <c r="L133" s="265">
        <f>L134</f>
        <v>232.6</v>
      </c>
      <c r="M133" s="38">
        <f>M134</f>
        <v>0</v>
      </c>
      <c r="N133" s="72">
        <f>N134</f>
        <v>0</v>
      </c>
    </row>
    <row r="134" spans="1:14" ht="43.5" customHeight="1">
      <c r="A134" s="34" t="s">
        <v>192</v>
      </c>
      <c r="B134" s="73" t="s">
        <v>127</v>
      </c>
      <c r="C134" s="73" t="s">
        <v>66</v>
      </c>
      <c r="D134" s="73" t="s">
        <v>14</v>
      </c>
      <c r="E134" s="73" t="s">
        <v>195</v>
      </c>
      <c r="F134" s="23" t="s">
        <v>193</v>
      </c>
      <c r="G134" s="37"/>
      <c r="H134" s="30"/>
      <c r="I134" s="37"/>
      <c r="J134" s="265">
        <v>232.6</v>
      </c>
      <c r="K134" s="265"/>
      <c r="L134" s="265">
        <f>J134+K134</f>
        <v>232.6</v>
      </c>
      <c r="M134" s="32"/>
      <c r="N134" s="33"/>
    </row>
    <row r="135" spans="1:14" ht="26.25">
      <c r="A135" s="34" t="s">
        <v>116</v>
      </c>
      <c r="B135" s="23" t="s">
        <v>127</v>
      </c>
      <c r="C135" s="23" t="s">
        <v>66</v>
      </c>
      <c r="D135" s="23" t="s">
        <v>14</v>
      </c>
      <c r="E135" s="23" t="s">
        <v>117</v>
      </c>
      <c r="F135" s="23"/>
      <c r="G135" s="31" t="e">
        <f aca="true" t="shared" si="18" ref="G135:M135">G139+G136</f>
        <v>#REF!</v>
      </c>
      <c r="H135" s="31" t="e">
        <f t="shared" si="18"/>
        <v>#REF!</v>
      </c>
      <c r="I135" s="31" t="e">
        <f t="shared" si="18"/>
        <v>#REF!</v>
      </c>
      <c r="J135" s="265">
        <f>J136+J139</f>
        <v>14166.1</v>
      </c>
      <c r="K135" s="265">
        <f>K136+K139</f>
        <v>0</v>
      </c>
      <c r="L135" s="265">
        <f>L136+L139</f>
        <v>14166.1</v>
      </c>
      <c r="M135" s="32" t="e">
        <f t="shared" si="18"/>
        <v>#REF!</v>
      </c>
      <c r="N135" s="33" t="e">
        <f>N139+N136</f>
        <v>#REF!</v>
      </c>
    </row>
    <row r="136" spans="1:14" ht="76.5" customHeight="1">
      <c r="A136" s="34" t="s">
        <v>196</v>
      </c>
      <c r="B136" s="23" t="s">
        <v>127</v>
      </c>
      <c r="C136" s="23" t="s">
        <v>66</v>
      </c>
      <c r="D136" s="23" t="s">
        <v>14</v>
      </c>
      <c r="E136" s="23" t="s">
        <v>197</v>
      </c>
      <c r="F136" s="23"/>
      <c r="G136" s="37">
        <f aca="true" t="shared" si="19" ref="G136:N136">G137</f>
        <v>1011.2162</v>
      </c>
      <c r="H136" s="31">
        <f t="shared" si="19"/>
        <v>0</v>
      </c>
      <c r="I136" s="37">
        <f t="shared" si="19"/>
        <v>0</v>
      </c>
      <c r="J136" s="265">
        <f>J137+J138</f>
        <v>1372.6</v>
      </c>
      <c r="K136" s="265">
        <f>K137+K138</f>
        <v>0</v>
      </c>
      <c r="L136" s="265">
        <f>L137+L138</f>
        <v>1372.6</v>
      </c>
      <c r="M136" s="32">
        <f t="shared" si="19"/>
        <v>0</v>
      </c>
      <c r="N136" s="33">
        <f t="shared" si="19"/>
        <v>0</v>
      </c>
    </row>
    <row r="137" spans="1:17" ht="15" customHeight="1" hidden="1">
      <c r="A137" s="34" t="s">
        <v>187</v>
      </c>
      <c r="B137" s="23" t="s">
        <v>127</v>
      </c>
      <c r="C137" s="23" t="s">
        <v>66</v>
      </c>
      <c r="D137" s="23" t="s">
        <v>14</v>
      </c>
      <c r="E137" s="23" t="s">
        <v>197</v>
      </c>
      <c r="F137" s="23" t="s">
        <v>188</v>
      </c>
      <c r="G137" s="37">
        <f>11.2162+1000</f>
        <v>1011.2162</v>
      </c>
      <c r="H137" s="30"/>
      <c r="I137" s="37"/>
      <c r="J137" s="265"/>
      <c r="K137" s="265"/>
      <c r="L137" s="265">
        <f>J137+K137</f>
        <v>0</v>
      </c>
      <c r="M137" s="32"/>
      <c r="N137" s="33">
        <f>L137+M137</f>
        <v>0</v>
      </c>
      <c r="O137" s="162">
        <v>1955.1</v>
      </c>
      <c r="Q137" s="95">
        <f>L137-O137</f>
        <v>-1955.1</v>
      </c>
    </row>
    <row r="138" spans="1:17" ht="15" customHeight="1">
      <c r="A138" s="66" t="s">
        <v>198</v>
      </c>
      <c r="B138" s="23" t="s">
        <v>127</v>
      </c>
      <c r="C138" s="23" t="s">
        <v>66</v>
      </c>
      <c r="D138" s="23" t="s">
        <v>14</v>
      </c>
      <c r="E138" s="23" t="s">
        <v>197</v>
      </c>
      <c r="F138" s="23" t="s">
        <v>199</v>
      </c>
      <c r="G138" s="37"/>
      <c r="H138" s="30"/>
      <c r="I138" s="37"/>
      <c r="J138" s="265">
        <v>1372.6</v>
      </c>
      <c r="K138" s="265"/>
      <c r="L138" s="265">
        <f>SUM(J138:K138)</f>
        <v>1372.6</v>
      </c>
      <c r="M138" s="32"/>
      <c r="N138" s="33"/>
      <c r="O138" s="162"/>
      <c r="Q138" s="95"/>
    </row>
    <row r="139" spans="1:14" ht="39">
      <c r="A139" s="34" t="s">
        <v>200</v>
      </c>
      <c r="B139" s="23" t="s">
        <v>127</v>
      </c>
      <c r="C139" s="23" t="s">
        <v>66</v>
      </c>
      <c r="D139" s="23" t="s">
        <v>14</v>
      </c>
      <c r="E139" s="23" t="s">
        <v>201</v>
      </c>
      <c r="F139" s="23"/>
      <c r="G139" s="31" t="e">
        <f>#REF!+G140+G141</f>
        <v>#REF!</v>
      </c>
      <c r="H139" s="31" t="e">
        <f>#REF!+H140+H141</f>
        <v>#REF!</v>
      </c>
      <c r="I139" s="31" t="e">
        <f>#REF!+I140+I141</f>
        <v>#REF!</v>
      </c>
      <c r="J139" s="265">
        <f>J140+J141+J142+J143</f>
        <v>12793.5</v>
      </c>
      <c r="K139" s="265">
        <f>K140+K141+K142+K143</f>
        <v>0</v>
      </c>
      <c r="L139" s="265">
        <f>L140+L141+L142+L143</f>
        <v>12793.5</v>
      </c>
      <c r="M139" s="32" t="e">
        <f>#REF!+M140+M141</f>
        <v>#REF!</v>
      </c>
      <c r="N139" s="33" t="e">
        <f>#REF!+N140+N141</f>
        <v>#REF!</v>
      </c>
    </row>
    <row r="140" spans="1:14" ht="45" customHeight="1" hidden="1">
      <c r="A140" s="34" t="s">
        <v>202</v>
      </c>
      <c r="B140" s="23" t="s">
        <v>127</v>
      </c>
      <c r="C140" s="23" t="s">
        <v>66</v>
      </c>
      <c r="D140" s="23" t="s">
        <v>14</v>
      </c>
      <c r="E140" s="23" t="s">
        <v>203</v>
      </c>
      <c r="F140" s="23" t="s">
        <v>112</v>
      </c>
      <c r="G140" s="37">
        <v>-94.76</v>
      </c>
      <c r="H140" s="30"/>
      <c r="I140" s="37"/>
      <c r="J140" s="265">
        <v>0</v>
      </c>
      <c r="K140" s="265"/>
      <c r="L140" s="265">
        <f>J140+K140</f>
        <v>0</v>
      </c>
      <c r="M140" s="32"/>
      <c r="N140" s="33">
        <f>L140+M140</f>
        <v>0</v>
      </c>
    </row>
    <row r="141" spans="1:17" ht="39" hidden="1">
      <c r="A141" s="74" t="s">
        <v>202</v>
      </c>
      <c r="B141" s="23" t="s">
        <v>127</v>
      </c>
      <c r="C141" s="23" t="s">
        <v>66</v>
      </c>
      <c r="D141" s="23" t="s">
        <v>14</v>
      </c>
      <c r="E141" s="23" t="s">
        <v>203</v>
      </c>
      <c r="F141" s="23" t="s">
        <v>188</v>
      </c>
      <c r="G141" s="37">
        <f>94.76+6519.9</f>
        <v>6614.66</v>
      </c>
      <c r="H141" s="30"/>
      <c r="I141" s="37"/>
      <c r="J141" s="265"/>
      <c r="K141" s="265"/>
      <c r="L141" s="265">
        <f>J141+K141</f>
        <v>0</v>
      </c>
      <c r="M141" s="32"/>
      <c r="N141" s="33">
        <f>L141+M141</f>
        <v>0</v>
      </c>
      <c r="O141" s="162">
        <v>9778</v>
      </c>
      <c r="Q141" s="95">
        <f>L141-O141</f>
        <v>-9778</v>
      </c>
    </row>
    <row r="142" spans="1:14" ht="32.25" customHeight="1">
      <c r="A142" s="66" t="s">
        <v>204</v>
      </c>
      <c r="B142" s="23" t="s">
        <v>127</v>
      </c>
      <c r="C142" s="23" t="s">
        <v>66</v>
      </c>
      <c r="D142" s="23" t="s">
        <v>14</v>
      </c>
      <c r="E142" s="23" t="s">
        <v>203</v>
      </c>
      <c r="F142" s="23" t="s">
        <v>205</v>
      </c>
      <c r="G142" s="37"/>
      <c r="H142" s="30"/>
      <c r="I142" s="37"/>
      <c r="J142" s="265">
        <v>12793.5</v>
      </c>
      <c r="K142" s="265"/>
      <c r="L142" s="265">
        <f>SUM(J142:K142)</f>
        <v>12793.5</v>
      </c>
      <c r="M142" s="32"/>
      <c r="N142" s="64"/>
    </row>
    <row r="143" spans="1:14" ht="42.75" customHeight="1" hidden="1" thickBot="1">
      <c r="A143" s="34" t="s">
        <v>192</v>
      </c>
      <c r="B143" s="23" t="s">
        <v>127</v>
      </c>
      <c r="C143" s="23" t="s">
        <v>66</v>
      </c>
      <c r="D143" s="23" t="s">
        <v>14</v>
      </c>
      <c r="E143" s="23" t="s">
        <v>203</v>
      </c>
      <c r="F143" s="23" t="s">
        <v>193</v>
      </c>
      <c r="G143" s="37"/>
      <c r="H143" s="30"/>
      <c r="I143" s="37"/>
      <c r="J143" s="265"/>
      <c r="K143" s="265"/>
      <c r="L143" s="265">
        <f>SUM(J143:K143)</f>
        <v>0</v>
      </c>
      <c r="M143" s="53"/>
      <c r="N143" s="75"/>
    </row>
    <row r="144" spans="1:15" ht="27" thickBot="1">
      <c r="A144" s="232" t="s">
        <v>206</v>
      </c>
      <c r="B144" s="230" t="s">
        <v>0</v>
      </c>
      <c r="C144" s="230"/>
      <c r="D144" s="230"/>
      <c r="E144" s="230"/>
      <c r="F144" s="230"/>
      <c r="G144" s="234" t="e">
        <f>G145+G191+#REF!+#REF!</f>
        <v>#REF!</v>
      </c>
      <c r="H144" s="235" t="e">
        <f>H145+H191+#REF!+#REF!+H208</f>
        <v>#REF!</v>
      </c>
      <c r="I144" s="235" t="e">
        <f>I145+I191+#REF!+#REF!+I208</f>
        <v>#REF!</v>
      </c>
      <c r="J144" s="266">
        <f>J145+J191+J208+J179+J235+J241+J174+J216+J227+J231</f>
        <v>52188.543509999996</v>
      </c>
      <c r="K144" s="266">
        <f>K145+K191+K208+K179+K235+K241+K174+K216+K227+K231</f>
        <v>6189.25051</v>
      </c>
      <c r="L144" s="266">
        <f>L145+L191+L208+L179+L235+L241+L174+L216+L227+L231</f>
        <v>58377.794019999994</v>
      </c>
      <c r="M144" s="77" t="e">
        <f>M145+M191+#REF!+#REF!+M208+M179</f>
        <v>#REF!</v>
      </c>
      <c r="N144" s="78" t="e">
        <f>N145+N191+#REF!+#REF!+N208+N179</f>
        <v>#REF!</v>
      </c>
      <c r="O144" s="152">
        <f>K194+K196+K201+K219+K226+K230+K234+K252</f>
        <v>540.159</v>
      </c>
    </row>
    <row r="145" spans="1:14" ht="15">
      <c r="A145" s="28" t="s">
        <v>207</v>
      </c>
      <c r="B145" s="29" t="s">
        <v>0</v>
      </c>
      <c r="C145" s="29" t="s">
        <v>11</v>
      </c>
      <c r="D145" s="23"/>
      <c r="E145" s="23"/>
      <c r="F145" s="23"/>
      <c r="G145" s="21" t="e">
        <f>G152+#REF!+#REF!+G174+G146</f>
        <v>#REF!</v>
      </c>
      <c r="H145" s="21" t="e">
        <f>H152+#REF!+#REF!+H174+H146</f>
        <v>#REF!</v>
      </c>
      <c r="I145" s="21" t="e">
        <f>I152+#REF!+#REF!+I174+I146</f>
        <v>#REF!</v>
      </c>
      <c r="J145" s="264">
        <f>J146+J152+J163+J168</f>
        <v>4904.29381</v>
      </c>
      <c r="K145" s="264">
        <f>K146+K152+K163+K168</f>
        <v>-50.90449</v>
      </c>
      <c r="L145" s="264">
        <f>L146+L152+L163+L168</f>
        <v>4853.38932</v>
      </c>
      <c r="M145" s="79" t="e">
        <f>M152+#REF!+#REF!+M146+M163+M168</f>
        <v>#REF!</v>
      </c>
      <c r="N145" s="80" t="e">
        <f>N152+#REF!+#REF!+N146+N163+N168</f>
        <v>#REF!</v>
      </c>
    </row>
    <row r="146" spans="1:14" ht="64.5">
      <c r="A146" s="81" t="s">
        <v>208</v>
      </c>
      <c r="B146" s="29" t="s">
        <v>0</v>
      </c>
      <c r="C146" s="29" t="s">
        <v>11</v>
      </c>
      <c r="D146" s="29" t="s">
        <v>14</v>
      </c>
      <c r="E146" s="23"/>
      <c r="F146" s="23"/>
      <c r="G146" s="21">
        <f>G147</f>
        <v>0.4</v>
      </c>
      <c r="H146" s="25" t="e">
        <f>H147+#REF!</f>
        <v>#REF!</v>
      </c>
      <c r="I146" s="25" t="e">
        <f>I147+#REF!</f>
        <v>#REF!</v>
      </c>
      <c r="J146" s="264">
        <f>J147+J149</f>
        <v>820.963</v>
      </c>
      <c r="K146" s="264">
        <f>K147+K149</f>
        <v>0</v>
      </c>
      <c r="L146" s="264">
        <f>L147+L149</f>
        <v>820.963</v>
      </c>
      <c r="M146" s="35" t="e">
        <f>M147+#REF!+M149+#REF!</f>
        <v>#REF!</v>
      </c>
      <c r="N146" s="36" t="e">
        <f>N147+#REF!+N149+#REF!</f>
        <v>#REF!</v>
      </c>
    </row>
    <row r="147" spans="1:14" ht="51.75" hidden="1">
      <c r="A147" s="34" t="s">
        <v>209</v>
      </c>
      <c r="B147" s="23" t="s">
        <v>0</v>
      </c>
      <c r="C147" s="23" t="s">
        <v>11</v>
      </c>
      <c r="D147" s="23" t="s">
        <v>14</v>
      </c>
      <c r="E147" s="23" t="s">
        <v>210</v>
      </c>
      <c r="F147" s="23"/>
      <c r="G147" s="21">
        <f>G148</f>
        <v>0.4</v>
      </c>
      <c r="H147" s="21">
        <f aca="true" t="shared" si="20" ref="H147:N147">H148</f>
        <v>0</v>
      </c>
      <c r="I147" s="21">
        <f t="shared" si="20"/>
        <v>0</v>
      </c>
      <c r="J147" s="265">
        <f t="shared" si="20"/>
        <v>0</v>
      </c>
      <c r="K147" s="265">
        <f t="shared" si="20"/>
        <v>0</v>
      </c>
      <c r="L147" s="265">
        <f t="shared" si="20"/>
        <v>0</v>
      </c>
      <c r="M147" s="35">
        <f t="shared" si="20"/>
        <v>0</v>
      </c>
      <c r="N147" s="36">
        <f t="shared" si="20"/>
        <v>0</v>
      </c>
    </row>
    <row r="148" spans="1:15" ht="26.25" hidden="1">
      <c r="A148" s="82" t="s">
        <v>111</v>
      </c>
      <c r="B148" s="23" t="s">
        <v>0</v>
      </c>
      <c r="C148" s="23" t="s">
        <v>11</v>
      </c>
      <c r="D148" s="23" t="s">
        <v>14</v>
      </c>
      <c r="E148" s="23" t="s">
        <v>210</v>
      </c>
      <c r="F148" s="23" t="s">
        <v>112</v>
      </c>
      <c r="G148" s="21">
        <v>0.4</v>
      </c>
      <c r="H148" s="30"/>
      <c r="I148" s="21"/>
      <c r="J148" s="265"/>
      <c r="K148" s="264"/>
      <c r="L148" s="265">
        <f>J148+K148</f>
        <v>0</v>
      </c>
      <c r="M148" s="35"/>
      <c r="N148" s="33">
        <f>L148+M148</f>
        <v>0</v>
      </c>
      <c r="O148" s="19">
        <v>0.5</v>
      </c>
    </row>
    <row r="149" spans="1:14" ht="51.75">
      <c r="A149" s="39" t="s">
        <v>212</v>
      </c>
      <c r="B149" s="23" t="s">
        <v>0</v>
      </c>
      <c r="C149" s="23" t="s">
        <v>11</v>
      </c>
      <c r="D149" s="23" t="s">
        <v>14</v>
      </c>
      <c r="E149" s="23" t="s">
        <v>131</v>
      </c>
      <c r="F149" s="23"/>
      <c r="G149" s="21"/>
      <c r="H149" s="30"/>
      <c r="I149" s="21"/>
      <c r="J149" s="265">
        <f>J150+J151</f>
        <v>820.963</v>
      </c>
      <c r="K149" s="265">
        <f>K150+K151</f>
        <v>0</v>
      </c>
      <c r="L149" s="265">
        <f>L150+L151</f>
        <v>820.963</v>
      </c>
      <c r="M149" s="32" t="e">
        <f>#REF!</f>
        <v>#REF!</v>
      </c>
      <c r="N149" s="33" t="e">
        <f>#REF!</f>
        <v>#REF!</v>
      </c>
    </row>
    <row r="150" spans="1:14" ht="25.5">
      <c r="A150" s="66" t="s">
        <v>169</v>
      </c>
      <c r="B150" s="23" t="s">
        <v>0</v>
      </c>
      <c r="C150" s="23" t="s">
        <v>11</v>
      </c>
      <c r="D150" s="23" t="s">
        <v>14</v>
      </c>
      <c r="E150" s="23" t="s">
        <v>133</v>
      </c>
      <c r="F150" s="23" t="s">
        <v>170</v>
      </c>
      <c r="G150" s="21"/>
      <c r="H150" s="30"/>
      <c r="I150" s="21"/>
      <c r="J150" s="265">
        <v>820.963</v>
      </c>
      <c r="K150" s="265"/>
      <c r="L150" s="265">
        <f>SUM(J150:K150)</f>
        <v>820.963</v>
      </c>
      <c r="M150" s="35"/>
      <c r="N150" s="33"/>
    </row>
    <row r="151" spans="1:15" ht="26.25" hidden="1">
      <c r="A151" s="82" t="s">
        <v>109</v>
      </c>
      <c r="B151" s="23" t="s">
        <v>0</v>
      </c>
      <c r="C151" s="23" t="s">
        <v>11</v>
      </c>
      <c r="D151" s="23" t="s">
        <v>14</v>
      </c>
      <c r="E151" s="23" t="s">
        <v>133</v>
      </c>
      <c r="F151" s="23" t="s">
        <v>108</v>
      </c>
      <c r="G151" s="21"/>
      <c r="H151" s="30"/>
      <c r="I151" s="21"/>
      <c r="J151" s="265"/>
      <c r="K151" s="264"/>
      <c r="L151" s="265">
        <f>J151+K151</f>
        <v>0</v>
      </c>
      <c r="M151" s="35">
        <f>-50</f>
        <v>-50</v>
      </c>
      <c r="N151" s="33">
        <f>L151+M151</f>
        <v>-50</v>
      </c>
      <c r="O151" s="95" t="e">
        <f>L151-#REF!</f>
        <v>#REF!</v>
      </c>
    </row>
    <row r="152" spans="1:14" s="147" customFormat="1" ht="38.25">
      <c r="A152" s="83" t="s">
        <v>211</v>
      </c>
      <c r="B152" s="29" t="s">
        <v>0</v>
      </c>
      <c r="C152" s="29" t="s">
        <v>11</v>
      </c>
      <c r="D152" s="29" t="s">
        <v>17</v>
      </c>
      <c r="E152" s="29"/>
      <c r="F152" s="29"/>
      <c r="G152" s="21" t="e">
        <f aca="true" t="shared" si="21" ref="G152:N152">G153</f>
        <v>#REF!</v>
      </c>
      <c r="H152" s="21" t="e">
        <f t="shared" si="21"/>
        <v>#REF!</v>
      </c>
      <c r="I152" s="21" t="e">
        <f t="shared" si="21"/>
        <v>#REF!</v>
      </c>
      <c r="J152" s="264">
        <f>J153+J161</f>
        <v>3847.95081</v>
      </c>
      <c r="K152" s="264">
        <f>K153+K161</f>
        <v>54.09551</v>
      </c>
      <c r="L152" s="264">
        <f>L153+L161</f>
        <v>3902.04632</v>
      </c>
      <c r="M152" s="46" t="e">
        <f t="shared" si="21"/>
        <v>#REF!</v>
      </c>
      <c r="N152" s="63" t="e">
        <f t="shared" si="21"/>
        <v>#REF!</v>
      </c>
    </row>
    <row r="153" spans="1:14" ht="51.75">
      <c r="A153" s="39" t="s">
        <v>212</v>
      </c>
      <c r="B153" s="23" t="s">
        <v>0</v>
      </c>
      <c r="C153" s="23" t="s">
        <v>11</v>
      </c>
      <c r="D153" s="23" t="s">
        <v>17</v>
      </c>
      <c r="E153" s="23" t="s">
        <v>131</v>
      </c>
      <c r="F153" s="23"/>
      <c r="G153" s="37" t="e">
        <f>#REF!+#REF!</f>
        <v>#REF!</v>
      </c>
      <c r="H153" s="37" t="e">
        <f>#REF!+#REF!</f>
        <v>#REF!</v>
      </c>
      <c r="I153" s="37" t="e">
        <f>#REF!+#REF!</f>
        <v>#REF!</v>
      </c>
      <c r="J153" s="265">
        <f>J154+J155+J156+J157+J158+J159+J160</f>
        <v>3722.9829999999997</v>
      </c>
      <c r="K153" s="265">
        <f>K154+K155+K156+K157+K158+K159+K160</f>
        <v>0</v>
      </c>
      <c r="L153" s="265">
        <f>L154+L155+L156+L157+L158+L159+L160</f>
        <v>3722.9829999999997</v>
      </c>
      <c r="M153" s="32" t="e">
        <f>#REF!+#REF!+M154+M155+M157+M159+M156+M160</f>
        <v>#REF!</v>
      </c>
      <c r="N153" s="32" t="e">
        <f>#REF!+#REF!+N154+N155+N157+N159+N156+N160</f>
        <v>#REF!</v>
      </c>
    </row>
    <row r="154" spans="1:15" ht="25.5">
      <c r="A154" s="66" t="s">
        <v>169</v>
      </c>
      <c r="B154" s="23" t="s">
        <v>0</v>
      </c>
      <c r="C154" s="23" t="s">
        <v>11</v>
      </c>
      <c r="D154" s="23" t="s">
        <v>17</v>
      </c>
      <c r="E154" s="23" t="s">
        <v>133</v>
      </c>
      <c r="F154" s="23" t="s">
        <v>170</v>
      </c>
      <c r="G154" s="37"/>
      <c r="H154" s="30"/>
      <c r="I154" s="37"/>
      <c r="J154" s="265">
        <v>2767.523</v>
      </c>
      <c r="K154" s="265"/>
      <c r="L154" s="265">
        <f>SUM(J154:K154)</f>
        <v>2767.523</v>
      </c>
      <c r="M154" s="32"/>
      <c r="N154" s="33"/>
      <c r="O154" s="95"/>
    </row>
    <row r="155" spans="1:15" ht="38.25">
      <c r="A155" s="66" t="s">
        <v>172</v>
      </c>
      <c r="B155" s="23" t="s">
        <v>0</v>
      </c>
      <c r="C155" s="23" t="s">
        <v>11</v>
      </c>
      <c r="D155" s="23" t="s">
        <v>17</v>
      </c>
      <c r="E155" s="23" t="s">
        <v>133</v>
      </c>
      <c r="F155" s="23" t="s">
        <v>173</v>
      </c>
      <c r="G155" s="37"/>
      <c r="H155" s="30"/>
      <c r="I155" s="37"/>
      <c r="J155" s="265">
        <v>20.2</v>
      </c>
      <c r="K155" s="265"/>
      <c r="L155" s="265">
        <f>SUM(J155:K155)</f>
        <v>20.2</v>
      </c>
      <c r="M155" s="32"/>
      <c r="N155" s="33"/>
      <c r="O155" s="95"/>
    </row>
    <row r="156" spans="1:15" ht="51">
      <c r="A156" s="66" t="s">
        <v>176</v>
      </c>
      <c r="B156" s="23" t="s">
        <v>0</v>
      </c>
      <c r="C156" s="23" t="s">
        <v>11</v>
      </c>
      <c r="D156" s="23" t="s">
        <v>17</v>
      </c>
      <c r="E156" s="23" t="s">
        <v>133</v>
      </c>
      <c r="F156" s="23" t="s">
        <v>177</v>
      </c>
      <c r="G156" s="37"/>
      <c r="H156" s="30"/>
      <c r="I156" s="37"/>
      <c r="J156" s="265">
        <v>339.6</v>
      </c>
      <c r="K156" s="265">
        <v>10</v>
      </c>
      <c r="L156" s="265">
        <f>SUM(J156:K156)</f>
        <v>349.6</v>
      </c>
      <c r="M156" s="32"/>
      <c r="N156" s="33"/>
      <c r="O156" s="95"/>
    </row>
    <row r="157" spans="1:15" ht="38.25">
      <c r="A157" s="66" t="s">
        <v>163</v>
      </c>
      <c r="B157" s="23" t="s">
        <v>0</v>
      </c>
      <c r="C157" s="23" t="s">
        <v>11</v>
      </c>
      <c r="D157" s="23" t="s">
        <v>17</v>
      </c>
      <c r="E157" s="23" t="s">
        <v>133</v>
      </c>
      <c r="F157" s="23" t="s">
        <v>165</v>
      </c>
      <c r="G157" s="37"/>
      <c r="H157" s="30"/>
      <c r="I157" s="37"/>
      <c r="J157" s="265">
        <v>580.16</v>
      </c>
      <c r="K157" s="265">
        <v>-10</v>
      </c>
      <c r="L157" s="265">
        <f>SUM(J157:K157)</f>
        <v>570.16</v>
      </c>
      <c r="M157" s="32"/>
      <c r="N157" s="33"/>
      <c r="O157" s="95"/>
    </row>
    <row r="158" spans="1:15" ht="26.25" hidden="1">
      <c r="A158" s="82" t="s">
        <v>109</v>
      </c>
      <c r="B158" s="23" t="s">
        <v>0</v>
      </c>
      <c r="C158" s="23" t="s">
        <v>11</v>
      </c>
      <c r="D158" s="23" t="s">
        <v>17</v>
      </c>
      <c r="E158" s="23" t="s">
        <v>133</v>
      </c>
      <c r="F158" s="23" t="s">
        <v>108</v>
      </c>
      <c r="G158" s="37">
        <f>50+360+80+3.47-0.01-80-3.47+2.72</f>
        <v>412.71000000000004</v>
      </c>
      <c r="H158" s="30"/>
      <c r="I158" s="37"/>
      <c r="J158" s="265"/>
      <c r="K158" s="265"/>
      <c r="L158" s="265">
        <f>J158+K158</f>
        <v>0</v>
      </c>
      <c r="M158" s="32">
        <f>-205.496</f>
        <v>-205.496</v>
      </c>
      <c r="N158" s="33">
        <f>L158+M158</f>
        <v>-205.496</v>
      </c>
      <c r="O158" s="95" t="e">
        <f>L158-#REF!</f>
        <v>#REF!</v>
      </c>
    </row>
    <row r="159" spans="1:14" ht="38.25">
      <c r="A159" s="66" t="s">
        <v>178</v>
      </c>
      <c r="B159" s="23" t="s">
        <v>0</v>
      </c>
      <c r="C159" s="23" t="s">
        <v>11</v>
      </c>
      <c r="D159" s="23" t="s">
        <v>17</v>
      </c>
      <c r="E159" s="23" t="s">
        <v>133</v>
      </c>
      <c r="F159" s="23" t="s">
        <v>179</v>
      </c>
      <c r="G159" s="37"/>
      <c r="H159" s="30"/>
      <c r="I159" s="37"/>
      <c r="J159" s="265">
        <f>17-5-7</f>
        <v>5</v>
      </c>
      <c r="K159" s="265"/>
      <c r="L159" s="265">
        <f>K159+J159</f>
        <v>5</v>
      </c>
      <c r="M159" s="32"/>
      <c r="N159" s="33"/>
    </row>
    <row r="160" spans="1:14" ht="25.5">
      <c r="A160" s="66" t="s">
        <v>180</v>
      </c>
      <c r="B160" s="23" t="s">
        <v>0</v>
      </c>
      <c r="C160" s="23" t="s">
        <v>11</v>
      </c>
      <c r="D160" s="23" t="s">
        <v>17</v>
      </c>
      <c r="E160" s="23" t="s">
        <v>133</v>
      </c>
      <c r="F160" s="23" t="s">
        <v>181</v>
      </c>
      <c r="G160" s="37"/>
      <c r="H160" s="30"/>
      <c r="I160" s="37"/>
      <c r="J160" s="265">
        <v>10.5</v>
      </c>
      <c r="K160" s="265"/>
      <c r="L160" s="265">
        <f>K160+J160</f>
        <v>10.5</v>
      </c>
      <c r="M160" s="32"/>
      <c r="N160" s="33"/>
    </row>
    <row r="161" spans="1:14" ht="26.25">
      <c r="A161" s="82" t="s">
        <v>528</v>
      </c>
      <c r="B161" s="23" t="s">
        <v>0</v>
      </c>
      <c r="C161" s="23" t="s">
        <v>11</v>
      </c>
      <c r="D161" s="23" t="s">
        <v>17</v>
      </c>
      <c r="E161" s="23" t="s">
        <v>520</v>
      </c>
      <c r="F161" s="23"/>
      <c r="G161" s="37"/>
      <c r="H161" s="30"/>
      <c r="I161" s="37"/>
      <c r="J161" s="265">
        <f>J162</f>
        <v>124.96781</v>
      </c>
      <c r="K161" s="265">
        <f>K162</f>
        <v>54.09551</v>
      </c>
      <c r="L161" s="265">
        <f>L162</f>
        <v>179.06332</v>
      </c>
      <c r="M161" s="32"/>
      <c r="N161" s="33"/>
    </row>
    <row r="162" spans="1:14" ht="15">
      <c r="A162" s="82" t="s">
        <v>529</v>
      </c>
      <c r="B162" s="23" t="s">
        <v>0</v>
      </c>
      <c r="C162" s="23" t="s">
        <v>11</v>
      </c>
      <c r="D162" s="23" t="s">
        <v>17</v>
      </c>
      <c r="E162" s="23" t="s">
        <v>520</v>
      </c>
      <c r="F162" s="23" t="s">
        <v>524</v>
      </c>
      <c r="G162" s="37"/>
      <c r="H162" s="30"/>
      <c r="I162" s="37"/>
      <c r="J162" s="265">
        <v>124.96781</v>
      </c>
      <c r="K162" s="265">
        <v>54.09551</v>
      </c>
      <c r="L162" s="265">
        <f>J162+K162</f>
        <v>179.06332</v>
      </c>
      <c r="M162" s="32"/>
      <c r="N162" s="33"/>
    </row>
    <row r="163" spans="1:14" ht="15">
      <c r="A163" s="39" t="s">
        <v>20</v>
      </c>
      <c r="B163" s="29" t="s">
        <v>0</v>
      </c>
      <c r="C163" s="29" t="s">
        <v>11</v>
      </c>
      <c r="D163" s="29" t="s">
        <v>21</v>
      </c>
      <c r="E163" s="29"/>
      <c r="F163" s="29"/>
      <c r="G163" s="37"/>
      <c r="H163" s="30"/>
      <c r="I163" s="37"/>
      <c r="J163" s="264">
        <f aca="true" t="shared" si="22" ref="J163:L164">J164</f>
        <v>225.18</v>
      </c>
      <c r="K163" s="264">
        <f t="shared" si="22"/>
        <v>-105</v>
      </c>
      <c r="L163" s="264">
        <f t="shared" si="22"/>
        <v>120.18</v>
      </c>
      <c r="M163" s="32"/>
      <c r="N163" s="33"/>
    </row>
    <row r="164" spans="1:14" ht="15">
      <c r="A164" s="39" t="s">
        <v>20</v>
      </c>
      <c r="B164" s="23" t="s">
        <v>0</v>
      </c>
      <c r="C164" s="23" t="s">
        <v>11</v>
      </c>
      <c r="D164" s="23" t="s">
        <v>21</v>
      </c>
      <c r="E164" s="23" t="s">
        <v>218</v>
      </c>
      <c r="F164" s="23"/>
      <c r="G164" s="37"/>
      <c r="H164" s="30"/>
      <c r="I164" s="37"/>
      <c r="J164" s="265">
        <f t="shared" si="22"/>
        <v>225.18</v>
      </c>
      <c r="K164" s="265">
        <f t="shared" si="22"/>
        <v>-105</v>
      </c>
      <c r="L164" s="265">
        <f t="shared" si="22"/>
        <v>120.18</v>
      </c>
      <c r="M164" s="32"/>
      <c r="N164" s="33"/>
    </row>
    <row r="165" spans="1:14" ht="26.25">
      <c r="A165" s="39" t="s">
        <v>219</v>
      </c>
      <c r="B165" s="23" t="s">
        <v>0</v>
      </c>
      <c r="C165" s="23" t="s">
        <v>11</v>
      </c>
      <c r="D165" s="23" t="s">
        <v>21</v>
      </c>
      <c r="E165" s="23" t="s">
        <v>220</v>
      </c>
      <c r="F165" s="23"/>
      <c r="G165" s="37"/>
      <c r="H165" s="30"/>
      <c r="I165" s="37"/>
      <c r="J165" s="265">
        <f>J166+J167</f>
        <v>225.18</v>
      </c>
      <c r="K165" s="265">
        <f>K166+K167</f>
        <v>-105</v>
      </c>
      <c r="L165" s="265">
        <f>L166+L167</f>
        <v>120.18</v>
      </c>
      <c r="M165" s="32"/>
      <c r="N165" s="33"/>
    </row>
    <row r="166" spans="1:14" ht="15" hidden="1">
      <c r="A166" s="39" t="s">
        <v>216</v>
      </c>
      <c r="B166" s="23" t="s">
        <v>0</v>
      </c>
      <c r="C166" s="23" t="s">
        <v>11</v>
      </c>
      <c r="D166" s="23" t="s">
        <v>21</v>
      </c>
      <c r="E166" s="23" t="s">
        <v>220</v>
      </c>
      <c r="F166" s="23" t="s">
        <v>217</v>
      </c>
      <c r="G166" s="37"/>
      <c r="H166" s="30"/>
      <c r="I166" s="37"/>
      <c r="J166" s="265"/>
      <c r="K166" s="265"/>
      <c r="L166" s="265">
        <f>J166+K166</f>
        <v>0</v>
      </c>
      <c r="M166" s="32"/>
      <c r="N166" s="33"/>
    </row>
    <row r="167" spans="1:14" ht="15">
      <c r="A167" s="39" t="s">
        <v>221</v>
      </c>
      <c r="B167" s="23" t="s">
        <v>0</v>
      </c>
      <c r="C167" s="23" t="s">
        <v>11</v>
      </c>
      <c r="D167" s="23" t="s">
        <v>21</v>
      </c>
      <c r="E167" s="23" t="s">
        <v>220</v>
      </c>
      <c r="F167" s="23" t="s">
        <v>222</v>
      </c>
      <c r="G167" s="37"/>
      <c r="H167" s="30"/>
      <c r="I167" s="37"/>
      <c r="J167" s="265">
        <v>225.18</v>
      </c>
      <c r="K167" s="265">
        <f>-155+50</f>
        <v>-105</v>
      </c>
      <c r="L167" s="265">
        <f>J167+K167</f>
        <v>120.18</v>
      </c>
      <c r="M167" s="32"/>
      <c r="N167" s="33"/>
    </row>
    <row r="168" spans="1:14" ht="15">
      <c r="A168" s="84" t="s">
        <v>24</v>
      </c>
      <c r="B168" s="85" t="s">
        <v>0</v>
      </c>
      <c r="C168" s="85" t="s">
        <v>11</v>
      </c>
      <c r="D168" s="85" t="s">
        <v>23</v>
      </c>
      <c r="E168" s="23"/>
      <c r="F168" s="23"/>
      <c r="G168" s="37"/>
      <c r="H168" s="30"/>
      <c r="I168" s="37"/>
      <c r="J168" s="265">
        <f>J169</f>
        <v>10.2</v>
      </c>
      <c r="K168" s="265">
        <f>K169</f>
        <v>0</v>
      </c>
      <c r="L168" s="265">
        <f>L169</f>
        <v>10.2</v>
      </c>
      <c r="M168" s="38">
        <f>M172</f>
        <v>0</v>
      </c>
      <c r="N168" s="72">
        <f>N172</f>
        <v>0</v>
      </c>
    </row>
    <row r="169" spans="1:14" ht="25.5">
      <c r="A169" s="167" t="s">
        <v>274</v>
      </c>
      <c r="B169" s="85" t="s">
        <v>0</v>
      </c>
      <c r="C169" s="85" t="s">
        <v>11</v>
      </c>
      <c r="D169" s="85" t="s">
        <v>23</v>
      </c>
      <c r="E169" s="23" t="s">
        <v>451</v>
      </c>
      <c r="F169" s="23"/>
      <c r="G169" s="37"/>
      <c r="H169" s="30"/>
      <c r="I169" s="37"/>
      <c r="J169" s="265">
        <f>J170+J172</f>
        <v>10.2</v>
      </c>
      <c r="K169" s="265">
        <f>K170+K172</f>
        <v>0</v>
      </c>
      <c r="L169" s="265">
        <f>L170+L172</f>
        <v>10.2</v>
      </c>
      <c r="M169" s="38"/>
      <c r="N169" s="38"/>
    </row>
    <row r="170" spans="1:14" ht="51.75">
      <c r="A170" s="34" t="s">
        <v>209</v>
      </c>
      <c r="B170" s="23" t="s">
        <v>0</v>
      </c>
      <c r="C170" s="23" t="s">
        <v>11</v>
      </c>
      <c r="D170" s="23" t="s">
        <v>23</v>
      </c>
      <c r="E170" s="23" t="s">
        <v>210</v>
      </c>
      <c r="F170" s="23"/>
      <c r="G170" s="21">
        <f aca="true" t="shared" si="23" ref="G170:N170">G171</f>
        <v>0</v>
      </c>
      <c r="H170" s="21">
        <f t="shared" si="23"/>
        <v>0</v>
      </c>
      <c r="I170" s="21">
        <f t="shared" si="23"/>
        <v>0</v>
      </c>
      <c r="J170" s="265">
        <f t="shared" si="23"/>
        <v>10.2</v>
      </c>
      <c r="K170" s="265">
        <f t="shared" si="23"/>
        <v>0</v>
      </c>
      <c r="L170" s="265">
        <f t="shared" si="23"/>
        <v>10.2</v>
      </c>
      <c r="M170" s="35">
        <f t="shared" si="23"/>
        <v>0</v>
      </c>
      <c r="N170" s="36">
        <f t="shared" si="23"/>
        <v>0</v>
      </c>
    </row>
    <row r="171" spans="1:14" ht="38.25">
      <c r="A171" s="66" t="s">
        <v>163</v>
      </c>
      <c r="B171" s="23" t="s">
        <v>0</v>
      </c>
      <c r="C171" s="23" t="s">
        <v>11</v>
      </c>
      <c r="D171" s="23" t="s">
        <v>23</v>
      </c>
      <c r="E171" s="23" t="s">
        <v>210</v>
      </c>
      <c r="F171" s="23" t="s">
        <v>165</v>
      </c>
      <c r="G171" s="21"/>
      <c r="H171" s="30"/>
      <c r="I171" s="21"/>
      <c r="J171" s="265">
        <v>10.2</v>
      </c>
      <c r="K171" s="265"/>
      <c r="L171" s="265">
        <f>SUM(J171:K171)</f>
        <v>10.2</v>
      </c>
      <c r="M171" s="35"/>
      <c r="N171" s="33"/>
    </row>
    <row r="172" spans="1:14" ht="76.5">
      <c r="A172" s="86" t="s">
        <v>223</v>
      </c>
      <c r="B172" s="73" t="s">
        <v>0</v>
      </c>
      <c r="C172" s="73" t="s">
        <v>11</v>
      </c>
      <c r="D172" s="73" t="s">
        <v>23</v>
      </c>
      <c r="E172" s="73" t="s">
        <v>224</v>
      </c>
      <c r="F172" s="23"/>
      <c r="G172" s="37"/>
      <c r="H172" s="30"/>
      <c r="I172" s="37"/>
      <c r="J172" s="265">
        <f>J173</f>
        <v>0</v>
      </c>
      <c r="K172" s="265">
        <f>K173</f>
        <v>0</v>
      </c>
      <c r="L172" s="265">
        <f>L173</f>
        <v>0</v>
      </c>
      <c r="M172" s="32">
        <f>M173</f>
        <v>0</v>
      </c>
      <c r="N172" s="64">
        <f>N173</f>
        <v>0</v>
      </c>
    </row>
    <row r="173" spans="1:14" ht="25.5">
      <c r="A173" s="66" t="s">
        <v>169</v>
      </c>
      <c r="B173" s="73" t="s">
        <v>0</v>
      </c>
      <c r="C173" s="73" t="s">
        <v>11</v>
      </c>
      <c r="D173" s="73" t="s">
        <v>23</v>
      </c>
      <c r="E173" s="73" t="s">
        <v>224</v>
      </c>
      <c r="F173" s="23" t="s">
        <v>170</v>
      </c>
      <c r="G173" s="37"/>
      <c r="H173" s="30"/>
      <c r="I173" s="37"/>
      <c r="J173" s="265">
        <v>0</v>
      </c>
      <c r="K173" s="265"/>
      <c r="L173" s="265">
        <f>J173+K173</f>
        <v>0</v>
      </c>
      <c r="M173" s="32"/>
      <c r="N173" s="33"/>
    </row>
    <row r="174" spans="1:15" s="147" customFormat="1" ht="14.25" customHeight="1">
      <c r="A174" s="83" t="s">
        <v>26</v>
      </c>
      <c r="B174" s="29" t="s">
        <v>0</v>
      </c>
      <c r="C174" s="29" t="s">
        <v>12</v>
      </c>
      <c r="D174" s="29" t="s">
        <v>226</v>
      </c>
      <c r="E174" s="29"/>
      <c r="F174" s="29"/>
      <c r="G174" s="21">
        <f aca="true" t="shared" si="24" ref="G174:N176">G175</f>
        <v>-1000</v>
      </c>
      <c r="H174" s="21">
        <f t="shared" si="24"/>
        <v>1548</v>
      </c>
      <c r="I174" s="21">
        <f t="shared" si="24"/>
        <v>0</v>
      </c>
      <c r="J174" s="264">
        <f t="shared" si="24"/>
        <v>562.6</v>
      </c>
      <c r="K174" s="264">
        <f t="shared" si="24"/>
        <v>0</v>
      </c>
      <c r="L174" s="264">
        <f t="shared" si="24"/>
        <v>562.6</v>
      </c>
      <c r="M174" s="46" t="e">
        <f t="shared" si="24"/>
        <v>#REF!</v>
      </c>
      <c r="N174" s="63" t="e">
        <f t="shared" si="24"/>
        <v>#REF!</v>
      </c>
      <c r="O174" s="170">
        <f>L174+L194+L196+L201+L219+L226+L230+L234+L246+L249+L252</f>
        <v>44655.509</v>
      </c>
    </row>
    <row r="175" spans="1:14" ht="26.25" customHeight="1">
      <c r="A175" s="34" t="s">
        <v>227</v>
      </c>
      <c r="B175" s="23" t="s">
        <v>0</v>
      </c>
      <c r="C175" s="23" t="s">
        <v>12</v>
      </c>
      <c r="D175" s="23" t="s">
        <v>13</v>
      </c>
      <c r="E175" s="23"/>
      <c r="F175" s="23"/>
      <c r="G175" s="37">
        <f t="shared" si="24"/>
        <v>-1000</v>
      </c>
      <c r="H175" s="37">
        <f t="shared" si="24"/>
        <v>1548</v>
      </c>
      <c r="I175" s="37">
        <f t="shared" si="24"/>
        <v>0</v>
      </c>
      <c r="J175" s="265">
        <f t="shared" si="24"/>
        <v>562.6</v>
      </c>
      <c r="K175" s="265">
        <f t="shared" si="24"/>
        <v>0</v>
      </c>
      <c r="L175" s="265">
        <f t="shared" si="24"/>
        <v>562.6</v>
      </c>
      <c r="M175" s="32" t="e">
        <f t="shared" si="24"/>
        <v>#REF!</v>
      </c>
      <c r="N175" s="33" t="e">
        <f t="shared" si="24"/>
        <v>#REF!</v>
      </c>
    </row>
    <row r="176" spans="1:14" ht="43.5" customHeight="1">
      <c r="A176" s="34" t="s">
        <v>228</v>
      </c>
      <c r="B176" s="23" t="s">
        <v>0</v>
      </c>
      <c r="C176" s="23" t="s">
        <v>12</v>
      </c>
      <c r="D176" s="23" t="s">
        <v>13</v>
      </c>
      <c r="E176" s="23" t="s">
        <v>229</v>
      </c>
      <c r="F176" s="23"/>
      <c r="G176" s="37">
        <f t="shared" si="24"/>
        <v>-1000</v>
      </c>
      <c r="H176" s="37">
        <f t="shared" si="24"/>
        <v>1548</v>
      </c>
      <c r="I176" s="37">
        <f t="shared" si="24"/>
        <v>0</v>
      </c>
      <c r="J176" s="265">
        <f>J177+J178</f>
        <v>562.6</v>
      </c>
      <c r="K176" s="265">
        <f>K177+K178</f>
        <v>0</v>
      </c>
      <c r="L176" s="265">
        <f>L177+L178</f>
        <v>562.6</v>
      </c>
      <c r="M176" s="33" t="e">
        <f>M177+#REF!</f>
        <v>#REF!</v>
      </c>
      <c r="N176" s="33" t="e">
        <f>N177+#REF!</f>
        <v>#REF!</v>
      </c>
    </row>
    <row r="177" spans="1:14" ht="15" customHeight="1">
      <c r="A177" s="82" t="s">
        <v>230</v>
      </c>
      <c r="B177" s="23" t="s">
        <v>0</v>
      </c>
      <c r="C177" s="23" t="s">
        <v>12</v>
      </c>
      <c r="D177" s="23" t="s">
        <v>13</v>
      </c>
      <c r="E177" s="23" t="s">
        <v>229</v>
      </c>
      <c r="F177" s="23" t="s">
        <v>231</v>
      </c>
      <c r="G177" s="37">
        <v>-1000</v>
      </c>
      <c r="H177" s="30">
        <v>1548</v>
      </c>
      <c r="I177" s="37"/>
      <c r="J177" s="265"/>
      <c r="K177" s="265"/>
      <c r="L177" s="265">
        <f>J177+K177</f>
        <v>0</v>
      </c>
      <c r="M177" s="32"/>
      <c r="N177" s="33">
        <f>L177+M177</f>
        <v>0</v>
      </c>
    </row>
    <row r="178" spans="1:14" ht="15">
      <c r="A178" s="87" t="s">
        <v>225</v>
      </c>
      <c r="B178" s="23" t="s">
        <v>0</v>
      </c>
      <c r="C178" s="23" t="s">
        <v>12</v>
      </c>
      <c r="D178" s="23" t="s">
        <v>13</v>
      </c>
      <c r="E178" s="23" t="s">
        <v>229</v>
      </c>
      <c r="F178" s="23" t="s">
        <v>232</v>
      </c>
      <c r="G178" s="37"/>
      <c r="H178" s="30"/>
      <c r="I178" s="37"/>
      <c r="J178" s="265">
        <v>562.6</v>
      </c>
      <c r="K178" s="265"/>
      <c r="L178" s="265">
        <f>J178+K178</f>
        <v>562.6</v>
      </c>
      <c r="M178" s="89"/>
      <c r="N178" s="88"/>
    </row>
    <row r="179" spans="1:14" ht="26.25">
      <c r="A179" s="81" t="s">
        <v>29</v>
      </c>
      <c r="B179" s="29" t="s">
        <v>0</v>
      </c>
      <c r="C179" s="29" t="s">
        <v>13</v>
      </c>
      <c r="D179" s="23"/>
      <c r="E179" s="23"/>
      <c r="F179" s="23"/>
      <c r="G179" s="21">
        <f aca="true" t="shared" si="25" ref="G179:N179">G180</f>
        <v>0</v>
      </c>
      <c r="H179" s="21">
        <f t="shared" si="25"/>
        <v>526.1</v>
      </c>
      <c r="I179" s="21">
        <f t="shared" si="25"/>
        <v>0</v>
      </c>
      <c r="J179" s="264">
        <f>J180+J188</f>
        <v>90</v>
      </c>
      <c r="K179" s="264">
        <f>K180+K188</f>
        <v>0</v>
      </c>
      <c r="L179" s="264">
        <f>L180+L188</f>
        <v>90</v>
      </c>
      <c r="M179" s="26">
        <f t="shared" si="25"/>
        <v>0</v>
      </c>
      <c r="N179" s="27">
        <f t="shared" si="25"/>
        <v>0</v>
      </c>
    </row>
    <row r="180" spans="1:14" s="147" customFormat="1" ht="14.25">
      <c r="A180" s="81" t="s">
        <v>31</v>
      </c>
      <c r="B180" s="29" t="s">
        <v>0</v>
      </c>
      <c r="C180" s="29" t="s">
        <v>13</v>
      </c>
      <c r="D180" s="29" t="s">
        <v>12</v>
      </c>
      <c r="E180" s="29"/>
      <c r="F180" s="29"/>
      <c r="G180" s="21">
        <f aca="true" t="shared" si="26" ref="G180:M180">G182+G185</f>
        <v>0</v>
      </c>
      <c r="H180" s="21">
        <f t="shared" si="26"/>
        <v>526.1</v>
      </c>
      <c r="I180" s="21">
        <f t="shared" si="26"/>
        <v>0</v>
      </c>
      <c r="J180" s="264">
        <f>J182+J185</f>
        <v>0</v>
      </c>
      <c r="K180" s="264">
        <f t="shared" si="26"/>
        <v>0</v>
      </c>
      <c r="L180" s="264">
        <f t="shared" si="26"/>
        <v>0</v>
      </c>
      <c r="M180" s="46">
        <f t="shared" si="26"/>
        <v>0</v>
      </c>
      <c r="N180" s="63">
        <f>N182+N185</f>
        <v>0</v>
      </c>
    </row>
    <row r="181" spans="1:14" ht="15">
      <c r="A181" s="82" t="s">
        <v>347</v>
      </c>
      <c r="B181" s="23" t="s">
        <v>0</v>
      </c>
      <c r="C181" s="23" t="s">
        <v>13</v>
      </c>
      <c r="D181" s="23" t="s">
        <v>12</v>
      </c>
      <c r="E181" s="23" t="s">
        <v>276</v>
      </c>
      <c r="F181" s="23"/>
      <c r="G181" s="37"/>
      <c r="H181" s="37"/>
      <c r="I181" s="37"/>
      <c r="J181" s="265">
        <f>J182+J185</f>
        <v>0</v>
      </c>
      <c r="K181" s="265">
        <f>K182+K185</f>
        <v>0</v>
      </c>
      <c r="L181" s="265">
        <f>L182+L185</f>
        <v>0</v>
      </c>
      <c r="M181" s="32"/>
      <c r="N181" s="33"/>
    </row>
    <row r="182" spans="1:14" ht="38.25">
      <c r="A182" s="90" t="s">
        <v>233</v>
      </c>
      <c r="B182" s="23" t="s">
        <v>0</v>
      </c>
      <c r="C182" s="23" t="s">
        <v>13</v>
      </c>
      <c r="D182" s="23" t="s">
        <v>12</v>
      </c>
      <c r="E182" s="23" t="s">
        <v>234</v>
      </c>
      <c r="F182" s="23"/>
      <c r="G182" s="37">
        <f aca="true" t="shared" si="27" ref="G182:N182">G183</f>
        <v>0</v>
      </c>
      <c r="H182" s="37">
        <f t="shared" si="27"/>
        <v>316.5</v>
      </c>
      <c r="I182" s="37">
        <f t="shared" si="27"/>
        <v>0</v>
      </c>
      <c r="J182" s="265">
        <f>J183+J184</f>
        <v>0</v>
      </c>
      <c r="K182" s="265">
        <f>K183+K184</f>
        <v>0</v>
      </c>
      <c r="L182" s="265">
        <f>L183+L184</f>
        <v>0</v>
      </c>
      <c r="M182" s="32">
        <f t="shared" si="27"/>
        <v>0</v>
      </c>
      <c r="N182" s="33">
        <f t="shared" si="27"/>
        <v>0</v>
      </c>
    </row>
    <row r="183" spans="1:14" ht="26.25" hidden="1">
      <c r="A183" s="82" t="s">
        <v>109</v>
      </c>
      <c r="B183" s="23" t="s">
        <v>0</v>
      </c>
      <c r="C183" s="23" t="s">
        <v>13</v>
      </c>
      <c r="D183" s="23" t="s">
        <v>12</v>
      </c>
      <c r="E183" s="23" t="s">
        <v>234</v>
      </c>
      <c r="F183" s="23" t="s">
        <v>108</v>
      </c>
      <c r="G183" s="37"/>
      <c r="H183" s="30">
        <v>316.5</v>
      </c>
      <c r="I183" s="37"/>
      <c r="J183" s="265"/>
      <c r="K183" s="265"/>
      <c r="L183" s="265">
        <f>J183+K183</f>
        <v>0</v>
      </c>
      <c r="M183" s="32"/>
      <c r="N183" s="33">
        <f>L183+M183</f>
        <v>0</v>
      </c>
    </row>
    <row r="184" spans="1:14" ht="38.25">
      <c r="A184" s="66" t="s">
        <v>163</v>
      </c>
      <c r="B184" s="23" t="s">
        <v>0</v>
      </c>
      <c r="C184" s="23" t="s">
        <v>13</v>
      </c>
      <c r="D184" s="23" t="s">
        <v>12</v>
      </c>
      <c r="E184" s="23" t="s">
        <v>234</v>
      </c>
      <c r="F184" s="23" t="s">
        <v>165</v>
      </c>
      <c r="G184" s="37"/>
      <c r="H184" s="30"/>
      <c r="I184" s="37"/>
      <c r="J184" s="265">
        <v>0</v>
      </c>
      <c r="K184" s="265"/>
      <c r="L184" s="265">
        <f>J184+K184</f>
        <v>0</v>
      </c>
      <c r="M184" s="32"/>
      <c r="N184" s="33"/>
    </row>
    <row r="185" spans="1:14" ht="43.5" customHeight="1">
      <c r="A185" s="34" t="s">
        <v>235</v>
      </c>
      <c r="B185" s="23" t="s">
        <v>0</v>
      </c>
      <c r="C185" s="23" t="s">
        <v>13</v>
      </c>
      <c r="D185" s="23" t="s">
        <v>12</v>
      </c>
      <c r="E185" s="23" t="s">
        <v>236</v>
      </c>
      <c r="F185" s="23"/>
      <c r="G185" s="37">
        <f aca="true" t="shared" si="28" ref="G185:N185">G186</f>
        <v>0</v>
      </c>
      <c r="H185" s="37">
        <f t="shared" si="28"/>
        <v>209.6</v>
      </c>
      <c r="I185" s="37">
        <f t="shared" si="28"/>
        <v>0</v>
      </c>
      <c r="J185" s="265">
        <f>J186+J187</f>
        <v>0</v>
      </c>
      <c r="K185" s="265">
        <f>K186+K187</f>
        <v>0</v>
      </c>
      <c r="L185" s="265">
        <f>L186+L187</f>
        <v>0</v>
      </c>
      <c r="M185" s="32">
        <f t="shared" si="28"/>
        <v>0</v>
      </c>
      <c r="N185" s="33">
        <f t="shared" si="28"/>
        <v>0</v>
      </c>
    </row>
    <row r="186" spans="1:14" ht="26.25" hidden="1">
      <c r="A186" s="82" t="s">
        <v>109</v>
      </c>
      <c r="B186" s="23" t="s">
        <v>0</v>
      </c>
      <c r="C186" s="23" t="s">
        <v>13</v>
      </c>
      <c r="D186" s="23" t="s">
        <v>12</v>
      </c>
      <c r="E186" s="23" t="s">
        <v>236</v>
      </c>
      <c r="F186" s="23" t="s">
        <v>108</v>
      </c>
      <c r="G186" s="37"/>
      <c r="H186" s="30">
        <v>209.6</v>
      </c>
      <c r="I186" s="37"/>
      <c r="J186" s="265"/>
      <c r="K186" s="265"/>
      <c r="L186" s="265">
        <f>J186+K186</f>
        <v>0</v>
      </c>
      <c r="M186" s="40"/>
      <c r="N186" s="41">
        <f>L186+M186</f>
        <v>0</v>
      </c>
    </row>
    <row r="187" spans="1:14" ht="39" thickBot="1">
      <c r="A187" s="66" t="s">
        <v>163</v>
      </c>
      <c r="B187" s="23" t="s">
        <v>0</v>
      </c>
      <c r="C187" s="23" t="s">
        <v>13</v>
      </c>
      <c r="D187" s="23" t="s">
        <v>12</v>
      </c>
      <c r="E187" s="23" t="s">
        <v>236</v>
      </c>
      <c r="F187" s="23" t="s">
        <v>165</v>
      </c>
      <c r="G187" s="37"/>
      <c r="H187" s="30"/>
      <c r="I187" s="37"/>
      <c r="J187" s="265">
        <v>0</v>
      </c>
      <c r="K187" s="265"/>
      <c r="L187" s="265">
        <f>J187+K187</f>
        <v>0</v>
      </c>
      <c r="M187" s="53"/>
      <c r="N187" s="75"/>
    </row>
    <row r="188" spans="1:14" ht="51.75">
      <c r="A188" s="81" t="s">
        <v>310</v>
      </c>
      <c r="B188" s="29" t="s">
        <v>0</v>
      </c>
      <c r="C188" s="29" t="s">
        <v>13</v>
      </c>
      <c r="D188" s="29" t="s">
        <v>33</v>
      </c>
      <c r="E188" s="29"/>
      <c r="F188" s="29"/>
      <c r="G188" s="21"/>
      <c r="H188" s="25"/>
      <c r="I188" s="21"/>
      <c r="J188" s="264">
        <f aca="true" t="shared" si="29" ref="J188:L189">J189</f>
        <v>90</v>
      </c>
      <c r="K188" s="264">
        <f t="shared" si="29"/>
        <v>0</v>
      </c>
      <c r="L188" s="264">
        <f t="shared" si="29"/>
        <v>90</v>
      </c>
      <c r="M188" s="57"/>
      <c r="N188" s="175"/>
    </row>
    <row r="189" spans="1:14" ht="51.75">
      <c r="A189" s="39" t="s">
        <v>481</v>
      </c>
      <c r="B189" s="23" t="s">
        <v>0</v>
      </c>
      <c r="C189" s="23" t="s">
        <v>13</v>
      </c>
      <c r="D189" s="23" t="s">
        <v>33</v>
      </c>
      <c r="E189" s="23" t="s">
        <v>482</v>
      </c>
      <c r="F189" s="23"/>
      <c r="G189" s="37"/>
      <c r="H189" s="30"/>
      <c r="I189" s="37"/>
      <c r="J189" s="265">
        <f t="shared" si="29"/>
        <v>90</v>
      </c>
      <c r="K189" s="265">
        <f t="shared" si="29"/>
        <v>0</v>
      </c>
      <c r="L189" s="265">
        <f t="shared" si="29"/>
        <v>90</v>
      </c>
      <c r="M189" s="57"/>
      <c r="N189" s="175"/>
    </row>
    <row r="190" spans="1:14" ht="15">
      <c r="A190" s="39" t="s">
        <v>484</v>
      </c>
      <c r="B190" s="23" t="s">
        <v>0</v>
      </c>
      <c r="C190" s="23" t="s">
        <v>13</v>
      </c>
      <c r="D190" s="23" t="s">
        <v>33</v>
      </c>
      <c r="E190" s="23" t="s">
        <v>482</v>
      </c>
      <c r="F190" s="23" t="s">
        <v>483</v>
      </c>
      <c r="G190" s="37"/>
      <c r="H190" s="30"/>
      <c r="I190" s="37"/>
      <c r="J190" s="265">
        <v>90</v>
      </c>
      <c r="K190" s="265"/>
      <c r="L190" s="265">
        <f>J190+K190</f>
        <v>90</v>
      </c>
      <c r="M190" s="57"/>
      <c r="N190" s="175"/>
    </row>
    <row r="191" spans="1:14" ht="16.5" customHeight="1">
      <c r="A191" s="81" t="s">
        <v>35</v>
      </c>
      <c r="B191" s="29" t="s">
        <v>0</v>
      </c>
      <c r="C191" s="29" t="s">
        <v>14</v>
      </c>
      <c r="D191" s="29"/>
      <c r="E191" s="29"/>
      <c r="F191" s="29"/>
      <c r="G191" s="21" t="e">
        <f>#REF!+G197</f>
        <v>#REF!</v>
      </c>
      <c r="H191" s="21" t="e">
        <f>#REF!+H197</f>
        <v>#REF!</v>
      </c>
      <c r="I191" s="21" t="e">
        <f>#REF!+I197</f>
        <v>#REF!</v>
      </c>
      <c r="J191" s="264">
        <f>J197+J192</f>
        <v>7138.543</v>
      </c>
      <c r="K191" s="264">
        <f>K197+K192</f>
        <v>5499.996</v>
      </c>
      <c r="L191" s="264">
        <f>L197+L192</f>
        <v>12638.538999999999</v>
      </c>
      <c r="M191" s="26" t="e">
        <f>#REF!+M197</f>
        <v>#REF!</v>
      </c>
      <c r="N191" s="27" t="e">
        <f>#REF!+N197</f>
        <v>#REF!</v>
      </c>
    </row>
    <row r="192" spans="1:14" ht="15">
      <c r="A192" s="81" t="s">
        <v>511</v>
      </c>
      <c r="B192" s="29" t="s">
        <v>0</v>
      </c>
      <c r="C192" s="29" t="s">
        <v>14</v>
      </c>
      <c r="D192" s="29" t="s">
        <v>33</v>
      </c>
      <c r="E192" s="29"/>
      <c r="F192" s="29"/>
      <c r="G192" s="21"/>
      <c r="H192" s="21"/>
      <c r="I192" s="21"/>
      <c r="J192" s="264">
        <f>J193+J195</f>
        <v>3949.65</v>
      </c>
      <c r="K192" s="264">
        <f>K193+K195</f>
        <v>0</v>
      </c>
      <c r="L192" s="264">
        <f>L193+L195</f>
        <v>3949.65</v>
      </c>
      <c r="M192" s="26"/>
      <c r="N192" s="27"/>
    </row>
    <row r="193" spans="1:14" ht="51.75">
      <c r="A193" s="39" t="s">
        <v>481</v>
      </c>
      <c r="B193" s="23" t="s">
        <v>0</v>
      </c>
      <c r="C193" s="23" t="s">
        <v>14</v>
      </c>
      <c r="D193" s="23" t="s">
        <v>33</v>
      </c>
      <c r="E193" s="23" t="s">
        <v>482</v>
      </c>
      <c r="F193" s="23"/>
      <c r="G193" s="21"/>
      <c r="H193" s="21"/>
      <c r="I193" s="21"/>
      <c r="J193" s="265">
        <f>J194</f>
        <v>70</v>
      </c>
      <c r="K193" s="265">
        <f>K194</f>
        <v>0</v>
      </c>
      <c r="L193" s="265">
        <f>L194</f>
        <v>70</v>
      </c>
      <c r="M193" s="26"/>
      <c r="N193" s="27"/>
    </row>
    <row r="194" spans="1:14" ht="15">
      <c r="A194" s="39" t="s">
        <v>484</v>
      </c>
      <c r="B194" s="23" t="s">
        <v>0</v>
      </c>
      <c r="C194" s="23" t="s">
        <v>14</v>
      </c>
      <c r="D194" s="23" t="s">
        <v>33</v>
      </c>
      <c r="E194" s="23" t="s">
        <v>482</v>
      </c>
      <c r="F194" s="23" t="s">
        <v>483</v>
      </c>
      <c r="G194" s="21"/>
      <c r="H194" s="21"/>
      <c r="I194" s="21"/>
      <c r="J194" s="265">
        <v>70</v>
      </c>
      <c r="K194" s="265"/>
      <c r="L194" s="265">
        <f>J194+K194</f>
        <v>70</v>
      </c>
      <c r="M194" s="26"/>
      <c r="N194" s="27"/>
    </row>
    <row r="195" spans="1:14" ht="64.5">
      <c r="A195" s="82" t="s">
        <v>513</v>
      </c>
      <c r="B195" s="23" t="s">
        <v>0</v>
      </c>
      <c r="C195" s="23" t="s">
        <v>14</v>
      </c>
      <c r="D195" s="23" t="s">
        <v>33</v>
      </c>
      <c r="E195" s="23" t="s">
        <v>512</v>
      </c>
      <c r="F195" s="23"/>
      <c r="G195" s="21"/>
      <c r="H195" s="21"/>
      <c r="I195" s="21"/>
      <c r="J195" s="265">
        <f>J196</f>
        <v>3879.65</v>
      </c>
      <c r="K195" s="265">
        <f>K196</f>
        <v>0</v>
      </c>
      <c r="L195" s="265">
        <f>L196</f>
        <v>3879.65</v>
      </c>
      <c r="M195" s="26"/>
      <c r="N195" s="27"/>
    </row>
    <row r="196" spans="1:14" ht="15">
      <c r="A196" s="39" t="s">
        <v>484</v>
      </c>
      <c r="B196" s="23" t="s">
        <v>0</v>
      </c>
      <c r="C196" s="23" t="s">
        <v>14</v>
      </c>
      <c r="D196" s="23" t="s">
        <v>33</v>
      </c>
      <c r="E196" s="23" t="s">
        <v>512</v>
      </c>
      <c r="F196" s="23" t="s">
        <v>483</v>
      </c>
      <c r="G196" s="21"/>
      <c r="H196" s="21"/>
      <c r="I196" s="21"/>
      <c r="J196" s="265">
        <v>3879.65</v>
      </c>
      <c r="K196" s="265"/>
      <c r="L196" s="265">
        <f>J196+K196</f>
        <v>3879.65</v>
      </c>
      <c r="M196" s="26"/>
      <c r="N196" s="27"/>
    </row>
    <row r="197" spans="1:14" s="147" customFormat="1" ht="25.5">
      <c r="A197" s="83" t="s">
        <v>40</v>
      </c>
      <c r="B197" s="29" t="s">
        <v>0</v>
      </c>
      <c r="C197" s="29" t="s">
        <v>14</v>
      </c>
      <c r="D197" s="29" t="s">
        <v>22</v>
      </c>
      <c r="E197" s="29"/>
      <c r="F197" s="29"/>
      <c r="G197" s="21">
        <f>G206</f>
        <v>0</v>
      </c>
      <c r="H197" s="21">
        <f>H206</f>
        <v>235.5</v>
      </c>
      <c r="I197" s="21">
        <f>I206</f>
        <v>0</v>
      </c>
      <c r="J197" s="264">
        <f>J205+J202+J200+J198</f>
        <v>3188.893</v>
      </c>
      <c r="K197" s="264">
        <f>K205+K202+K200+K198</f>
        <v>5499.996</v>
      </c>
      <c r="L197" s="264">
        <f>L205+L202+L200+L198</f>
        <v>8688.889</v>
      </c>
      <c r="M197" s="46">
        <f>M206</f>
        <v>0</v>
      </c>
      <c r="N197" s="63">
        <f>N206</f>
        <v>0</v>
      </c>
    </row>
    <row r="198" spans="1:14" ht="39">
      <c r="A198" s="39" t="s">
        <v>537</v>
      </c>
      <c r="B198" s="23" t="s">
        <v>0</v>
      </c>
      <c r="C198" s="23" t="s">
        <v>14</v>
      </c>
      <c r="D198" s="23" t="s">
        <v>22</v>
      </c>
      <c r="E198" s="23" t="s">
        <v>536</v>
      </c>
      <c r="F198" s="23"/>
      <c r="G198" s="37"/>
      <c r="H198" s="37"/>
      <c r="I198" s="37"/>
      <c r="J198" s="265">
        <f>J199</f>
        <v>0</v>
      </c>
      <c r="K198" s="265">
        <f>K199</f>
        <v>6200</v>
      </c>
      <c r="L198" s="265">
        <f>L199</f>
        <v>6200</v>
      </c>
      <c r="M198" s="32"/>
      <c r="N198" s="38"/>
    </row>
    <row r="199" spans="1:14" ht="51">
      <c r="A199" s="66" t="s">
        <v>240</v>
      </c>
      <c r="B199" s="23" t="s">
        <v>0</v>
      </c>
      <c r="C199" s="23" t="s">
        <v>14</v>
      </c>
      <c r="D199" s="23" t="s">
        <v>22</v>
      </c>
      <c r="E199" s="23" t="s">
        <v>536</v>
      </c>
      <c r="F199" s="23" t="s">
        <v>241</v>
      </c>
      <c r="G199" s="37"/>
      <c r="H199" s="37"/>
      <c r="I199" s="37"/>
      <c r="J199" s="265"/>
      <c r="K199" s="265">
        <v>6200</v>
      </c>
      <c r="L199" s="265">
        <f>J199+K199</f>
        <v>6200</v>
      </c>
      <c r="M199" s="32"/>
      <c r="N199" s="38"/>
    </row>
    <row r="200" spans="1:14" s="147" customFormat="1" ht="51">
      <c r="A200" s="39" t="s">
        <v>481</v>
      </c>
      <c r="B200" s="23" t="s">
        <v>0</v>
      </c>
      <c r="C200" s="23" t="s">
        <v>14</v>
      </c>
      <c r="D200" s="23" t="s">
        <v>22</v>
      </c>
      <c r="E200" s="23" t="s">
        <v>482</v>
      </c>
      <c r="F200" s="23"/>
      <c r="G200" s="21"/>
      <c r="H200" s="21"/>
      <c r="I200" s="21"/>
      <c r="J200" s="265">
        <f>J201</f>
        <v>1000</v>
      </c>
      <c r="K200" s="265">
        <f>K201</f>
        <v>-200</v>
      </c>
      <c r="L200" s="265">
        <f>L201</f>
        <v>800</v>
      </c>
      <c r="M200" s="226">
        <f>M201</f>
        <v>0</v>
      </c>
      <c r="N200" s="226">
        <f>N201</f>
        <v>0</v>
      </c>
    </row>
    <row r="201" spans="1:14" s="147" customFormat="1" ht="14.25">
      <c r="A201" s="39" t="s">
        <v>484</v>
      </c>
      <c r="B201" s="23" t="s">
        <v>0</v>
      </c>
      <c r="C201" s="23" t="s">
        <v>14</v>
      </c>
      <c r="D201" s="23" t="s">
        <v>22</v>
      </c>
      <c r="E201" s="23" t="s">
        <v>482</v>
      </c>
      <c r="F201" s="23" t="s">
        <v>483</v>
      </c>
      <c r="G201" s="21"/>
      <c r="H201" s="21"/>
      <c r="I201" s="21"/>
      <c r="J201" s="265">
        <v>1000</v>
      </c>
      <c r="K201" s="265">
        <v>-200</v>
      </c>
      <c r="L201" s="265">
        <f>J201+K201</f>
        <v>800</v>
      </c>
      <c r="M201" s="46"/>
      <c r="N201" s="63"/>
    </row>
    <row r="202" spans="1:14" s="147" customFormat="1" ht="38.25">
      <c r="A202" s="34" t="s">
        <v>510</v>
      </c>
      <c r="B202" s="23" t="s">
        <v>0</v>
      </c>
      <c r="C202" s="23" t="s">
        <v>14</v>
      </c>
      <c r="D202" s="23" t="s">
        <v>22</v>
      </c>
      <c r="E202" s="23" t="s">
        <v>509</v>
      </c>
      <c r="F202" s="23"/>
      <c r="G202" s="21"/>
      <c r="H202" s="21"/>
      <c r="I202" s="21"/>
      <c r="J202" s="265">
        <f>J203+J204</f>
        <v>931.768</v>
      </c>
      <c r="K202" s="265">
        <f>K203+K204</f>
        <v>-0.004</v>
      </c>
      <c r="L202" s="265">
        <f>L203+L204</f>
        <v>931.764</v>
      </c>
      <c r="M202" s="46"/>
      <c r="N202" s="63"/>
    </row>
    <row r="203" spans="1:14" s="147" customFormat="1" ht="51">
      <c r="A203" s="66" t="s">
        <v>240</v>
      </c>
      <c r="B203" s="23" t="s">
        <v>0</v>
      </c>
      <c r="C203" s="23" t="s">
        <v>14</v>
      </c>
      <c r="D203" s="23" t="s">
        <v>22</v>
      </c>
      <c r="E203" s="23" t="s">
        <v>509</v>
      </c>
      <c r="F203" s="23" t="s">
        <v>241</v>
      </c>
      <c r="G203" s="21"/>
      <c r="H203" s="21"/>
      <c r="I203" s="21"/>
      <c r="J203" s="265">
        <v>931.768</v>
      </c>
      <c r="K203" s="265">
        <v>-0.004</v>
      </c>
      <c r="L203" s="265">
        <f>J203+K203</f>
        <v>931.764</v>
      </c>
      <c r="M203" s="46"/>
      <c r="N203" s="63"/>
    </row>
    <row r="204" spans="1:14" s="147" customFormat="1" ht="51" hidden="1">
      <c r="A204" s="66" t="s">
        <v>240</v>
      </c>
      <c r="B204" s="23" t="s">
        <v>0</v>
      </c>
      <c r="C204" s="23" t="s">
        <v>14</v>
      </c>
      <c r="D204" s="23" t="s">
        <v>22</v>
      </c>
      <c r="E204" s="23" t="s">
        <v>239</v>
      </c>
      <c r="F204" s="23" t="s">
        <v>241</v>
      </c>
      <c r="G204" s="21"/>
      <c r="H204" s="21"/>
      <c r="I204" s="21"/>
      <c r="J204" s="265"/>
      <c r="K204" s="265"/>
      <c r="L204" s="265">
        <f>J204+K204</f>
        <v>0</v>
      </c>
      <c r="M204" s="46"/>
      <c r="N204" s="63"/>
    </row>
    <row r="205" spans="1:14" s="147" customFormat="1" ht="14.25">
      <c r="A205" s="66" t="s">
        <v>347</v>
      </c>
      <c r="B205" s="23" t="s">
        <v>0</v>
      </c>
      <c r="C205" s="23" t="s">
        <v>14</v>
      </c>
      <c r="D205" s="23" t="s">
        <v>22</v>
      </c>
      <c r="E205" s="23" t="s">
        <v>276</v>
      </c>
      <c r="F205" s="23"/>
      <c r="G205" s="21"/>
      <c r="H205" s="21"/>
      <c r="I205" s="21"/>
      <c r="J205" s="265">
        <f>J206</f>
        <v>1257.125</v>
      </c>
      <c r="K205" s="265">
        <f>K206</f>
        <v>-500</v>
      </c>
      <c r="L205" s="265">
        <f>L206</f>
        <v>757.125</v>
      </c>
      <c r="M205" s="46"/>
      <c r="N205" s="63"/>
    </row>
    <row r="206" spans="1:14" ht="39">
      <c r="A206" s="91" t="s">
        <v>242</v>
      </c>
      <c r="B206" s="23" t="s">
        <v>0</v>
      </c>
      <c r="C206" s="23" t="s">
        <v>14</v>
      </c>
      <c r="D206" s="23" t="s">
        <v>22</v>
      </c>
      <c r="E206" s="23" t="s">
        <v>243</v>
      </c>
      <c r="F206" s="23"/>
      <c r="G206" s="37">
        <f aca="true" t="shared" si="30" ref="G206:N206">G207</f>
        <v>0</v>
      </c>
      <c r="H206" s="37">
        <f t="shared" si="30"/>
        <v>235.5</v>
      </c>
      <c r="I206" s="37">
        <f t="shared" si="30"/>
        <v>0</v>
      </c>
      <c r="J206" s="265">
        <f>J207+J214+J215</f>
        <v>1257.125</v>
      </c>
      <c r="K206" s="265">
        <f>K207+K214+K215</f>
        <v>-500</v>
      </c>
      <c r="L206" s="265">
        <f>L207+L214+L215</f>
        <v>757.125</v>
      </c>
      <c r="M206" s="32">
        <f t="shared" si="30"/>
        <v>0</v>
      </c>
      <c r="N206" s="33">
        <f t="shared" si="30"/>
        <v>0</v>
      </c>
    </row>
    <row r="207" spans="1:14" ht="26.25" hidden="1">
      <c r="A207" s="82" t="s">
        <v>109</v>
      </c>
      <c r="B207" s="23" t="s">
        <v>0</v>
      </c>
      <c r="C207" s="23" t="s">
        <v>14</v>
      </c>
      <c r="D207" s="23" t="s">
        <v>22</v>
      </c>
      <c r="E207" s="23" t="s">
        <v>243</v>
      </c>
      <c r="F207" s="23" t="s">
        <v>108</v>
      </c>
      <c r="G207" s="37"/>
      <c r="H207" s="30">
        <v>235.5</v>
      </c>
      <c r="I207" s="37"/>
      <c r="J207" s="265"/>
      <c r="K207" s="265"/>
      <c r="L207" s="265">
        <f>J207+K207</f>
        <v>0</v>
      </c>
      <c r="M207" s="32"/>
      <c r="N207" s="33">
        <f>L207+M207</f>
        <v>0</v>
      </c>
    </row>
    <row r="208" spans="1:14" ht="15" customHeight="1" hidden="1">
      <c r="A208" s="34" t="s">
        <v>244</v>
      </c>
      <c r="B208" s="23" t="s">
        <v>0</v>
      </c>
      <c r="C208" s="23" t="s">
        <v>14</v>
      </c>
      <c r="D208" s="23" t="s">
        <v>22</v>
      </c>
      <c r="E208" s="23" t="s">
        <v>243</v>
      </c>
      <c r="F208" s="23"/>
      <c r="G208" s="92"/>
      <c r="H208" s="92">
        <f aca="true" t="shared" si="31" ref="H208:N208">H209</f>
        <v>0</v>
      </c>
      <c r="I208" s="92">
        <f t="shared" si="31"/>
        <v>31353.699999999997</v>
      </c>
      <c r="J208" s="265">
        <f t="shared" si="31"/>
        <v>0</v>
      </c>
      <c r="K208" s="265">
        <f t="shared" si="31"/>
        <v>0</v>
      </c>
      <c r="L208" s="265">
        <f t="shared" si="31"/>
        <v>0</v>
      </c>
      <c r="M208" s="32">
        <f t="shared" si="31"/>
        <v>0</v>
      </c>
      <c r="N208" s="33">
        <f t="shared" si="31"/>
        <v>0</v>
      </c>
    </row>
    <row r="209" spans="1:14" ht="15" customHeight="1" hidden="1">
      <c r="A209" s="34" t="s">
        <v>43</v>
      </c>
      <c r="B209" s="23" t="s">
        <v>0</v>
      </c>
      <c r="C209" s="23" t="s">
        <v>14</v>
      </c>
      <c r="D209" s="23" t="s">
        <v>22</v>
      </c>
      <c r="E209" s="23" t="s">
        <v>243</v>
      </c>
      <c r="F209" s="23"/>
      <c r="G209" s="92"/>
      <c r="H209" s="92">
        <f>H210+H212</f>
        <v>0</v>
      </c>
      <c r="I209" s="92">
        <f>I210+I212</f>
        <v>31353.699999999997</v>
      </c>
      <c r="J209" s="265">
        <f>J212+J210</f>
        <v>0</v>
      </c>
      <c r="K209" s="265">
        <f>K212+K210</f>
        <v>0</v>
      </c>
      <c r="L209" s="265">
        <f>L212+L210</f>
        <v>0</v>
      </c>
      <c r="M209" s="32">
        <f>M212+M210</f>
        <v>0</v>
      </c>
      <c r="N209" s="33">
        <f>N212+N210</f>
        <v>0</v>
      </c>
    </row>
    <row r="210" spans="1:14" ht="75" customHeight="1" hidden="1">
      <c r="A210" s="34" t="s">
        <v>245</v>
      </c>
      <c r="B210" s="23" t="s">
        <v>0</v>
      </c>
      <c r="C210" s="23" t="s">
        <v>14</v>
      </c>
      <c r="D210" s="23" t="s">
        <v>22</v>
      </c>
      <c r="E210" s="23" t="s">
        <v>243</v>
      </c>
      <c r="F210" s="23"/>
      <c r="G210" s="92"/>
      <c r="H210" s="92">
        <f aca="true" t="shared" si="32" ref="H210:N210">H211</f>
        <v>0</v>
      </c>
      <c r="I210" s="92">
        <f t="shared" si="32"/>
        <v>23145.3</v>
      </c>
      <c r="J210" s="265">
        <f t="shared" si="32"/>
        <v>0</v>
      </c>
      <c r="K210" s="265">
        <f t="shared" si="32"/>
        <v>0</v>
      </c>
      <c r="L210" s="265">
        <f t="shared" si="32"/>
        <v>0</v>
      </c>
      <c r="M210" s="32">
        <f t="shared" si="32"/>
        <v>0</v>
      </c>
      <c r="N210" s="33">
        <f t="shared" si="32"/>
        <v>0</v>
      </c>
    </row>
    <row r="211" spans="1:14" ht="75" customHeight="1" hidden="1">
      <c r="A211" s="34" t="s">
        <v>246</v>
      </c>
      <c r="B211" s="23" t="s">
        <v>0</v>
      </c>
      <c r="C211" s="23" t="s">
        <v>14</v>
      </c>
      <c r="D211" s="23" t="s">
        <v>22</v>
      </c>
      <c r="E211" s="23" t="s">
        <v>243</v>
      </c>
      <c r="F211" s="23" t="s">
        <v>238</v>
      </c>
      <c r="G211" s="92"/>
      <c r="H211" s="92"/>
      <c r="I211" s="92">
        <v>23145.3</v>
      </c>
      <c r="J211" s="265"/>
      <c r="K211" s="265"/>
      <c r="L211" s="265">
        <f>J211+K211</f>
        <v>0</v>
      </c>
      <c r="M211" s="32"/>
      <c r="N211" s="33">
        <f>L211+M211</f>
        <v>0</v>
      </c>
    </row>
    <row r="212" spans="1:14" ht="75" customHeight="1" hidden="1">
      <c r="A212" s="34" t="s">
        <v>245</v>
      </c>
      <c r="B212" s="23" t="s">
        <v>0</v>
      </c>
      <c r="C212" s="23" t="s">
        <v>14</v>
      </c>
      <c r="D212" s="23" t="s">
        <v>22</v>
      </c>
      <c r="E212" s="23" t="s">
        <v>243</v>
      </c>
      <c r="F212" s="23"/>
      <c r="G212" s="92"/>
      <c r="H212" s="92">
        <f aca="true" t="shared" si="33" ref="H212:N212">H213</f>
        <v>0</v>
      </c>
      <c r="I212" s="92">
        <f t="shared" si="33"/>
        <v>8208.4</v>
      </c>
      <c r="J212" s="265">
        <f t="shared" si="33"/>
        <v>0</v>
      </c>
      <c r="K212" s="265">
        <f t="shared" si="33"/>
        <v>0</v>
      </c>
      <c r="L212" s="265">
        <f t="shared" si="33"/>
        <v>0</v>
      </c>
      <c r="M212" s="32">
        <f t="shared" si="33"/>
        <v>0</v>
      </c>
      <c r="N212" s="33">
        <f t="shared" si="33"/>
        <v>0</v>
      </c>
    </row>
    <row r="213" spans="1:14" ht="75" customHeight="1" hidden="1">
      <c r="A213" s="34" t="s">
        <v>246</v>
      </c>
      <c r="B213" s="23" t="s">
        <v>0</v>
      </c>
      <c r="C213" s="23" t="s">
        <v>14</v>
      </c>
      <c r="D213" s="23" t="s">
        <v>22</v>
      </c>
      <c r="E213" s="23" t="s">
        <v>243</v>
      </c>
      <c r="F213" s="23" t="s">
        <v>238</v>
      </c>
      <c r="G213" s="92"/>
      <c r="H213" s="92"/>
      <c r="I213" s="92">
        <v>8208.4</v>
      </c>
      <c r="J213" s="265"/>
      <c r="K213" s="265"/>
      <c r="L213" s="265">
        <f>J213+K213</f>
        <v>0</v>
      </c>
      <c r="M213" s="32"/>
      <c r="N213" s="33">
        <f>L213+M213</f>
        <v>0</v>
      </c>
    </row>
    <row r="214" spans="1:14" ht="28.5" customHeight="1">
      <c r="A214" s="66" t="s">
        <v>163</v>
      </c>
      <c r="B214" s="23" t="s">
        <v>0</v>
      </c>
      <c r="C214" s="23" t="s">
        <v>14</v>
      </c>
      <c r="D214" s="23" t="s">
        <v>22</v>
      </c>
      <c r="E214" s="23" t="s">
        <v>243</v>
      </c>
      <c r="F214" s="23" t="s">
        <v>165</v>
      </c>
      <c r="G214" s="92"/>
      <c r="H214" s="92"/>
      <c r="I214" s="92"/>
      <c r="J214" s="265">
        <v>1257.125</v>
      </c>
      <c r="K214" s="265">
        <f>-1100</f>
        <v>-1100</v>
      </c>
      <c r="L214" s="265">
        <f>J214+K214</f>
        <v>157.125</v>
      </c>
      <c r="M214" s="32"/>
      <c r="N214" s="33"/>
    </row>
    <row r="215" spans="1:14" ht="51">
      <c r="A215" s="66" t="s">
        <v>240</v>
      </c>
      <c r="B215" s="23" t="s">
        <v>0</v>
      </c>
      <c r="C215" s="23" t="s">
        <v>14</v>
      </c>
      <c r="D215" s="23" t="s">
        <v>22</v>
      </c>
      <c r="E215" s="23" t="s">
        <v>243</v>
      </c>
      <c r="F215" s="23" t="s">
        <v>241</v>
      </c>
      <c r="G215" s="92"/>
      <c r="H215" s="92"/>
      <c r="I215" s="92"/>
      <c r="J215" s="265"/>
      <c r="K215" s="265">
        <v>600</v>
      </c>
      <c r="L215" s="265">
        <f>J215+K215</f>
        <v>600</v>
      </c>
      <c r="M215" s="32"/>
      <c r="N215" s="33"/>
    </row>
    <row r="216" spans="1:14" s="147" customFormat="1" ht="14.25">
      <c r="A216" s="84" t="s">
        <v>244</v>
      </c>
      <c r="B216" s="29" t="s">
        <v>0</v>
      </c>
      <c r="C216" s="29" t="s">
        <v>16</v>
      </c>
      <c r="D216" s="29"/>
      <c r="E216" s="29"/>
      <c r="F216" s="29"/>
      <c r="G216" s="76"/>
      <c r="H216" s="76"/>
      <c r="I216" s="76"/>
      <c r="J216" s="264">
        <f>J217+J224</f>
        <v>1371</v>
      </c>
      <c r="K216" s="264">
        <f>K217+K224</f>
        <v>135.159</v>
      </c>
      <c r="L216" s="264">
        <f>L217+L224</f>
        <v>1506.159</v>
      </c>
      <c r="M216" s="245"/>
      <c r="N216" s="246"/>
    </row>
    <row r="217" spans="1:14" s="147" customFormat="1" ht="14.25">
      <c r="A217" s="84" t="s">
        <v>44</v>
      </c>
      <c r="B217" s="29" t="s">
        <v>0</v>
      </c>
      <c r="C217" s="29" t="s">
        <v>16</v>
      </c>
      <c r="D217" s="29" t="s">
        <v>12</v>
      </c>
      <c r="E217" s="29"/>
      <c r="F217" s="29"/>
      <c r="G217" s="76"/>
      <c r="H217" s="76"/>
      <c r="I217" s="76"/>
      <c r="J217" s="264">
        <f>J218+J220+J222</f>
        <v>931</v>
      </c>
      <c r="K217" s="264">
        <f>K218+K220+K222</f>
        <v>135.159</v>
      </c>
      <c r="L217" s="264">
        <f>L218+L220+L222</f>
        <v>1066.159</v>
      </c>
      <c r="M217" s="245"/>
      <c r="N217" s="246"/>
    </row>
    <row r="218" spans="1:14" ht="51.75">
      <c r="A218" s="39" t="s">
        <v>481</v>
      </c>
      <c r="B218" s="23" t="s">
        <v>0</v>
      </c>
      <c r="C218" s="23" t="s">
        <v>16</v>
      </c>
      <c r="D218" s="23" t="s">
        <v>12</v>
      </c>
      <c r="E218" s="23" t="s">
        <v>482</v>
      </c>
      <c r="F218" s="23"/>
      <c r="G218" s="92"/>
      <c r="H218" s="92"/>
      <c r="I218" s="92"/>
      <c r="J218" s="265">
        <f>J219</f>
        <v>471</v>
      </c>
      <c r="K218" s="265">
        <f>K219</f>
        <v>135.159</v>
      </c>
      <c r="L218" s="265">
        <f>L219</f>
        <v>606.159</v>
      </c>
      <c r="M218" s="57"/>
      <c r="N218" s="93"/>
    </row>
    <row r="219" spans="1:14" ht="15">
      <c r="A219" s="39" t="s">
        <v>484</v>
      </c>
      <c r="B219" s="23" t="s">
        <v>0</v>
      </c>
      <c r="C219" s="23" t="s">
        <v>16</v>
      </c>
      <c r="D219" s="23" t="s">
        <v>12</v>
      </c>
      <c r="E219" s="23" t="s">
        <v>482</v>
      </c>
      <c r="F219" s="23" t="s">
        <v>483</v>
      </c>
      <c r="G219" s="92"/>
      <c r="H219" s="92"/>
      <c r="I219" s="92"/>
      <c r="J219" s="265">
        <v>471</v>
      </c>
      <c r="K219" s="265">
        <v>135.159</v>
      </c>
      <c r="L219" s="265">
        <f>J219+K219</f>
        <v>606.159</v>
      </c>
      <c r="M219" s="57"/>
      <c r="N219" s="93"/>
    </row>
    <row r="220" spans="1:14" ht="39">
      <c r="A220" s="39" t="s">
        <v>526</v>
      </c>
      <c r="B220" s="23" t="s">
        <v>0</v>
      </c>
      <c r="C220" s="23" t="s">
        <v>16</v>
      </c>
      <c r="D220" s="23" t="s">
        <v>12</v>
      </c>
      <c r="E220" s="23" t="s">
        <v>527</v>
      </c>
      <c r="F220" s="23"/>
      <c r="G220" s="92"/>
      <c r="H220" s="92"/>
      <c r="I220" s="92"/>
      <c r="J220" s="265">
        <f>J221</f>
        <v>100</v>
      </c>
      <c r="K220" s="265">
        <f>K221</f>
        <v>0</v>
      </c>
      <c r="L220" s="265">
        <f>L221</f>
        <v>100</v>
      </c>
      <c r="M220" s="57"/>
      <c r="N220" s="93"/>
    </row>
    <row r="221" spans="1:14" ht="15">
      <c r="A221" s="39" t="s">
        <v>484</v>
      </c>
      <c r="B221" s="23" t="s">
        <v>0</v>
      </c>
      <c r="C221" s="23" t="s">
        <v>16</v>
      </c>
      <c r="D221" s="23" t="s">
        <v>12</v>
      </c>
      <c r="E221" s="23" t="s">
        <v>527</v>
      </c>
      <c r="F221" s="23" t="s">
        <v>483</v>
      </c>
      <c r="G221" s="92"/>
      <c r="H221" s="92"/>
      <c r="I221" s="92"/>
      <c r="J221" s="265">
        <v>100</v>
      </c>
      <c r="K221" s="265"/>
      <c r="L221" s="265">
        <f>J221+K221</f>
        <v>100</v>
      </c>
      <c r="M221" s="57"/>
      <c r="N221" s="93"/>
    </row>
    <row r="222" spans="1:14" ht="39">
      <c r="A222" s="174" t="s">
        <v>348</v>
      </c>
      <c r="B222" s="23" t="s">
        <v>0</v>
      </c>
      <c r="C222" s="23" t="s">
        <v>16</v>
      </c>
      <c r="D222" s="23" t="s">
        <v>12</v>
      </c>
      <c r="E222" s="23" t="s">
        <v>349</v>
      </c>
      <c r="F222" s="23"/>
      <c r="G222" s="92"/>
      <c r="H222" s="92"/>
      <c r="I222" s="92"/>
      <c r="J222" s="265">
        <f>J223</f>
        <v>360</v>
      </c>
      <c r="K222" s="265">
        <f>K223</f>
        <v>0</v>
      </c>
      <c r="L222" s="265">
        <f>L223</f>
        <v>360</v>
      </c>
      <c r="M222" s="57"/>
      <c r="N222" s="93"/>
    </row>
    <row r="223" spans="1:14" ht="15">
      <c r="A223" s="39" t="s">
        <v>484</v>
      </c>
      <c r="B223" s="23" t="s">
        <v>0</v>
      </c>
      <c r="C223" s="23" t="s">
        <v>16</v>
      </c>
      <c r="D223" s="23" t="s">
        <v>12</v>
      </c>
      <c r="E223" s="23" t="s">
        <v>349</v>
      </c>
      <c r="F223" s="23" t="s">
        <v>483</v>
      </c>
      <c r="G223" s="92"/>
      <c r="H223" s="92"/>
      <c r="I223" s="92"/>
      <c r="J223" s="265">
        <v>360</v>
      </c>
      <c r="K223" s="265"/>
      <c r="L223" s="265">
        <f>J223+K223</f>
        <v>360</v>
      </c>
      <c r="M223" s="57"/>
      <c r="N223" s="93"/>
    </row>
    <row r="224" spans="1:14" s="147" customFormat="1" ht="14.25">
      <c r="A224" s="84" t="s">
        <v>45</v>
      </c>
      <c r="B224" s="29" t="s">
        <v>0</v>
      </c>
      <c r="C224" s="29" t="s">
        <v>16</v>
      </c>
      <c r="D224" s="29" t="s">
        <v>13</v>
      </c>
      <c r="E224" s="29"/>
      <c r="F224" s="29"/>
      <c r="G224" s="76"/>
      <c r="H224" s="76"/>
      <c r="I224" s="76"/>
      <c r="J224" s="264">
        <f aca="true" t="shared" si="34" ref="J224:L225">J225</f>
        <v>440</v>
      </c>
      <c r="K224" s="264">
        <f t="shared" si="34"/>
        <v>0</v>
      </c>
      <c r="L224" s="264">
        <f t="shared" si="34"/>
        <v>440</v>
      </c>
      <c r="M224" s="245"/>
      <c r="N224" s="246"/>
    </row>
    <row r="225" spans="1:14" ht="51.75">
      <c r="A225" s="39" t="s">
        <v>481</v>
      </c>
      <c r="B225" s="23" t="s">
        <v>0</v>
      </c>
      <c r="C225" s="23" t="s">
        <v>16</v>
      </c>
      <c r="D225" s="23" t="s">
        <v>13</v>
      </c>
      <c r="E225" s="23" t="s">
        <v>482</v>
      </c>
      <c r="F225" s="23"/>
      <c r="G225" s="92"/>
      <c r="H225" s="92"/>
      <c r="I225" s="92"/>
      <c r="J225" s="265">
        <f t="shared" si="34"/>
        <v>440</v>
      </c>
      <c r="K225" s="265">
        <f t="shared" si="34"/>
        <v>0</v>
      </c>
      <c r="L225" s="265">
        <f t="shared" si="34"/>
        <v>440</v>
      </c>
      <c r="M225" s="57"/>
      <c r="N225" s="93"/>
    </row>
    <row r="226" spans="1:14" ht="15">
      <c r="A226" s="39" t="s">
        <v>484</v>
      </c>
      <c r="B226" s="23" t="s">
        <v>0</v>
      </c>
      <c r="C226" s="23" t="s">
        <v>16</v>
      </c>
      <c r="D226" s="23" t="s">
        <v>13</v>
      </c>
      <c r="E226" s="23" t="s">
        <v>482</v>
      </c>
      <c r="F226" s="23" t="s">
        <v>483</v>
      </c>
      <c r="G226" s="92"/>
      <c r="H226" s="92"/>
      <c r="I226" s="92"/>
      <c r="J226" s="265">
        <v>440</v>
      </c>
      <c r="K226" s="265"/>
      <c r="L226" s="265">
        <f>J226+K226</f>
        <v>440</v>
      </c>
      <c r="M226" s="57"/>
      <c r="N226" s="93"/>
    </row>
    <row r="227" spans="1:14" s="147" customFormat="1" ht="14.25">
      <c r="A227" s="83" t="s">
        <v>465</v>
      </c>
      <c r="B227" s="29" t="s">
        <v>0</v>
      </c>
      <c r="C227" s="29" t="s">
        <v>39</v>
      </c>
      <c r="D227" s="29"/>
      <c r="E227" s="29"/>
      <c r="F227" s="29"/>
      <c r="G227" s="76"/>
      <c r="H227" s="76"/>
      <c r="I227" s="76"/>
      <c r="J227" s="264">
        <f>J228</f>
        <v>752.1</v>
      </c>
      <c r="K227" s="264">
        <f aca="true" t="shared" si="35" ref="K227:L229">K228</f>
        <v>500</v>
      </c>
      <c r="L227" s="264">
        <f t="shared" si="35"/>
        <v>1252.1</v>
      </c>
      <c r="M227" s="245"/>
      <c r="N227" s="246"/>
    </row>
    <row r="228" spans="1:14" s="147" customFormat="1" ht="14.25">
      <c r="A228" s="83" t="s">
        <v>514</v>
      </c>
      <c r="B228" s="29" t="s">
        <v>0</v>
      </c>
      <c r="C228" s="29" t="s">
        <v>39</v>
      </c>
      <c r="D228" s="29" t="s">
        <v>11</v>
      </c>
      <c r="E228" s="29"/>
      <c r="F228" s="29"/>
      <c r="G228" s="76"/>
      <c r="H228" s="76"/>
      <c r="I228" s="76"/>
      <c r="J228" s="264">
        <f>J229</f>
        <v>752.1</v>
      </c>
      <c r="K228" s="264">
        <f t="shared" si="35"/>
        <v>500</v>
      </c>
      <c r="L228" s="264">
        <f t="shared" si="35"/>
        <v>1252.1</v>
      </c>
      <c r="M228" s="245"/>
      <c r="N228" s="246"/>
    </row>
    <row r="229" spans="1:14" ht="51.75">
      <c r="A229" s="39" t="s">
        <v>481</v>
      </c>
      <c r="B229" s="23" t="s">
        <v>0</v>
      </c>
      <c r="C229" s="23" t="s">
        <v>39</v>
      </c>
      <c r="D229" s="23" t="s">
        <v>11</v>
      </c>
      <c r="E229" s="23" t="s">
        <v>482</v>
      </c>
      <c r="F229" s="23"/>
      <c r="G229" s="92"/>
      <c r="H229" s="92"/>
      <c r="I229" s="92"/>
      <c r="J229" s="265">
        <f>J230</f>
        <v>752.1</v>
      </c>
      <c r="K229" s="265">
        <f t="shared" si="35"/>
        <v>500</v>
      </c>
      <c r="L229" s="265">
        <f t="shared" si="35"/>
        <v>1252.1</v>
      </c>
      <c r="M229" s="57"/>
      <c r="N229" s="93"/>
    </row>
    <row r="230" spans="1:14" ht="15">
      <c r="A230" s="39" t="s">
        <v>484</v>
      </c>
      <c r="B230" s="23" t="s">
        <v>0</v>
      </c>
      <c r="C230" s="23" t="s">
        <v>39</v>
      </c>
      <c r="D230" s="23" t="s">
        <v>11</v>
      </c>
      <c r="E230" s="23" t="s">
        <v>482</v>
      </c>
      <c r="F230" s="23" t="s">
        <v>483</v>
      </c>
      <c r="G230" s="92"/>
      <c r="H230" s="92"/>
      <c r="I230" s="92"/>
      <c r="J230" s="265">
        <v>752.1</v>
      </c>
      <c r="K230" s="265">
        <f>300+200</f>
        <v>500</v>
      </c>
      <c r="L230" s="265">
        <f>J230+K230</f>
        <v>1252.1</v>
      </c>
      <c r="M230" s="57"/>
      <c r="N230" s="93"/>
    </row>
    <row r="231" spans="1:14" s="147" customFormat="1" ht="14.25">
      <c r="A231" s="83" t="s">
        <v>63</v>
      </c>
      <c r="B231" s="29" t="s">
        <v>0</v>
      </c>
      <c r="C231" s="29" t="s">
        <v>21</v>
      </c>
      <c r="D231" s="29"/>
      <c r="E231" s="29"/>
      <c r="F231" s="29"/>
      <c r="G231" s="76"/>
      <c r="H231" s="76"/>
      <c r="I231" s="76"/>
      <c r="J231" s="264">
        <f aca="true" t="shared" si="36" ref="J231:L233">J232</f>
        <v>210</v>
      </c>
      <c r="K231" s="264">
        <f t="shared" si="36"/>
        <v>0</v>
      </c>
      <c r="L231" s="264">
        <f t="shared" si="36"/>
        <v>210</v>
      </c>
      <c r="M231" s="245"/>
      <c r="N231" s="246"/>
    </row>
    <row r="232" spans="1:14" s="147" customFormat="1" ht="14.25">
      <c r="A232" s="83" t="s">
        <v>75</v>
      </c>
      <c r="B232" s="29" t="s">
        <v>0</v>
      </c>
      <c r="C232" s="29" t="s">
        <v>21</v>
      </c>
      <c r="D232" s="29" t="s">
        <v>11</v>
      </c>
      <c r="E232" s="29"/>
      <c r="F232" s="29"/>
      <c r="G232" s="76"/>
      <c r="H232" s="76"/>
      <c r="I232" s="76"/>
      <c r="J232" s="264">
        <f t="shared" si="36"/>
        <v>210</v>
      </c>
      <c r="K232" s="264">
        <f t="shared" si="36"/>
        <v>0</v>
      </c>
      <c r="L232" s="264">
        <f t="shared" si="36"/>
        <v>210</v>
      </c>
      <c r="M232" s="245"/>
      <c r="N232" s="246"/>
    </row>
    <row r="233" spans="1:14" ht="51.75">
      <c r="A233" s="39" t="s">
        <v>481</v>
      </c>
      <c r="B233" s="23" t="s">
        <v>0</v>
      </c>
      <c r="C233" s="23" t="s">
        <v>21</v>
      </c>
      <c r="D233" s="23" t="s">
        <v>11</v>
      </c>
      <c r="E233" s="23" t="s">
        <v>482</v>
      </c>
      <c r="F233" s="23"/>
      <c r="G233" s="92"/>
      <c r="H233" s="92"/>
      <c r="I233" s="92"/>
      <c r="J233" s="265">
        <f t="shared" si="36"/>
        <v>210</v>
      </c>
      <c r="K233" s="265">
        <f t="shared" si="36"/>
        <v>0</v>
      </c>
      <c r="L233" s="265">
        <f t="shared" si="36"/>
        <v>210</v>
      </c>
      <c r="M233" s="57"/>
      <c r="N233" s="93"/>
    </row>
    <row r="234" spans="1:14" ht="15">
      <c r="A234" s="39" t="s">
        <v>484</v>
      </c>
      <c r="B234" s="23" t="s">
        <v>0</v>
      </c>
      <c r="C234" s="23" t="s">
        <v>21</v>
      </c>
      <c r="D234" s="23" t="s">
        <v>11</v>
      </c>
      <c r="E234" s="23" t="s">
        <v>482</v>
      </c>
      <c r="F234" s="23" t="s">
        <v>483</v>
      </c>
      <c r="G234" s="92"/>
      <c r="H234" s="92"/>
      <c r="I234" s="92"/>
      <c r="J234" s="265">
        <v>210</v>
      </c>
      <c r="K234" s="265"/>
      <c r="L234" s="265">
        <f>J234+K234</f>
        <v>210</v>
      </c>
      <c r="M234" s="57"/>
      <c r="N234" s="93"/>
    </row>
    <row r="235" spans="1:14" ht="26.25">
      <c r="A235" s="83" t="s">
        <v>78</v>
      </c>
      <c r="B235" s="29" t="s">
        <v>0</v>
      </c>
      <c r="C235" s="29" t="s">
        <v>23</v>
      </c>
      <c r="D235" s="29"/>
      <c r="E235" s="23"/>
      <c r="F235" s="23"/>
      <c r="G235" s="37" t="e">
        <f>#REF!</f>
        <v>#REF!</v>
      </c>
      <c r="H235" s="30" t="e">
        <f>#REF!+H237</f>
        <v>#REF!</v>
      </c>
      <c r="I235" s="30" t="e">
        <f>#REF!+I237</f>
        <v>#REF!</v>
      </c>
      <c r="J235" s="264">
        <f>J237</f>
        <v>279.1</v>
      </c>
      <c r="K235" s="264">
        <f>K237</f>
        <v>0</v>
      </c>
      <c r="L235" s="264">
        <f>L237</f>
        <v>279.1</v>
      </c>
      <c r="M235" s="57"/>
      <c r="N235" s="93"/>
    </row>
    <row r="236" spans="1:14" ht="27.75" customHeight="1">
      <c r="A236" s="83" t="s">
        <v>80</v>
      </c>
      <c r="B236" s="29" t="s">
        <v>0</v>
      </c>
      <c r="C236" s="29" t="s">
        <v>23</v>
      </c>
      <c r="D236" s="29" t="s">
        <v>11</v>
      </c>
      <c r="E236" s="23"/>
      <c r="F236" s="23"/>
      <c r="G236" s="37"/>
      <c r="H236" s="30"/>
      <c r="I236" s="30"/>
      <c r="J236" s="264">
        <f aca="true" t="shared" si="37" ref="J236:L237">J237</f>
        <v>279.1</v>
      </c>
      <c r="K236" s="264">
        <f t="shared" si="37"/>
        <v>0</v>
      </c>
      <c r="L236" s="264">
        <f t="shared" si="37"/>
        <v>279.1</v>
      </c>
      <c r="M236" s="57"/>
      <c r="N236" s="93"/>
    </row>
    <row r="237" spans="1:14" ht="26.25" customHeight="1">
      <c r="A237" s="39" t="s">
        <v>214</v>
      </c>
      <c r="B237" s="23" t="s">
        <v>0</v>
      </c>
      <c r="C237" s="23" t="s">
        <v>23</v>
      </c>
      <c r="D237" s="23" t="s">
        <v>11</v>
      </c>
      <c r="E237" s="23" t="s">
        <v>253</v>
      </c>
      <c r="F237" s="23"/>
      <c r="G237" s="37" t="e">
        <f>#REF!</f>
        <v>#REF!</v>
      </c>
      <c r="H237" s="30" t="e">
        <f>#REF!+H238</f>
        <v>#REF!</v>
      </c>
      <c r="I237" s="30" t="e">
        <f>#REF!+I238</f>
        <v>#REF!</v>
      </c>
      <c r="J237" s="265">
        <f t="shared" si="37"/>
        <v>279.1</v>
      </c>
      <c r="K237" s="265">
        <f t="shared" si="37"/>
        <v>0</v>
      </c>
      <c r="L237" s="265">
        <f t="shared" si="37"/>
        <v>279.1</v>
      </c>
      <c r="M237" s="89" t="e">
        <f>#REF!+M238</f>
        <v>#REF!</v>
      </c>
      <c r="N237" s="38" t="e">
        <f>#REF!+N238</f>
        <v>#REF!</v>
      </c>
    </row>
    <row r="238" spans="1:14" ht="29.25" customHeight="1">
      <c r="A238" s="39" t="s">
        <v>215</v>
      </c>
      <c r="B238" s="23" t="s">
        <v>0</v>
      </c>
      <c r="C238" s="23" t="s">
        <v>23</v>
      </c>
      <c r="D238" s="23" t="s">
        <v>11</v>
      </c>
      <c r="E238" s="23" t="s">
        <v>254</v>
      </c>
      <c r="F238" s="23"/>
      <c r="G238" s="37"/>
      <c r="H238" s="30">
        <f aca="true" t="shared" si="38" ref="H238:N238">H239</f>
        <v>0</v>
      </c>
      <c r="I238" s="30">
        <f t="shared" si="38"/>
        <v>0</v>
      </c>
      <c r="J238" s="265">
        <f>J239+J240</f>
        <v>279.1</v>
      </c>
      <c r="K238" s="265">
        <f>K239+K240</f>
        <v>0</v>
      </c>
      <c r="L238" s="265">
        <f>L239+L240</f>
        <v>279.1</v>
      </c>
      <c r="M238" s="32">
        <f t="shared" si="38"/>
        <v>0</v>
      </c>
      <c r="N238" s="38">
        <f t="shared" si="38"/>
        <v>0</v>
      </c>
    </row>
    <row r="239" spans="1:14" ht="15.75" customHeight="1" hidden="1">
      <c r="A239" s="39" t="s">
        <v>216</v>
      </c>
      <c r="B239" s="23" t="s">
        <v>0</v>
      </c>
      <c r="C239" s="23" t="s">
        <v>23</v>
      </c>
      <c r="D239" s="23" t="s">
        <v>11</v>
      </c>
      <c r="E239" s="23" t="s">
        <v>254</v>
      </c>
      <c r="F239" s="23" t="s">
        <v>217</v>
      </c>
      <c r="G239" s="37"/>
      <c r="H239" s="30"/>
      <c r="I239" s="37"/>
      <c r="J239" s="265"/>
      <c r="K239" s="265"/>
      <c r="L239" s="265">
        <f>J239+K239</f>
        <v>0</v>
      </c>
      <c r="M239" s="32"/>
      <c r="N239" s="33">
        <f>L239+M239</f>
        <v>0</v>
      </c>
    </row>
    <row r="240" spans="1:15" ht="15.75" customHeight="1">
      <c r="A240" s="66" t="s">
        <v>255</v>
      </c>
      <c r="B240" s="23" t="s">
        <v>0</v>
      </c>
      <c r="C240" s="23" t="s">
        <v>23</v>
      </c>
      <c r="D240" s="23" t="s">
        <v>11</v>
      </c>
      <c r="E240" s="23" t="s">
        <v>254</v>
      </c>
      <c r="F240" s="23" t="s">
        <v>256</v>
      </c>
      <c r="G240" s="37"/>
      <c r="H240" s="30"/>
      <c r="I240" s="37"/>
      <c r="J240" s="265">
        <v>279.1</v>
      </c>
      <c r="K240" s="265"/>
      <c r="L240" s="265">
        <f>J240+K240</f>
        <v>279.1</v>
      </c>
      <c r="M240" s="32"/>
      <c r="N240" s="38"/>
      <c r="O240" s="19">
        <v>7.22</v>
      </c>
    </row>
    <row r="241" spans="1:14" ht="39">
      <c r="A241" s="83" t="s">
        <v>257</v>
      </c>
      <c r="B241" s="29" t="s">
        <v>0</v>
      </c>
      <c r="C241" s="29" t="s">
        <v>25</v>
      </c>
      <c r="D241" s="29" t="s">
        <v>226</v>
      </c>
      <c r="E241" s="29"/>
      <c r="F241" s="29"/>
      <c r="G241" s="21"/>
      <c r="H241" s="25"/>
      <c r="I241" s="21"/>
      <c r="J241" s="264">
        <f>J242+J250</f>
        <v>36880.9067</v>
      </c>
      <c r="K241" s="264">
        <f>K242+K250</f>
        <v>105</v>
      </c>
      <c r="L241" s="264">
        <f>L242+L250</f>
        <v>36985.9067</v>
      </c>
      <c r="M241" s="32"/>
      <c r="N241" s="38"/>
    </row>
    <row r="242" spans="1:14" ht="39">
      <c r="A242" s="83" t="s">
        <v>258</v>
      </c>
      <c r="B242" s="29" t="s">
        <v>0</v>
      </c>
      <c r="C242" s="29" t="s">
        <v>25</v>
      </c>
      <c r="D242" s="29" t="s">
        <v>11</v>
      </c>
      <c r="E242" s="29"/>
      <c r="F242" s="29"/>
      <c r="G242" s="21"/>
      <c r="H242" s="25"/>
      <c r="I242" s="21"/>
      <c r="J242" s="264">
        <f>J243</f>
        <v>30877.1</v>
      </c>
      <c r="K242" s="264">
        <f>K243</f>
        <v>0</v>
      </c>
      <c r="L242" s="264">
        <f>L243</f>
        <v>30877.1</v>
      </c>
      <c r="M242" s="32"/>
      <c r="N242" s="38"/>
    </row>
    <row r="243" spans="1:14" ht="18" customHeight="1">
      <c r="A243" s="34" t="s">
        <v>259</v>
      </c>
      <c r="B243" s="23" t="s">
        <v>0</v>
      </c>
      <c r="C243" s="23" t="s">
        <v>25</v>
      </c>
      <c r="D243" s="23" t="s">
        <v>11</v>
      </c>
      <c r="E243" s="23" t="s">
        <v>260</v>
      </c>
      <c r="F243" s="23"/>
      <c r="G243" s="37"/>
      <c r="H243" s="30"/>
      <c r="I243" s="37"/>
      <c r="J243" s="265">
        <f>J244+J247</f>
        <v>30877.1</v>
      </c>
      <c r="K243" s="265">
        <f>K244+K247</f>
        <v>0</v>
      </c>
      <c r="L243" s="265">
        <f>J243+K243</f>
        <v>30877.1</v>
      </c>
      <c r="M243" s="32"/>
      <c r="N243" s="38"/>
    </row>
    <row r="244" spans="1:14" ht="38.25" customHeight="1">
      <c r="A244" s="34" t="s">
        <v>261</v>
      </c>
      <c r="B244" s="23" t="s">
        <v>0</v>
      </c>
      <c r="C244" s="23" t="s">
        <v>25</v>
      </c>
      <c r="D244" s="23" t="s">
        <v>11</v>
      </c>
      <c r="E244" s="23" t="s">
        <v>250</v>
      </c>
      <c r="F244" s="23"/>
      <c r="G244" s="37"/>
      <c r="H244" s="30"/>
      <c r="I244" s="37"/>
      <c r="J244" s="265">
        <f>J245+J246</f>
        <v>9883.1</v>
      </c>
      <c r="K244" s="265">
        <f>K245+K246</f>
        <v>0</v>
      </c>
      <c r="L244" s="265">
        <f>L245+L246</f>
        <v>9883.1</v>
      </c>
      <c r="M244" s="32"/>
      <c r="N244" s="38"/>
    </row>
    <row r="245" spans="1:14" ht="14.25" customHeight="1" hidden="1">
      <c r="A245" s="34" t="s">
        <v>262</v>
      </c>
      <c r="B245" s="23" t="s">
        <v>0</v>
      </c>
      <c r="C245" s="23" t="s">
        <v>25</v>
      </c>
      <c r="D245" s="23" t="s">
        <v>11</v>
      </c>
      <c r="E245" s="23" t="s">
        <v>250</v>
      </c>
      <c r="F245" s="23" t="s">
        <v>251</v>
      </c>
      <c r="G245" s="37"/>
      <c r="H245" s="30"/>
      <c r="I245" s="37"/>
      <c r="J245" s="265"/>
      <c r="K245" s="265"/>
      <c r="L245" s="265">
        <f>J245+K245</f>
        <v>0</v>
      </c>
      <c r="M245" s="32"/>
      <c r="N245" s="33"/>
    </row>
    <row r="246" spans="1:14" ht="43.5" customHeight="1">
      <c r="A246" s="66" t="s">
        <v>263</v>
      </c>
      <c r="B246" s="23" t="s">
        <v>0</v>
      </c>
      <c r="C246" s="23" t="s">
        <v>25</v>
      </c>
      <c r="D246" s="23" t="s">
        <v>11</v>
      </c>
      <c r="E246" s="23" t="s">
        <v>250</v>
      </c>
      <c r="F246" s="23" t="s">
        <v>264</v>
      </c>
      <c r="G246" s="37"/>
      <c r="H246" s="30"/>
      <c r="I246" s="37"/>
      <c r="J246" s="265">
        <v>9883.1</v>
      </c>
      <c r="K246" s="265"/>
      <c r="L246" s="265">
        <f>J246+K246</f>
        <v>9883.1</v>
      </c>
      <c r="M246" s="32"/>
      <c r="N246" s="33"/>
    </row>
    <row r="247" spans="1:14" ht="36.75" customHeight="1">
      <c r="A247" s="34" t="s">
        <v>265</v>
      </c>
      <c r="B247" s="23" t="s">
        <v>0</v>
      </c>
      <c r="C247" s="23" t="s">
        <v>25</v>
      </c>
      <c r="D247" s="23" t="s">
        <v>11</v>
      </c>
      <c r="E247" s="23" t="s">
        <v>252</v>
      </c>
      <c r="F247" s="23"/>
      <c r="G247" s="37"/>
      <c r="H247" s="30"/>
      <c r="I247" s="37"/>
      <c r="J247" s="265">
        <f>J248+J249</f>
        <v>20994</v>
      </c>
      <c r="K247" s="265">
        <f>K248+K249</f>
        <v>0</v>
      </c>
      <c r="L247" s="265">
        <f>L248+L249</f>
        <v>20994</v>
      </c>
      <c r="M247" s="32"/>
      <c r="N247" s="33"/>
    </row>
    <row r="248" spans="1:17" ht="16.5" customHeight="1" hidden="1">
      <c r="A248" s="34" t="s">
        <v>262</v>
      </c>
      <c r="B248" s="23" t="s">
        <v>0</v>
      </c>
      <c r="C248" s="23" t="s">
        <v>25</v>
      </c>
      <c r="D248" s="23" t="s">
        <v>11</v>
      </c>
      <c r="E248" s="23" t="s">
        <v>252</v>
      </c>
      <c r="F248" s="23" t="s">
        <v>251</v>
      </c>
      <c r="G248" s="37"/>
      <c r="H248" s="30"/>
      <c r="I248" s="37"/>
      <c r="J248" s="265"/>
      <c r="K248" s="265"/>
      <c r="L248" s="265">
        <f>J248+K248</f>
        <v>0</v>
      </c>
      <c r="M248" s="32"/>
      <c r="N248" s="33"/>
      <c r="O248" s="19">
        <v>17873.26</v>
      </c>
      <c r="Q248" s="95">
        <f>L248-O248</f>
        <v>-17873.26</v>
      </c>
    </row>
    <row r="249" spans="1:17" ht="41.25" customHeight="1">
      <c r="A249" s="66" t="s">
        <v>263</v>
      </c>
      <c r="B249" s="23" t="s">
        <v>0</v>
      </c>
      <c r="C249" s="23" t="s">
        <v>25</v>
      </c>
      <c r="D249" s="23" t="s">
        <v>11</v>
      </c>
      <c r="E249" s="23" t="s">
        <v>252</v>
      </c>
      <c r="F249" s="23" t="s">
        <v>264</v>
      </c>
      <c r="G249" s="37"/>
      <c r="H249" s="30"/>
      <c r="I249" s="37"/>
      <c r="J249" s="265">
        <v>20994</v>
      </c>
      <c r="K249" s="265"/>
      <c r="L249" s="265">
        <f>J249+K249</f>
        <v>20994</v>
      </c>
      <c r="M249" s="32"/>
      <c r="N249" s="33"/>
      <c r="Q249" s="95"/>
    </row>
    <row r="250" spans="1:14" ht="56.25" customHeight="1">
      <c r="A250" s="83" t="s">
        <v>84</v>
      </c>
      <c r="B250" s="29" t="s">
        <v>0</v>
      </c>
      <c r="C250" s="29" t="s">
        <v>25</v>
      </c>
      <c r="D250" s="29" t="s">
        <v>13</v>
      </c>
      <c r="E250" s="29"/>
      <c r="F250" s="29"/>
      <c r="G250" s="21"/>
      <c r="H250" s="25"/>
      <c r="I250" s="21"/>
      <c r="J250" s="264">
        <f>J251+J260</f>
        <v>6003.806699999999</v>
      </c>
      <c r="K250" s="264">
        <f>K251+K260</f>
        <v>105</v>
      </c>
      <c r="L250" s="264">
        <f>L251+L260</f>
        <v>6108.806699999999</v>
      </c>
      <c r="M250" s="32"/>
      <c r="N250" s="33"/>
    </row>
    <row r="251" spans="1:14" ht="51.75" customHeight="1">
      <c r="A251" s="39" t="s">
        <v>481</v>
      </c>
      <c r="B251" s="23" t="s">
        <v>0</v>
      </c>
      <c r="C251" s="23" t="s">
        <v>25</v>
      </c>
      <c r="D251" s="23" t="s">
        <v>13</v>
      </c>
      <c r="E251" s="23" t="s">
        <v>482</v>
      </c>
      <c r="F251" s="23"/>
      <c r="G251" s="37"/>
      <c r="H251" s="30"/>
      <c r="I251" s="37"/>
      <c r="J251" s="265">
        <f>J252</f>
        <v>5852.9</v>
      </c>
      <c r="K251" s="265">
        <f>K252</f>
        <v>105</v>
      </c>
      <c r="L251" s="265">
        <f>L252</f>
        <v>5957.9</v>
      </c>
      <c r="M251" s="32"/>
      <c r="N251" s="33"/>
    </row>
    <row r="252" spans="1:14" ht="15">
      <c r="A252" s="39" t="s">
        <v>484</v>
      </c>
      <c r="B252" s="23" t="s">
        <v>0</v>
      </c>
      <c r="C252" s="23" t="s">
        <v>25</v>
      </c>
      <c r="D252" s="23" t="s">
        <v>13</v>
      </c>
      <c r="E252" s="23" t="s">
        <v>482</v>
      </c>
      <c r="F252" s="23" t="s">
        <v>483</v>
      </c>
      <c r="G252" s="37"/>
      <c r="H252" s="30"/>
      <c r="I252" s="37"/>
      <c r="J252" s="265">
        <v>5852.9</v>
      </c>
      <c r="K252" s="265">
        <v>105</v>
      </c>
      <c r="L252" s="265">
        <f>J252+K252</f>
        <v>5957.9</v>
      </c>
      <c r="M252" s="57"/>
      <c r="N252" s="94"/>
    </row>
    <row r="253" spans="1:14" ht="15.75" customHeight="1" hidden="1" thickBot="1">
      <c r="A253" s="59" t="s">
        <v>281</v>
      </c>
      <c r="B253" s="29" t="s">
        <v>282</v>
      </c>
      <c r="C253" s="29"/>
      <c r="D253" s="29"/>
      <c r="E253" s="29"/>
      <c r="F253" s="29"/>
      <c r="G253" s="24">
        <f aca="true" t="shared" si="39" ref="G253:N254">G254</f>
        <v>0</v>
      </c>
      <c r="H253" s="24">
        <f t="shared" si="39"/>
        <v>526.1</v>
      </c>
      <c r="I253" s="24">
        <f t="shared" si="39"/>
        <v>0</v>
      </c>
      <c r="J253" s="264">
        <f t="shared" si="39"/>
        <v>0</v>
      </c>
      <c r="K253" s="264">
        <f t="shared" si="39"/>
        <v>0</v>
      </c>
      <c r="L253" s="264">
        <f t="shared" si="39"/>
        <v>0</v>
      </c>
      <c r="M253" s="77">
        <f t="shared" si="39"/>
        <v>0</v>
      </c>
      <c r="N253" s="78">
        <f t="shared" si="39"/>
        <v>0</v>
      </c>
    </row>
    <row r="254" spans="1:14" ht="44.25" customHeight="1" hidden="1">
      <c r="A254" s="81" t="s">
        <v>29</v>
      </c>
      <c r="B254" s="29" t="s">
        <v>282</v>
      </c>
      <c r="C254" s="29" t="s">
        <v>13</v>
      </c>
      <c r="D254" s="23"/>
      <c r="E254" s="23"/>
      <c r="F254" s="23"/>
      <c r="G254" s="21">
        <f t="shared" si="39"/>
        <v>0</v>
      </c>
      <c r="H254" s="21">
        <f t="shared" si="39"/>
        <v>526.1</v>
      </c>
      <c r="I254" s="21">
        <f t="shared" si="39"/>
        <v>0</v>
      </c>
      <c r="J254" s="264">
        <f t="shared" si="39"/>
        <v>0</v>
      </c>
      <c r="K254" s="264">
        <f t="shared" si="39"/>
        <v>0</v>
      </c>
      <c r="L254" s="264">
        <f t="shared" si="39"/>
        <v>0</v>
      </c>
      <c r="M254" s="26">
        <f t="shared" si="39"/>
        <v>0</v>
      </c>
      <c r="N254" s="27">
        <f t="shared" si="39"/>
        <v>0</v>
      </c>
    </row>
    <row r="255" spans="1:14" s="147" customFormat="1" ht="15" customHeight="1" hidden="1">
      <c r="A255" s="81" t="s">
        <v>31</v>
      </c>
      <c r="B255" s="29" t="s">
        <v>282</v>
      </c>
      <c r="C255" s="29" t="s">
        <v>13</v>
      </c>
      <c r="D255" s="29" t="s">
        <v>12</v>
      </c>
      <c r="E255" s="29"/>
      <c r="F255" s="29"/>
      <c r="G255" s="21">
        <f aca="true" t="shared" si="40" ref="G255:M255">G256+G258</f>
        <v>0</v>
      </c>
      <c r="H255" s="21">
        <f t="shared" si="40"/>
        <v>526.1</v>
      </c>
      <c r="I255" s="21">
        <f t="shared" si="40"/>
        <v>0</v>
      </c>
      <c r="J255" s="264">
        <f t="shared" si="40"/>
        <v>0</v>
      </c>
      <c r="K255" s="264">
        <f t="shared" si="40"/>
        <v>0</v>
      </c>
      <c r="L255" s="264">
        <f t="shared" si="40"/>
        <v>0</v>
      </c>
      <c r="M255" s="46">
        <f t="shared" si="40"/>
        <v>0</v>
      </c>
      <c r="N255" s="63">
        <f>N256+N258</f>
        <v>0</v>
      </c>
    </row>
    <row r="256" spans="1:14" ht="60.75" customHeight="1" hidden="1">
      <c r="A256" s="82" t="s">
        <v>283</v>
      </c>
      <c r="B256" s="23" t="s">
        <v>282</v>
      </c>
      <c r="C256" s="23" t="s">
        <v>13</v>
      </c>
      <c r="D256" s="23" t="s">
        <v>12</v>
      </c>
      <c r="E256" s="23" t="s">
        <v>234</v>
      </c>
      <c r="F256" s="23"/>
      <c r="G256" s="37">
        <f aca="true" t="shared" si="41" ref="G256:N256">G257</f>
        <v>0</v>
      </c>
      <c r="H256" s="37">
        <f t="shared" si="41"/>
        <v>316.5</v>
      </c>
      <c r="I256" s="37">
        <f t="shared" si="41"/>
        <v>0</v>
      </c>
      <c r="J256" s="265">
        <f t="shared" si="41"/>
        <v>0</v>
      </c>
      <c r="K256" s="265">
        <f t="shared" si="41"/>
        <v>0</v>
      </c>
      <c r="L256" s="265">
        <f t="shared" si="41"/>
        <v>0</v>
      </c>
      <c r="M256" s="32">
        <f t="shared" si="41"/>
        <v>0</v>
      </c>
      <c r="N256" s="33">
        <f t="shared" si="41"/>
        <v>0</v>
      </c>
    </row>
    <row r="257" spans="1:14" ht="30.75" customHeight="1" hidden="1">
      <c r="A257" s="82" t="s">
        <v>109</v>
      </c>
      <c r="B257" s="23" t="s">
        <v>282</v>
      </c>
      <c r="C257" s="23" t="s">
        <v>13</v>
      </c>
      <c r="D257" s="23" t="s">
        <v>12</v>
      </c>
      <c r="E257" s="23" t="s">
        <v>234</v>
      </c>
      <c r="F257" s="23" t="s">
        <v>108</v>
      </c>
      <c r="G257" s="37"/>
      <c r="H257" s="30">
        <v>316.5</v>
      </c>
      <c r="I257" s="37"/>
      <c r="J257" s="265"/>
      <c r="K257" s="265"/>
      <c r="L257" s="265">
        <f>J257+K257</f>
        <v>0</v>
      </c>
      <c r="M257" s="32"/>
      <c r="N257" s="33">
        <f>L257+M257</f>
        <v>0</v>
      </c>
    </row>
    <row r="258" spans="1:14" ht="60.75" customHeight="1" hidden="1">
      <c r="A258" s="82" t="s">
        <v>284</v>
      </c>
      <c r="B258" s="23" t="s">
        <v>282</v>
      </c>
      <c r="C258" s="23" t="s">
        <v>13</v>
      </c>
      <c r="D258" s="23" t="s">
        <v>12</v>
      </c>
      <c r="E258" s="23" t="s">
        <v>236</v>
      </c>
      <c r="F258" s="23"/>
      <c r="G258" s="37">
        <f aca="true" t="shared" si="42" ref="G258:N258">G259</f>
        <v>0</v>
      </c>
      <c r="H258" s="37">
        <f t="shared" si="42"/>
        <v>209.6</v>
      </c>
      <c r="I258" s="37">
        <f t="shared" si="42"/>
        <v>0</v>
      </c>
      <c r="J258" s="265">
        <f t="shared" si="42"/>
        <v>0</v>
      </c>
      <c r="K258" s="265">
        <f t="shared" si="42"/>
        <v>0</v>
      </c>
      <c r="L258" s="265">
        <f t="shared" si="42"/>
        <v>0</v>
      </c>
      <c r="M258" s="32">
        <f t="shared" si="42"/>
        <v>0</v>
      </c>
      <c r="N258" s="33">
        <f t="shared" si="42"/>
        <v>0</v>
      </c>
    </row>
    <row r="259" spans="1:14" ht="30.75" customHeight="1" hidden="1" thickBot="1">
      <c r="A259" s="82" t="s">
        <v>109</v>
      </c>
      <c r="B259" s="23" t="s">
        <v>282</v>
      </c>
      <c r="C259" s="23" t="s">
        <v>13</v>
      </c>
      <c r="D259" s="23" t="s">
        <v>12</v>
      </c>
      <c r="E259" s="23" t="s">
        <v>236</v>
      </c>
      <c r="F259" s="23" t="s">
        <v>108</v>
      </c>
      <c r="G259" s="37"/>
      <c r="H259" s="30">
        <v>209.6</v>
      </c>
      <c r="I259" s="37"/>
      <c r="J259" s="265"/>
      <c r="K259" s="265"/>
      <c r="L259" s="265">
        <f>J259+K259</f>
        <v>0</v>
      </c>
      <c r="M259" s="40"/>
      <c r="N259" s="41">
        <f>L259+M259</f>
        <v>0</v>
      </c>
    </row>
    <row r="260" spans="1:14" ht="26.25">
      <c r="A260" s="82" t="s">
        <v>528</v>
      </c>
      <c r="B260" s="23" t="s">
        <v>0</v>
      </c>
      <c r="C260" s="23" t="s">
        <v>25</v>
      </c>
      <c r="D260" s="23" t="s">
        <v>13</v>
      </c>
      <c r="E260" s="23" t="s">
        <v>520</v>
      </c>
      <c r="F260" s="23"/>
      <c r="G260" s="37"/>
      <c r="H260" s="30"/>
      <c r="I260" s="37"/>
      <c r="J260" s="265">
        <f>J261</f>
        <v>150.9067</v>
      </c>
      <c r="K260" s="265">
        <f>K261</f>
        <v>0</v>
      </c>
      <c r="L260" s="265">
        <f>L261</f>
        <v>150.9067</v>
      </c>
      <c r="M260" s="175"/>
      <c r="N260" s="175"/>
    </row>
    <row r="261" spans="1:14" ht="15.75" thickBot="1">
      <c r="A261" s="39" t="s">
        <v>484</v>
      </c>
      <c r="B261" s="23" t="s">
        <v>0</v>
      </c>
      <c r="C261" s="23" t="s">
        <v>25</v>
      </c>
      <c r="D261" s="23" t="s">
        <v>13</v>
      </c>
      <c r="E261" s="23" t="s">
        <v>520</v>
      </c>
      <c r="F261" s="23" t="s">
        <v>483</v>
      </c>
      <c r="G261" s="37"/>
      <c r="H261" s="30"/>
      <c r="I261" s="37"/>
      <c r="J261" s="265">
        <v>150.9067</v>
      </c>
      <c r="K261" s="265"/>
      <c r="L261" s="265">
        <f>J261+K261</f>
        <v>150.9067</v>
      </c>
      <c r="M261" s="175"/>
      <c r="N261" s="175"/>
    </row>
    <row r="262" spans="1:17" ht="27" thickBot="1">
      <c r="A262" s="232" t="s">
        <v>285</v>
      </c>
      <c r="B262" s="230" t="s">
        <v>286</v>
      </c>
      <c r="C262" s="230"/>
      <c r="D262" s="230"/>
      <c r="E262" s="230"/>
      <c r="F262" s="230"/>
      <c r="G262" s="231" t="e">
        <f>G263+G348+G372+G414+G452+#REF!+#REF!+G332</f>
        <v>#REF!</v>
      </c>
      <c r="H262" s="231" t="e">
        <f>H263+H348+H372+H414+H452+#REF!+#REF!+H332</f>
        <v>#REF!</v>
      </c>
      <c r="I262" s="233" t="e">
        <f>I263+I348+I372+I414+I452+#REF!+#REF!+I332</f>
        <v>#REF!</v>
      </c>
      <c r="J262" s="267">
        <f>J263+J332+J348+J372+J414+J452+J467+J500+J461</f>
        <v>145080.52016</v>
      </c>
      <c r="K262" s="267">
        <f>K263+K332+K348+K372+K414+K452+K467+K500+K461</f>
        <v>857.2697000000001</v>
      </c>
      <c r="L262" s="267">
        <f>L263+L332+L348+L372+L414+L452+L467+L500+L461</f>
        <v>145937.78986000002</v>
      </c>
      <c r="M262" s="171" t="e">
        <f>M263+M348+M372+M414+M452+#REF!+#REF!+M332+M500+M467</f>
        <v>#REF!</v>
      </c>
      <c r="N262" s="171" t="e">
        <f>N263+N348+N372+N414+N452+#REF!+#REF!+N332+N500+N467</f>
        <v>#REF!</v>
      </c>
      <c r="O262" s="162">
        <f>L267+L268+L272+L273+L274+L275+L277+L278+L290+L291+L292+L293+L294+L295+L296+L305+L308+L329+L331+L337+L344+L346+L353+L357+L359+L365+L378+L382+L391+L394+L402+L411+L418+L424+L428+L432+L451+L455+L460+L465+L470+L473+L484+L491+L497+L505</f>
        <v>75518.88347</v>
      </c>
      <c r="Q262" s="162"/>
    </row>
    <row r="263" spans="1:15" s="173" customFormat="1" ht="14.25">
      <c r="A263" s="81" t="s">
        <v>9</v>
      </c>
      <c r="B263" s="29" t="s">
        <v>286</v>
      </c>
      <c r="C263" s="29" t="s">
        <v>11</v>
      </c>
      <c r="D263" s="29"/>
      <c r="E263" s="29"/>
      <c r="F263" s="29"/>
      <c r="G263" s="24" t="e">
        <f>G264+G269+G279+#REF!+G309+#REF!</f>
        <v>#REF!</v>
      </c>
      <c r="H263" s="24" t="e">
        <f>H264+H269+H279+H309+#REF!+H301</f>
        <v>#REF!</v>
      </c>
      <c r="I263" s="24" t="e">
        <f>I264+I269+I279+I309+#REF!+I301</f>
        <v>#REF!</v>
      </c>
      <c r="J263" s="264">
        <f>J264+J269+J279+J299+J309+J314+J303</f>
        <v>20401.245279999996</v>
      </c>
      <c r="K263" s="264">
        <f>K264+K269+K279+K299+K309+K314+K303</f>
        <v>75.04851000000002</v>
      </c>
      <c r="L263" s="264">
        <f>L264+L269+L279+L299+L309+L314+L303</f>
        <v>20476.293789999996</v>
      </c>
      <c r="M263" s="26" t="e">
        <f>M264+M269+M279+M309+#REF!+M301</f>
        <v>#REF!</v>
      </c>
      <c r="N263" s="27" t="e">
        <f>N264+N269+N279+N309+#REF!+N301</f>
        <v>#REF!</v>
      </c>
      <c r="O263" s="172"/>
    </row>
    <row r="264" spans="1:14" s="147" customFormat="1" ht="51">
      <c r="A264" s="81" t="s">
        <v>287</v>
      </c>
      <c r="B264" s="29" t="s">
        <v>286</v>
      </c>
      <c r="C264" s="29" t="s">
        <v>11</v>
      </c>
      <c r="D264" s="29" t="s">
        <v>12</v>
      </c>
      <c r="E264" s="29"/>
      <c r="F264" s="29"/>
      <c r="G264" s="21" t="e">
        <f aca="true" t="shared" si="43" ref="G264:N265">G265</f>
        <v>#REF!</v>
      </c>
      <c r="H264" s="21" t="e">
        <f t="shared" si="43"/>
        <v>#REF!</v>
      </c>
      <c r="I264" s="21" t="e">
        <f t="shared" si="43"/>
        <v>#REF!</v>
      </c>
      <c r="J264" s="268">
        <f t="shared" si="43"/>
        <v>1109.992</v>
      </c>
      <c r="K264" s="264">
        <f>K265</f>
        <v>60.01</v>
      </c>
      <c r="L264" s="264">
        <f t="shared" si="43"/>
        <v>1170.002</v>
      </c>
      <c r="M264" s="46" t="e">
        <f t="shared" si="43"/>
        <v>#REF!</v>
      </c>
      <c r="N264" s="63" t="e">
        <f t="shared" si="43"/>
        <v>#REF!</v>
      </c>
    </row>
    <row r="265" spans="1:14" ht="26.25">
      <c r="A265" s="82" t="s">
        <v>274</v>
      </c>
      <c r="B265" s="23" t="s">
        <v>286</v>
      </c>
      <c r="C265" s="23" t="s">
        <v>11</v>
      </c>
      <c r="D265" s="23" t="s">
        <v>12</v>
      </c>
      <c r="E265" s="23" t="s">
        <v>131</v>
      </c>
      <c r="F265" s="23"/>
      <c r="G265" s="37" t="e">
        <f t="shared" si="43"/>
        <v>#REF!</v>
      </c>
      <c r="H265" s="37" t="e">
        <f t="shared" si="43"/>
        <v>#REF!</v>
      </c>
      <c r="I265" s="37" t="e">
        <f t="shared" si="43"/>
        <v>#REF!</v>
      </c>
      <c r="J265" s="269">
        <f t="shared" si="43"/>
        <v>1109.992</v>
      </c>
      <c r="K265" s="265">
        <f>K266</f>
        <v>60.01</v>
      </c>
      <c r="L265" s="265">
        <f t="shared" si="43"/>
        <v>1170.002</v>
      </c>
      <c r="M265" s="32" t="e">
        <f t="shared" si="43"/>
        <v>#REF!</v>
      </c>
      <c r="N265" s="33" t="e">
        <f t="shared" si="43"/>
        <v>#REF!</v>
      </c>
    </row>
    <row r="266" spans="1:14" ht="15">
      <c r="A266" s="82" t="s">
        <v>288</v>
      </c>
      <c r="B266" s="23" t="s">
        <v>286</v>
      </c>
      <c r="C266" s="23" t="s">
        <v>11</v>
      </c>
      <c r="D266" s="23" t="s">
        <v>12</v>
      </c>
      <c r="E266" s="23" t="s">
        <v>289</v>
      </c>
      <c r="F266" s="23"/>
      <c r="G266" s="37" t="e">
        <f>#REF!</f>
        <v>#REF!</v>
      </c>
      <c r="H266" s="37" t="e">
        <f>#REF!</f>
        <v>#REF!</v>
      </c>
      <c r="I266" s="37" t="e">
        <f>#REF!</f>
        <v>#REF!</v>
      </c>
      <c r="J266" s="265">
        <f>J267+J268</f>
        <v>1109.992</v>
      </c>
      <c r="K266" s="265">
        <f>K267+K268</f>
        <v>60.01</v>
      </c>
      <c r="L266" s="265">
        <f>L267+L268</f>
        <v>1170.002</v>
      </c>
      <c r="M266" s="32" t="e">
        <f>#REF!</f>
        <v>#REF!</v>
      </c>
      <c r="N266" s="33" t="e">
        <f>#REF!</f>
        <v>#REF!</v>
      </c>
    </row>
    <row r="267" spans="1:15" ht="25.5">
      <c r="A267" s="66" t="s">
        <v>169</v>
      </c>
      <c r="B267" s="23" t="s">
        <v>286</v>
      </c>
      <c r="C267" s="23" t="s">
        <v>11</v>
      </c>
      <c r="D267" s="23" t="s">
        <v>12</v>
      </c>
      <c r="E267" s="23" t="s">
        <v>289</v>
      </c>
      <c r="F267" s="23" t="s">
        <v>170</v>
      </c>
      <c r="G267" s="37"/>
      <c r="H267" s="30"/>
      <c r="I267" s="37"/>
      <c r="J267" s="269">
        <v>1109.992</v>
      </c>
      <c r="K267" s="265">
        <v>60.01</v>
      </c>
      <c r="L267" s="265">
        <f>J267+K267</f>
        <v>1170.002</v>
      </c>
      <c r="M267" s="32"/>
      <c r="N267" s="33"/>
      <c r="O267" s="95"/>
    </row>
    <row r="268" spans="1:15" ht="26.25" hidden="1">
      <c r="A268" s="82" t="s">
        <v>109</v>
      </c>
      <c r="B268" s="23" t="s">
        <v>286</v>
      </c>
      <c r="C268" s="23" t="s">
        <v>11</v>
      </c>
      <c r="D268" s="23" t="s">
        <v>12</v>
      </c>
      <c r="E268" s="23" t="s">
        <v>289</v>
      </c>
      <c r="F268" s="23" t="s">
        <v>108</v>
      </c>
      <c r="G268" s="37"/>
      <c r="H268" s="30">
        <v>861</v>
      </c>
      <c r="I268" s="37"/>
      <c r="J268" s="269"/>
      <c r="K268" s="265"/>
      <c r="L268" s="265">
        <f>J268+K268</f>
        <v>0</v>
      </c>
      <c r="M268" s="32"/>
      <c r="N268" s="33">
        <f>L268+M268</f>
        <v>0</v>
      </c>
      <c r="O268" s="95"/>
    </row>
    <row r="269" spans="1:14" s="147" customFormat="1" ht="63.75">
      <c r="A269" s="81" t="s">
        <v>290</v>
      </c>
      <c r="B269" s="29" t="s">
        <v>286</v>
      </c>
      <c r="C269" s="29" t="s">
        <v>11</v>
      </c>
      <c r="D269" s="29" t="s">
        <v>13</v>
      </c>
      <c r="E269" s="29"/>
      <c r="F269" s="29"/>
      <c r="G269" s="21" t="e">
        <f aca="true" t="shared" si="44" ref="G269:N269">G270</f>
        <v>#REF!</v>
      </c>
      <c r="H269" s="21" t="e">
        <f t="shared" si="44"/>
        <v>#REF!</v>
      </c>
      <c r="I269" s="21" t="e">
        <f t="shared" si="44"/>
        <v>#REF!</v>
      </c>
      <c r="J269" s="268">
        <f>J270</f>
        <v>1382.1100000000001</v>
      </c>
      <c r="K269" s="264">
        <f t="shared" si="44"/>
        <v>164.573</v>
      </c>
      <c r="L269" s="264">
        <f t="shared" si="44"/>
        <v>1546.683</v>
      </c>
      <c r="M269" s="46" t="e">
        <f t="shared" si="44"/>
        <v>#REF!</v>
      </c>
      <c r="N269" s="63" t="e">
        <f t="shared" si="44"/>
        <v>#REF!</v>
      </c>
    </row>
    <row r="270" spans="1:14" ht="26.25">
      <c r="A270" s="82" t="s">
        <v>274</v>
      </c>
      <c r="B270" s="23" t="s">
        <v>286</v>
      </c>
      <c r="C270" s="23" t="s">
        <v>11</v>
      </c>
      <c r="D270" s="23" t="s">
        <v>13</v>
      </c>
      <c r="E270" s="23" t="s">
        <v>131</v>
      </c>
      <c r="F270" s="23"/>
      <c r="G270" s="37" t="e">
        <f aca="true" t="shared" si="45" ref="G270:N270">G271+G276</f>
        <v>#REF!</v>
      </c>
      <c r="H270" s="30" t="e">
        <f t="shared" si="45"/>
        <v>#REF!</v>
      </c>
      <c r="I270" s="37" t="e">
        <f t="shared" si="45"/>
        <v>#REF!</v>
      </c>
      <c r="J270" s="269">
        <f t="shared" si="45"/>
        <v>1382.1100000000001</v>
      </c>
      <c r="K270" s="265">
        <f t="shared" si="45"/>
        <v>164.573</v>
      </c>
      <c r="L270" s="265">
        <f t="shared" si="45"/>
        <v>1546.683</v>
      </c>
      <c r="M270" s="32" t="e">
        <f t="shared" si="45"/>
        <v>#REF!</v>
      </c>
      <c r="N270" s="33" t="e">
        <f t="shared" si="45"/>
        <v>#REF!</v>
      </c>
    </row>
    <row r="271" spans="1:14" ht="15">
      <c r="A271" s="82" t="s">
        <v>132</v>
      </c>
      <c r="B271" s="23" t="s">
        <v>286</v>
      </c>
      <c r="C271" s="23" t="s">
        <v>11</v>
      </c>
      <c r="D271" s="23" t="s">
        <v>13</v>
      </c>
      <c r="E271" s="23" t="s">
        <v>133</v>
      </c>
      <c r="F271" s="23"/>
      <c r="G271" s="37" t="e">
        <f>#REF!</f>
        <v>#REF!</v>
      </c>
      <c r="H271" s="37" t="e">
        <f>#REF!</f>
        <v>#REF!</v>
      </c>
      <c r="I271" s="37" t="e">
        <f>#REF!</f>
        <v>#REF!</v>
      </c>
      <c r="J271" s="265">
        <f>J272+J273+J274+J275</f>
        <v>608.72</v>
      </c>
      <c r="K271" s="265">
        <f>K272+K273+K274+K275</f>
        <v>81.59</v>
      </c>
      <c r="L271" s="265">
        <f>L272+L273+L274+L275</f>
        <v>690.31</v>
      </c>
      <c r="M271" s="32" t="e">
        <f>#REF!</f>
        <v>#REF!</v>
      </c>
      <c r="N271" s="33" t="e">
        <f>#REF!</f>
        <v>#REF!</v>
      </c>
    </row>
    <row r="272" spans="1:15" ht="20.25" customHeight="1">
      <c r="A272" s="66" t="s">
        <v>169</v>
      </c>
      <c r="B272" s="23" t="s">
        <v>286</v>
      </c>
      <c r="C272" s="23" t="s">
        <v>11</v>
      </c>
      <c r="D272" s="23" t="s">
        <v>13</v>
      </c>
      <c r="E272" s="23" t="s">
        <v>133</v>
      </c>
      <c r="F272" s="23" t="s">
        <v>170</v>
      </c>
      <c r="G272" s="37"/>
      <c r="H272" s="30"/>
      <c r="I272" s="37"/>
      <c r="J272" s="269">
        <v>441.72</v>
      </c>
      <c r="K272" s="265">
        <f>1.59</f>
        <v>1.59</v>
      </c>
      <c r="L272" s="265">
        <f>J272+K272</f>
        <v>443.31</v>
      </c>
      <c r="M272" s="32"/>
      <c r="N272" s="33"/>
      <c r="O272" s="95"/>
    </row>
    <row r="273" spans="1:15" ht="31.5" customHeight="1">
      <c r="A273" s="66" t="s">
        <v>172</v>
      </c>
      <c r="B273" s="23" t="s">
        <v>286</v>
      </c>
      <c r="C273" s="23" t="s">
        <v>11</v>
      </c>
      <c r="D273" s="23" t="s">
        <v>13</v>
      </c>
      <c r="E273" s="23" t="s">
        <v>133</v>
      </c>
      <c r="F273" s="23" t="s">
        <v>173</v>
      </c>
      <c r="G273" s="37"/>
      <c r="H273" s="30"/>
      <c r="I273" s="37"/>
      <c r="J273" s="269">
        <v>42</v>
      </c>
      <c r="K273" s="265">
        <v>80</v>
      </c>
      <c r="L273" s="265">
        <f>J273+K273</f>
        <v>122</v>
      </c>
      <c r="M273" s="32"/>
      <c r="N273" s="33"/>
      <c r="O273" s="95"/>
    </row>
    <row r="274" spans="1:15" ht="31.5" customHeight="1">
      <c r="A274" s="66" t="s">
        <v>163</v>
      </c>
      <c r="B274" s="23" t="s">
        <v>286</v>
      </c>
      <c r="C274" s="23" t="s">
        <v>11</v>
      </c>
      <c r="D274" s="23" t="s">
        <v>13</v>
      </c>
      <c r="E274" s="23" t="s">
        <v>133</v>
      </c>
      <c r="F274" s="23" t="s">
        <v>165</v>
      </c>
      <c r="G274" s="37"/>
      <c r="H274" s="30"/>
      <c r="I274" s="37"/>
      <c r="J274" s="269">
        <v>125</v>
      </c>
      <c r="K274" s="265"/>
      <c r="L274" s="265">
        <f>J274+K274</f>
        <v>125</v>
      </c>
      <c r="M274" s="32"/>
      <c r="N274" s="33"/>
      <c r="O274" s="95"/>
    </row>
    <row r="275" spans="1:15" ht="26.25" hidden="1">
      <c r="A275" s="82" t="s">
        <v>109</v>
      </c>
      <c r="B275" s="23" t="s">
        <v>286</v>
      </c>
      <c r="C275" s="23" t="s">
        <v>11</v>
      </c>
      <c r="D275" s="23" t="s">
        <v>13</v>
      </c>
      <c r="E275" s="23" t="s">
        <v>133</v>
      </c>
      <c r="F275" s="23" t="s">
        <v>108</v>
      </c>
      <c r="G275" s="37">
        <v>30</v>
      </c>
      <c r="H275" s="30">
        <v>615</v>
      </c>
      <c r="I275" s="37"/>
      <c r="J275" s="269"/>
      <c r="K275" s="265"/>
      <c r="L275" s="265">
        <f>J275+K275</f>
        <v>0</v>
      </c>
      <c r="M275" s="32"/>
      <c r="N275" s="33">
        <f>L275+M275</f>
        <v>0</v>
      </c>
      <c r="O275" s="95"/>
    </row>
    <row r="276" spans="1:14" ht="26.25">
      <c r="A276" s="82" t="s">
        <v>291</v>
      </c>
      <c r="B276" s="23" t="s">
        <v>286</v>
      </c>
      <c r="C276" s="23" t="s">
        <v>11</v>
      </c>
      <c r="D276" s="23" t="s">
        <v>13</v>
      </c>
      <c r="E276" s="23" t="s">
        <v>292</v>
      </c>
      <c r="F276" s="23"/>
      <c r="G276" s="37" t="e">
        <f>#REF!</f>
        <v>#REF!</v>
      </c>
      <c r="H276" s="30" t="e">
        <f>#REF!</f>
        <v>#REF!</v>
      </c>
      <c r="I276" s="37" t="e">
        <f>#REF!</f>
        <v>#REF!</v>
      </c>
      <c r="J276" s="265">
        <f>J277+J278</f>
        <v>773.39</v>
      </c>
      <c r="K276" s="265">
        <f>K277+K278</f>
        <v>82.983</v>
      </c>
      <c r="L276" s="265">
        <f>L277+L278</f>
        <v>856.373</v>
      </c>
      <c r="M276" s="32" t="e">
        <f>#REF!</f>
        <v>#REF!</v>
      </c>
      <c r="N276" s="33" t="e">
        <f>#REF!</f>
        <v>#REF!</v>
      </c>
    </row>
    <row r="277" spans="1:15" ht="25.5">
      <c r="A277" s="66" t="s">
        <v>169</v>
      </c>
      <c r="B277" s="23" t="s">
        <v>286</v>
      </c>
      <c r="C277" s="23" t="s">
        <v>11</v>
      </c>
      <c r="D277" s="23" t="s">
        <v>13</v>
      </c>
      <c r="E277" s="23" t="s">
        <v>292</v>
      </c>
      <c r="F277" s="23" t="s">
        <v>170</v>
      </c>
      <c r="G277" s="37"/>
      <c r="H277" s="30"/>
      <c r="I277" s="37"/>
      <c r="J277" s="269">
        <v>773.39</v>
      </c>
      <c r="K277" s="265">
        <v>82.983</v>
      </c>
      <c r="L277" s="265">
        <f>J277+K277</f>
        <v>856.373</v>
      </c>
      <c r="M277" s="32"/>
      <c r="N277" s="33"/>
      <c r="O277" s="95"/>
    </row>
    <row r="278" spans="1:15" ht="26.25" hidden="1">
      <c r="A278" s="82" t="s">
        <v>109</v>
      </c>
      <c r="B278" s="23" t="s">
        <v>286</v>
      </c>
      <c r="C278" s="23" t="s">
        <v>11</v>
      </c>
      <c r="D278" s="23" t="s">
        <v>13</v>
      </c>
      <c r="E278" s="23" t="s">
        <v>292</v>
      </c>
      <c r="F278" s="23" t="s">
        <v>108</v>
      </c>
      <c r="G278" s="37"/>
      <c r="H278" s="30">
        <v>738</v>
      </c>
      <c r="I278" s="37"/>
      <c r="J278" s="269"/>
      <c r="K278" s="265"/>
      <c r="L278" s="265">
        <f>J278+K278</f>
        <v>0</v>
      </c>
      <c r="M278" s="32"/>
      <c r="N278" s="33">
        <f>L278+M278</f>
        <v>0</v>
      </c>
      <c r="O278" s="95"/>
    </row>
    <row r="279" spans="1:14" s="147" customFormat="1" ht="63.75">
      <c r="A279" s="81" t="s">
        <v>208</v>
      </c>
      <c r="B279" s="29" t="s">
        <v>286</v>
      </c>
      <c r="C279" s="29" t="s">
        <v>11</v>
      </c>
      <c r="D279" s="29" t="s">
        <v>14</v>
      </c>
      <c r="E279" s="29"/>
      <c r="F279" s="29"/>
      <c r="G279" s="21" t="e">
        <f>G288+G281+G283</f>
        <v>#REF!</v>
      </c>
      <c r="H279" s="24" t="e">
        <f>H288+H281+H283+#REF!+#REF!</f>
        <v>#REF!</v>
      </c>
      <c r="I279" s="24" t="e">
        <f>I288+I281+I283+#REF!+#REF!</f>
        <v>#REF!</v>
      </c>
      <c r="J279" s="268">
        <f>J280+J288+J297</f>
        <v>15833.975279999999</v>
      </c>
      <c r="K279" s="268">
        <f>K280+K288+K297</f>
        <v>-239.03448999999998</v>
      </c>
      <c r="L279" s="268">
        <f>L280+L288+L297</f>
        <v>15594.940789999999</v>
      </c>
      <c r="M279" s="46" t="e">
        <f>M288+M281+M283+#REF!+#REF!</f>
        <v>#REF!</v>
      </c>
      <c r="N279" s="63" t="e">
        <f>N288+N281+N283+#REF!+#REF!</f>
        <v>#REF!</v>
      </c>
    </row>
    <row r="280" spans="1:14" ht="25.5">
      <c r="A280" s="167" t="s">
        <v>274</v>
      </c>
      <c r="B280" s="23" t="s">
        <v>286</v>
      </c>
      <c r="C280" s="23" t="s">
        <v>11</v>
      </c>
      <c r="D280" s="23" t="s">
        <v>14</v>
      </c>
      <c r="E280" s="23" t="s">
        <v>451</v>
      </c>
      <c r="F280" s="23"/>
      <c r="G280" s="37"/>
      <c r="H280" s="31"/>
      <c r="I280" s="31"/>
      <c r="J280" s="269">
        <f>J281+J283</f>
        <v>605</v>
      </c>
      <c r="K280" s="269">
        <f>K281+K283</f>
        <v>58.8</v>
      </c>
      <c r="L280" s="269">
        <f>L281+L283</f>
        <v>663.8</v>
      </c>
      <c r="M280" s="32"/>
      <c r="N280" s="33"/>
    </row>
    <row r="281" spans="1:14" s="147" customFormat="1" ht="45.75" customHeight="1" hidden="1">
      <c r="A281" s="62" t="s">
        <v>293</v>
      </c>
      <c r="B281" s="23" t="s">
        <v>286</v>
      </c>
      <c r="C281" s="23" t="s">
        <v>11</v>
      </c>
      <c r="D281" s="23" t="s">
        <v>14</v>
      </c>
      <c r="E281" s="23" t="s">
        <v>294</v>
      </c>
      <c r="F281" s="23"/>
      <c r="G281" s="37">
        <f aca="true" t="shared" si="46" ref="G281:N281">G282</f>
        <v>47.3</v>
      </c>
      <c r="H281" s="37">
        <f t="shared" si="46"/>
        <v>0</v>
      </c>
      <c r="I281" s="37">
        <f t="shared" si="46"/>
        <v>0</v>
      </c>
      <c r="J281" s="269">
        <f t="shared" si="46"/>
        <v>0</v>
      </c>
      <c r="K281" s="265">
        <f t="shared" si="46"/>
        <v>0</v>
      </c>
      <c r="L281" s="265">
        <f t="shared" si="46"/>
        <v>0</v>
      </c>
      <c r="M281" s="32">
        <f t="shared" si="46"/>
        <v>0</v>
      </c>
      <c r="N281" s="33">
        <f t="shared" si="46"/>
        <v>0</v>
      </c>
    </row>
    <row r="282" spans="1:14" s="147" customFormat="1" ht="31.5" customHeight="1" hidden="1">
      <c r="A282" s="82" t="s">
        <v>213</v>
      </c>
      <c r="B282" s="23" t="s">
        <v>286</v>
      </c>
      <c r="C282" s="23" t="s">
        <v>11</v>
      </c>
      <c r="D282" s="23" t="s">
        <v>14</v>
      </c>
      <c r="E282" s="23" t="s">
        <v>294</v>
      </c>
      <c r="F282" s="23" t="s">
        <v>168</v>
      </c>
      <c r="G282" s="37">
        <v>47.3</v>
      </c>
      <c r="H282" s="30"/>
      <c r="I282" s="37"/>
      <c r="J282" s="269"/>
      <c r="K282" s="265"/>
      <c r="L282" s="265">
        <f>J282+K282</f>
        <v>0</v>
      </c>
      <c r="M282" s="32">
        <f>49.6-49.6</f>
        <v>0</v>
      </c>
      <c r="N282" s="33">
        <f>L282+M282</f>
        <v>0</v>
      </c>
    </row>
    <row r="283" spans="1:14" s="147" customFormat="1" ht="51">
      <c r="A283" s="62" t="s">
        <v>128</v>
      </c>
      <c r="B283" s="23" t="s">
        <v>286</v>
      </c>
      <c r="C283" s="23" t="s">
        <v>11</v>
      </c>
      <c r="D283" s="23" t="s">
        <v>14</v>
      </c>
      <c r="E283" s="23" t="s">
        <v>129</v>
      </c>
      <c r="F283" s="23"/>
      <c r="G283" s="24" t="e">
        <f>#REF!</f>
        <v>#REF!</v>
      </c>
      <c r="H283" s="31" t="e">
        <f>#REF!</f>
        <v>#REF!</v>
      </c>
      <c r="I283" s="24" t="e">
        <f>#REF!</f>
        <v>#REF!</v>
      </c>
      <c r="J283" s="265">
        <f>J284+J285+J286+J287</f>
        <v>605</v>
      </c>
      <c r="K283" s="265">
        <f>K284+K285+K286+K287</f>
        <v>58.8</v>
      </c>
      <c r="L283" s="265">
        <f>L284+L285+L286+L287</f>
        <v>663.8</v>
      </c>
      <c r="M283" s="46" t="e">
        <f>#REF!</f>
        <v>#REF!</v>
      </c>
      <c r="N283" s="33" t="e">
        <f>#REF!</f>
        <v>#REF!</v>
      </c>
    </row>
    <row r="284" spans="1:17" s="147" customFormat="1" ht="18.75" customHeight="1">
      <c r="A284" s="66" t="s">
        <v>169</v>
      </c>
      <c r="B284" s="23" t="s">
        <v>286</v>
      </c>
      <c r="C284" s="23" t="s">
        <v>11</v>
      </c>
      <c r="D284" s="23" t="s">
        <v>14</v>
      </c>
      <c r="E284" s="23" t="s">
        <v>129</v>
      </c>
      <c r="F284" s="23" t="s">
        <v>170</v>
      </c>
      <c r="G284" s="24"/>
      <c r="H284" s="31"/>
      <c r="I284" s="24"/>
      <c r="J284" s="265">
        <v>493.855</v>
      </c>
      <c r="K284" s="265">
        <f>10+3.02</f>
        <v>13.02</v>
      </c>
      <c r="L284" s="265">
        <f>J284+K284</f>
        <v>506.875</v>
      </c>
      <c r="M284" s="46"/>
      <c r="N284" s="33"/>
      <c r="O284" s="148"/>
      <c r="Q284" s="170"/>
    </row>
    <row r="285" spans="1:17" s="147" customFormat="1" ht="32.25" customHeight="1">
      <c r="A285" s="66" t="s">
        <v>172</v>
      </c>
      <c r="B285" s="23" t="s">
        <v>286</v>
      </c>
      <c r="C285" s="23" t="s">
        <v>11</v>
      </c>
      <c r="D285" s="23" t="s">
        <v>14</v>
      </c>
      <c r="E285" s="23" t="s">
        <v>129</v>
      </c>
      <c r="F285" s="23" t="s">
        <v>173</v>
      </c>
      <c r="G285" s="24"/>
      <c r="H285" s="31"/>
      <c r="I285" s="24"/>
      <c r="J285" s="265">
        <f>1</f>
        <v>1</v>
      </c>
      <c r="K285" s="265">
        <v>0.6</v>
      </c>
      <c r="L285" s="265">
        <f>J285+K285</f>
        <v>1.6</v>
      </c>
      <c r="M285" s="46"/>
      <c r="N285" s="33"/>
      <c r="O285" s="148"/>
      <c r="Q285" s="170"/>
    </row>
    <row r="286" spans="1:17" s="147" customFormat="1" ht="31.5" customHeight="1">
      <c r="A286" s="66" t="s">
        <v>163</v>
      </c>
      <c r="B286" s="23" t="s">
        <v>286</v>
      </c>
      <c r="C286" s="23" t="s">
        <v>11</v>
      </c>
      <c r="D286" s="23" t="s">
        <v>14</v>
      </c>
      <c r="E286" s="23" t="s">
        <v>129</v>
      </c>
      <c r="F286" s="23" t="s">
        <v>165</v>
      </c>
      <c r="G286" s="24"/>
      <c r="H286" s="31"/>
      <c r="I286" s="24"/>
      <c r="J286" s="265">
        <v>110.145</v>
      </c>
      <c r="K286" s="265">
        <f>5+40.18</f>
        <v>45.18</v>
      </c>
      <c r="L286" s="265">
        <f>J286+K286</f>
        <v>155.325</v>
      </c>
      <c r="M286" s="46"/>
      <c r="N286" s="33"/>
      <c r="O286" s="148"/>
      <c r="Q286" s="170"/>
    </row>
    <row r="287" spans="1:17" s="147" customFormat="1" ht="26.25" hidden="1">
      <c r="A287" s="34" t="s">
        <v>109</v>
      </c>
      <c r="B287" s="23" t="s">
        <v>286</v>
      </c>
      <c r="C287" s="23" t="s">
        <v>11</v>
      </c>
      <c r="D287" s="23" t="s">
        <v>14</v>
      </c>
      <c r="E287" s="23" t="s">
        <v>129</v>
      </c>
      <c r="F287" s="23" t="s">
        <v>108</v>
      </c>
      <c r="G287" s="24" t="e">
        <f>H287-#REF!</f>
        <v>#REF!</v>
      </c>
      <c r="H287" s="31"/>
      <c r="I287" s="24"/>
      <c r="J287" s="269"/>
      <c r="K287" s="265"/>
      <c r="L287" s="265">
        <f>J287+K287</f>
        <v>0</v>
      </c>
      <c r="M287" s="46"/>
      <c r="N287" s="33">
        <f>L287+M287</f>
        <v>0</v>
      </c>
      <c r="O287" s="148"/>
      <c r="Q287" s="170"/>
    </row>
    <row r="288" spans="1:14" ht="26.25">
      <c r="A288" s="82" t="s">
        <v>274</v>
      </c>
      <c r="B288" s="23" t="s">
        <v>286</v>
      </c>
      <c r="C288" s="23" t="s">
        <v>11</v>
      </c>
      <c r="D288" s="23" t="s">
        <v>14</v>
      </c>
      <c r="E288" s="23" t="s">
        <v>131</v>
      </c>
      <c r="F288" s="23"/>
      <c r="G288" s="37" t="e">
        <f aca="true" t="shared" si="47" ref="G288:N288">G289</f>
        <v>#REF!</v>
      </c>
      <c r="H288" s="37" t="e">
        <f t="shared" si="47"/>
        <v>#REF!</v>
      </c>
      <c r="I288" s="37" t="e">
        <f t="shared" si="47"/>
        <v>#REF!</v>
      </c>
      <c r="J288" s="269">
        <f t="shared" si="47"/>
        <v>15210.085</v>
      </c>
      <c r="K288" s="265">
        <f t="shared" si="47"/>
        <v>-304.159</v>
      </c>
      <c r="L288" s="265">
        <f t="shared" si="47"/>
        <v>14905.926</v>
      </c>
      <c r="M288" s="32" t="e">
        <f t="shared" si="47"/>
        <v>#REF!</v>
      </c>
      <c r="N288" s="33" t="e">
        <f t="shared" si="47"/>
        <v>#REF!</v>
      </c>
    </row>
    <row r="289" spans="1:14" ht="15">
      <c r="A289" s="82" t="s">
        <v>132</v>
      </c>
      <c r="B289" s="23" t="s">
        <v>286</v>
      </c>
      <c r="C289" s="23" t="s">
        <v>11</v>
      </c>
      <c r="D289" s="23" t="s">
        <v>14</v>
      </c>
      <c r="E289" s="23" t="s">
        <v>133</v>
      </c>
      <c r="F289" s="23"/>
      <c r="G289" s="37" t="e">
        <f>#REF!+#REF!</f>
        <v>#REF!</v>
      </c>
      <c r="H289" s="37" t="e">
        <f>#REF!+#REF!</f>
        <v>#REF!</v>
      </c>
      <c r="I289" s="37" t="e">
        <f>#REF!+#REF!</f>
        <v>#REF!</v>
      </c>
      <c r="J289" s="265">
        <f>J290+J291+J292+J293+J294+J295+J296</f>
        <v>15210.085</v>
      </c>
      <c r="K289" s="265">
        <f>K290+K291+K292+K293+K294+K295+K296</f>
        <v>-304.159</v>
      </c>
      <c r="L289" s="265">
        <f>L290+L291+L292+L293+L294+L295+L296</f>
        <v>14905.926</v>
      </c>
      <c r="M289" s="32" t="e">
        <f>#REF!+#REF!+M290+M291+M293+M295+M296+M292</f>
        <v>#REF!</v>
      </c>
      <c r="N289" s="32" t="e">
        <f>#REF!+#REF!+N290+N291+N293+N295+N296+N292</f>
        <v>#REF!</v>
      </c>
    </row>
    <row r="290" spans="1:14" ht="20.25" customHeight="1">
      <c r="A290" s="66" t="s">
        <v>169</v>
      </c>
      <c r="B290" s="23" t="s">
        <v>286</v>
      </c>
      <c r="C290" s="23" t="s">
        <v>11</v>
      </c>
      <c r="D290" s="23" t="s">
        <v>14</v>
      </c>
      <c r="E290" s="23" t="s">
        <v>133</v>
      </c>
      <c r="F290" s="23" t="s">
        <v>170</v>
      </c>
      <c r="G290" s="21"/>
      <c r="H290" s="30"/>
      <c r="I290" s="21"/>
      <c r="J290" s="265">
        <v>9554.686</v>
      </c>
      <c r="K290" s="265">
        <f>317.007-85.932-1.59</f>
        <v>229.48499999999999</v>
      </c>
      <c r="L290" s="265">
        <f aca="true" t="shared" si="48" ref="L290:L296">J290+K290</f>
        <v>9784.171</v>
      </c>
      <c r="M290" s="97"/>
      <c r="N290" s="41"/>
    </row>
    <row r="291" spans="1:14" ht="30" customHeight="1">
      <c r="A291" s="66" t="s">
        <v>172</v>
      </c>
      <c r="B291" s="23" t="s">
        <v>286</v>
      </c>
      <c r="C291" s="23" t="s">
        <v>11</v>
      </c>
      <c r="D291" s="23" t="s">
        <v>14</v>
      </c>
      <c r="E291" s="23" t="s">
        <v>133</v>
      </c>
      <c r="F291" s="23" t="s">
        <v>173</v>
      </c>
      <c r="G291" s="21"/>
      <c r="H291" s="30"/>
      <c r="I291" s="21"/>
      <c r="J291" s="265">
        <v>76</v>
      </c>
      <c r="K291" s="265"/>
      <c r="L291" s="265">
        <f t="shared" si="48"/>
        <v>76</v>
      </c>
      <c r="M291" s="97"/>
      <c r="N291" s="41"/>
    </row>
    <row r="292" spans="1:14" ht="30" customHeight="1">
      <c r="A292" s="66" t="s">
        <v>176</v>
      </c>
      <c r="B292" s="23" t="s">
        <v>286</v>
      </c>
      <c r="C292" s="23" t="s">
        <v>11</v>
      </c>
      <c r="D292" s="23" t="s">
        <v>14</v>
      </c>
      <c r="E292" s="23" t="s">
        <v>133</v>
      </c>
      <c r="F292" s="23" t="s">
        <v>177</v>
      </c>
      <c r="G292" s="21"/>
      <c r="H292" s="30"/>
      <c r="I292" s="21"/>
      <c r="J292" s="265">
        <v>149.3</v>
      </c>
      <c r="K292" s="265">
        <v>10</v>
      </c>
      <c r="L292" s="265">
        <f t="shared" si="48"/>
        <v>159.3</v>
      </c>
      <c r="M292" s="97"/>
      <c r="N292" s="41"/>
    </row>
    <row r="293" spans="1:14" ht="30" customHeight="1">
      <c r="A293" s="66" t="s">
        <v>163</v>
      </c>
      <c r="B293" s="23" t="s">
        <v>286</v>
      </c>
      <c r="C293" s="23" t="s">
        <v>11</v>
      </c>
      <c r="D293" s="23" t="s">
        <v>14</v>
      </c>
      <c r="E293" s="23" t="s">
        <v>133</v>
      </c>
      <c r="F293" s="23" t="s">
        <v>165</v>
      </c>
      <c r="G293" s="21"/>
      <c r="H293" s="30"/>
      <c r="I293" s="21"/>
      <c r="J293" s="265">
        <v>4841.279</v>
      </c>
      <c r="K293" s="265">
        <f>-380-80+10.05+12.043+71.531+24-287.2+95.932</f>
        <v>-533.644</v>
      </c>
      <c r="L293" s="265">
        <f t="shared" si="48"/>
        <v>4307.635</v>
      </c>
      <c r="M293" s="97"/>
      <c r="N293" s="41"/>
    </row>
    <row r="294" spans="1:15" ht="26.25" hidden="1">
      <c r="A294" s="82" t="s">
        <v>109</v>
      </c>
      <c r="B294" s="23" t="s">
        <v>286</v>
      </c>
      <c r="C294" s="23" t="s">
        <v>11</v>
      </c>
      <c r="D294" s="23" t="s">
        <v>14</v>
      </c>
      <c r="E294" s="23" t="s">
        <v>133</v>
      </c>
      <c r="F294" s="23" t="s">
        <v>108</v>
      </c>
      <c r="G294" s="37">
        <f>10-200+200+80.47+1300-0.47-80+50</f>
        <v>1360</v>
      </c>
      <c r="H294" s="37">
        <f>49.6+117.4+10087.47-203.91-49.6</f>
        <v>10000.96</v>
      </c>
      <c r="I294" s="37"/>
      <c r="J294" s="269"/>
      <c r="K294" s="265"/>
      <c r="L294" s="265">
        <f>J294+K294</f>
        <v>0</v>
      </c>
      <c r="M294" s="32">
        <f>-176.62+88</f>
        <v>-88.62</v>
      </c>
      <c r="N294" s="33">
        <f>L294+M294</f>
        <v>-88.62</v>
      </c>
      <c r="O294" s="124"/>
    </row>
    <row r="295" spans="1:14" ht="30" customHeight="1">
      <c r="A295" s="66" t="s">
        <v>295</v>
      </c>
      <c r="B295" s="23" t="s">
        <v>286</v>
      </c>
      <c r="C295" s="23" t="s">
        <v>11</v>
      </c>
      <c r="D295" s="23" t="s">
        <v>14</v>
      </c>
      <c r="E295" s="23" t="s">
        <v>133</v>
      </c>
      <c r="F295" s="23" t="s">
        <v>179</v>
      </c>
      <c r="G295" s="21"/>
      <c r="H295" s="30"/>
      <c r="I295" s="21"/>
      <c r="J295" s="265">
        <v>284.6</v>
      </c>
      <c r="K295" s="265">
        <v>72.22</v>
      </c>
      <c r="L295" s="265">
        <f t="shared" si="48"/>
        <v>356.82000000000005</v>
      </c>
      <c r="M295" s="97"/>
      <c r="N295" s="41"/>
    </row>
    <row r="296" spans="1:14" s="218" customFormat="1" ht="25.5" customHeight="1">
      <c r="A296" s="71" t="s">
        <v>180</v>
      </c>
      <c r="B296" s="221" t="s">
        <v>286</v>
      </c>
      <c r="C296" s="221" t="s">
        <v>11</v>
      </c>
      <c r="D296" s="221" t="s">
        <v>14</v>
      </c>
      <c r="E296" s="221" t="s">
        <v>133</v>
      </c>
      <c r="F296" s="221" t="s">
        <v>181</v>
      </c>
      <c r="G296" s="222"/>
      <c r="H296" s="223"/>
      <c r="I296" s="222"/>
      <c r="J296" s="265">
        <v>304.22</v>
      </c>
      <c r="K296" s="265">
        <f>-72.22-10</f>
        <v>-82.22</v>
      </c>
      <c r="L296" s="265">
        <f t="shared" si="48"/>
        <v>222.00000000000003</v>
      </c>
      <c r="M296" s="224"/>
      <c r="N296" s="225"/>
    </row>
    <row r="297" spans="1:14" s="218" customFormat="1" ht="25.5" customHeight="1">
      <c r="A297" s="82" t="s">
        <v>528</v>
      </c>
      <c r="B297" s="221" t="s">
        <v>286</v>
      </c>
      <c r="C297" s="221" t="s">
        <v>11</v>
      </c>
      <c r="D297" s="221" t="s">
        <v>14</v>
      </c>
      <c r="E297" s="221" t="s">
        <v>520</v>
      </c>
      <c r="F297" s="221"/>
      <c r="G297" s="222"/>
      <c r="H297" s="223"/>
      <c r="I297" s="222"/>
      <c r="J297" s="265">
        <f>J298</f>
        <v>18.89028</v>
      </c>
      <c r="K297" s="265">
        <f>K298</f>
        <v>6.32451</v>
      </c>
      <c r="L297" s="265">
        <f>L298</f>
        <v>25.21479</v>
      </c>
      <c r="M297" s="224"/>
      <c r="N297" s="225"/>
    </row>
    <row r="298" spans="1:14" s="218" customFormat="1" ht="25.5" customHeight="1">
      <c r="A298" s="82" t="s">
        <v>529</v>
      </c>
      <c r="B298" s="221" t="s">
        <v>286</v>
      </c>
      <c r="C298" s="221" t="s">
        <v>11</v>
      </c>
      <c r="D298" s="221" t="s">
        <v>14</v>
      </c>
      <c r="E298" s="221" t="s">
        <v>520</v>
      </c>
      <c r="F298" s="221" t="s">
        <v>524</v>
      </c>
      <c r="G298" s="222"/>
      <c r="H298" s="223"/>
      <c r="I298" s="222"/>
      <c r="J298" s="265">
        <v>18.89028</v>
      </c>
      <c r="K298" s="265">
        <v>6.32451</v>
      </c>
      <c r="L298" s="265">
        <f>J298+K298</f>
        <v>25.21479</v>
      </c>
      <c r="M298" s="224"/>
      <c r="N298" s="225"/>
    </row>
    <row r="299" spans="1:14" s="147" customFormat="1" ht="14.25" customHeight="1">
      <c r="A299" s="28" t="s">
        <v>15</v>
      </c>
      <c r="B299" s="29" t="s">
        <v>286</v>
      </c>
      <c r="C299" s="29" t="s">
        <v>11</v>
      </c>
      <c r="D299" s="29" t="s">
        <v>16</v>
      </c>
      <c r="E299" s="29"/>
      <c r="F299" s="29"/>
      <c r="G299" s="21"/>
      <c r="H299" s="25">
        <f>H300</f>
        <v>0</v>
      </c>
      <c r="I299" s="25">
        <f aca="true" t="shared" si="49" ref="I299:N300">I300</f>
        <v>0</v>
      </c>
      <c r="J299" s="268">
        <f t="shared" si="49"/>
        <v>11.7</v>
      </c>
      <c r="K299" s="264">
        <f t="shared" si="49"/>
        <v>0</v>
      </c>
      <c r="L299" s="264">
        <f t="shared" si="49"/>
        <v>11.7</v>
      </c>
      <c r="M299" s="159">
        <f t="shared" si="49"/>
        <v>0</v>
      </c>
      <c r="N299" s="160">
        <f t="shared" si="49"/>
        <v>0</v>
      </c>
    </row>
    <row r="300" spans="1:14" ht="51.75">
      <c r="A300" s="34" t="s">
        <v>296</v>
      </c>
      <c r="B300" s="23" t="s">
        <v>286</v>
      </c>
      <c r="C300" s="23" t="s">
        <v>11</v>
      </c>
      <c r="D300" s="23" t="s">
        <v>16</v>
      </c>
      <c r="E300" s="23" t="s">
        <v>297</v>
      </c>
      <c r="F300" s="23"/>
      <c r="G300" s="21"/>
      <c r="H300" s="30">
        <f>H301</f>
        <v>0</v>
      </c>
      <c r="I300" s="30">
        <f t="shared" si="49"/>
        <v>0</v>
      </c>
      <c r="J300" s="265">
        <f>J301+J302</f>
        <v>11.7</v>
      </c>
      <c r="K300" s="265">
        <f>K301+K302</f>
        <v>0</v>
      </c>
      <c r="L300" s="265">
        <f>L301+L302</f>
        <v>11.7</v>
      </c>
      <c r="M300" s="32">
        <f t="shared" si="49"/>
        <v>0</v>
      </c>
      <c r="N300" s="33">
        <f t="shared" si="49"/>
        <v>0</v>
      </c>
    </row>
    <row r="301" spans="1:15" ht="26.25" hidden="1">
      <c r="A301" s="82" t="s">
        <v>107</v>
      </c>
      <c r="B301" s="23" t="s">
        <v>286</v>
      </c>
      <c r="C301" s="23" t="s">
        <v>11</v>
      </c>
      <c r="D301" s="23" t="s">
        <v>16</v>
      </c>
      <c r="E301" s="23" t="s">
        <v>297</v>
      </c>
      <c r="F301" s="23" t="s">
        <v>168</v>
      </c>
      <c r="G301" s="37"/>
      <c r="H301" s="30"/>
      <c r="I301" s="37"/>
      <c r="J301" s="269"/>
      <c r="K301" s="265"/>
      <c r="L301" s="265">
        <f>J301+K301</f>
        <v>0</v>
      </c>
      <c r="M301" s="89"/>
      <c r="N301" s="88">
        <f>L301+M301</f>
        <v>0</v>
      </c>
      <c r="O301" s="19">
        <v>6.8</v>
      </c>
    </row>
    <row r="302" spans="1:14" ht="31.5" customHeight="1">
      <c r="A302" s="66" t="s">
        <v>163</v>
      </c>
      <c r="B302" s="23" t="s">
        <v>286</v>
      </c>
      <c r="C302" s="23" t="s">
        <v>11</v>
      </c>
      <c r="D302" s="23" t="s">
        <v>16</v>
      </c>
      <c r="E302" s="23" t="s">
        <v>297</v>
      </c>
      <c r="F302" s="23" t="s">
        <v>165</v>
      </c>
      <c r="G302" s="37"/>
      <c r="H302" s="30"/>
      <c r="I302" s="37"/>
      <c r="J302" s="269">
        <v>11.7</v>
      </c>
      <c r="K302" s="265"/>
      <c r="L302" s="265">
        <f>J302+K302</f>
        <v>11.7</v>
      </c>
      <c r="M302" s="89"/>
      <c r="N302" s="88"/>
    </row>
    <row r="303" spans="1:14" ht="39">
      <c r="A303" s="83" t="s">
        <v>211</v>
      </c>
      <c r="B303" s="29" t="s">
        <v>286</v>
      </c>
      <c r="C303" s="29" t="s">
        <v>11</v>
      </c>
      <c r="D303" s="29" t="s">
        <v>17</v>
      </c>
      <c r="E303" s="29"/>
      <c r="F303" s="29"/>
      <c r="G303" s="21" t="e">
        <f aca="true" t="shared" si="50" ref="G303:L303">G304</f>
        <v>#REF!</v>
      </c>
      <c r="H303" s="21" t="e">
        <f t="shared" si="50"/>
        <v>#REF!</v>
      </c>
      <c r="I303" s="21" t="e">
        <f t="shared" si="50"/>
        <v>#REF!</v>
      </c>
      <c r="J303" s="264">
        <f t="shared" si="50"/>
        <v>708.868</v>
      </c>
      <c r="K303" s="264">
        <f t="shared" si="50"/>
        <v>0</v>
      </c>
      <c r="L303" s="264">
        <f t="shared" si="50"/>
        <v>708.868</v>
      </c>
      <c r="M303" s="89"/>
      <c r="N303" s="88"/>
    </row>
    <row r="304" spans="1:14" ht="51.75">
      <c r="A304" s="39" t="s">
        <v>212</v>
      </c>
      <c r="B304" s="23" t="s">
        <v>286</v>
      </c>
      <c r="C304" s="23" t="s">
        <v>11</v>
      </c>
      <c r="D304" s="23" t="s">
        <v>17</v>
      </c>
      <c r="E304" s="23" t="s">
        <v>131</v>
      </c>
      <c r="F304" s="23"/>
      <c r="G304" s="37" t="e">
        <f>#REF!+#REF!</f>
        <v>#REF!</v>
      </c>
      <c r="H304" s="37" t="e">
        <f>#REF!+#REF!</f>
        <v>#REF!</v>
      </c>
      <c r="I304" s="37" t="e">
        <f>#REF!+#REF!</f>
        <v>#REF!</v>
      </c>
      <c r="J304" s="265">
        <f>J305+J306+J307+J308</f>
        <v>708.868</v>
      </c>
      <c r="K304" s="265">
        <f>K305+K306+K307+K308</f>
        <v>0</v>
      </c>
      <c r="L304" s="265">
        <f>L305+L306+L307+L308</f>
        <v>708.868</v>
      </c>
      <c r="M304" s="89"/>
      <c r="N304" s="88"/>
    </row>
    <row r="305" spans="1:14" ht="15">
      <c r="A305" s="71" t="s">
        <v>380</v>
      </c>
      <c r="B305" s="23" t="s">
        <v>286</v>
      </c>
      <c r="C305" s="23" t="s">
        <v>11</v>
      </c>
      <c r="D305" s="23" t="s">
        <v>17</v>
      </c>
      <c r="E305" s="23" t="s">
        <v>133</v>
      </c>
      <c r="F305" s="23" t="s">
        <v>170</v>
      </c>
      <c r="G305" s="37"/>
      <c r="H305" s="30"/>
      <c r="I305" s="37"/>
      <c r="J305" s="265">
        <v>626.868</v>
      </c>
      <c r="K305" s="265"/>
      <c r="L305" s="265">
        <f>SUM(J305:K305)</f>
        <v>626.868</v>
      </c>
      <c r="M305" s="89"/>
      <c r="N305" s="88"/>
    </row>
    <row r="306" spans="1:14" ht="39" hidden="1">
      <c r="A306" s="71" t="s">
        <v>172</v>
      </c>
      <c r="B306" s="23" t="s">
        <v>286</v>
      </c>
      <c r="C306" s="23" t="s">
        <v>11</v>
      </c>
      <c r="D306" s="23" t="s">
        <v>17</v>
      </c>
      <c r="E306" s="23" t="s">
        <v>133</v>
      </c>
      <c r="F306" s="23" t="s">
        <v>173</v>
      </c>
      <c r="G306" s="37"/>
      <c r="H306" s="30"/>
      <c r="I306" s="37"/>
      <c r="J306" s="265"/>
      <c r="K306" s="265"/>
      <c r="L306" s="265">
        <f>SUM(J306:K306)</f>
        <v>0</v>
      </c>
      <c r="M306" s="89"/>
      <c r="N306" s="88"/>
    </row>
    <row r="307" spans="1:14" ht="51.75">
      <c r="A307" s="71" t="s">
        <v>176</v>
      </c>
      <c r="B307" s="23" t="s">
        <v>286</v>
      </c>
      <c r="C307" s="23" t="s">
        <v>11</v>
      </c>
      <c r="D307" s="23" t="s">
        <v>17</v>
      </c>
      <c r="E307" s="23" t="s">
        <v>133</v>
      </c>
      <c r="F307" s="23" t="s">
        <v>177</v>
      </c>
      <c r="G307" s="37"/>
      <c r="H307" s="30"/>
      <c r="I307" s="37"/>
      <c r="J307" s="265">
        <v>30</v>
      </c>
      <c r="K307" s="265"/>
      <c r="L307" s="265">
        <f>SUM(J307:K307)</f>
        <v>30</v>
      </c>
      <c r="M307" s="89"/>
      <c r="N307" s="88"/>
    </row>
    <row r="308" spans="1:14" ht="26.25">
      <c r="A308" s="71" t="s">
        <v>249</v>
      </c>
      <c r="B308" s="23" t="s">
        <v>286</v>
      </c>
      <c r="C308" s="23" t="s">
        <v>11</v>
      </c>
      <c r="D308" s="23" t="s">
        <v>17</v>
      </c>
      <c r="E308" s="23" t="s">
        <v>133</v>
      </c>
      <c r="F308" s="23" t="s">
        <v>165</v>
      </c>
      <c r="G308" s="37"/>
      <c r="H308" s="30"/>
      <c r="I308" s="37"/>
      <c r="J308" s="265">
        <v>52</v>
      </c>
      <c r="K308" s="265"/>
      <c r="L308" s="265">
        <f>SUM(J308:K308)</f>
        <v>52</v>
      </c>
      <c r="M308" s="89"/>
      <c r="N308" s="88"/>
    </row>
    <row r="309" spans="1:14" s="147" customFormat="1" ht="25.5" hidden="1">
      <c r="A309" s="81" t="s">
        <v>298</v>
      </c>
      <c r="B309" s="29" t="s">
        <v>286</v>
      </c>
      <c r="C309" s="29" t="s">
        <v>11</v>
      </c>
      <c r="D309" s="29" t="s">
        <v>19</v>
      </c>
      <c r="E309" s="29"/>
      <c r="F309" s="29"/>
      <c r="G309" s="21">
        <f aca="true" t="shared" si="51" ref="G309:N311">G310</f>
        <v>0</v>
      </c>
      <c r="H309" s="21">
        <f t="shared" si="51"/>
        <v>20</v>
      </c>
      <c r="I309" s="21">
        <f t="shared" si="51"/>
        <v>0</v>
      </c>
      <c r="J309" s="268">
        <f t="shared" si="51"/>
        <v>0</v>
      </c>
      <c r="K309" s="264">
        <f t="shared" si="51"/>
        <v>0</v>
      </c>
      <c r="L309" s="264">
        <f t="shared" si="51"/>
        <v>0</v>
      </c>
      <c r="M309" s="46">
        <f t="shared" si="51"/>
        <v>0</v>
      </c>
      <c r="N309" s="63">
        <f t="shared" si="51"/>
        <v>0</v>
      </c>
    </row>
    <row r="310" spans="1:14" ht="18" customHeight="1" hidden="1">
      <c r="A310" s="82" t="s">
        <v>299</v>
      </c>
      <c r="B310" s="23" t="s">
        <v>286</v>
      </c>
      <c r="C310" s="23" t="s">
        <v>11</v>
      </c>
      <c r="D310" s="23" t="s">
        <v>19</v>
      </c>
      <c r="E310" s="23" t="s">
        <v>300</v>
      </c>
      <c r="F310" s="23"/>
      <c r="G310" s="37">
        <f t="shared" si="51"/>
        <v>0</v>
      </c>
      <c r="H310" s="37">
        <f t="shared" si="51"/>
        <v>20</v>
      </c>
      <c r="I310" s="37">
        <f t="shared" si="51"/>
        <v>0</v>
      </c>
      <c r="J310" s="269">
        <f t="shared" si="51"/>
        <v>0</v>
      </c>
      <c r="K310" s="265">
        <f t="shared" si="51"/>
        <v>0</v>
      </c>
      <c r="L310" s="265">
        <f t="shared" si="51"/>
        <v>0</v>
      </c>
      <c r="M310" s="32">
        <f t="shared" si="51"/>
        <v>0</v>
      </c>
      <c r="N310" s="33">
        <f t="shared" si="51"/>
        <v>0</v>
      </c>
    </row>
    <row r="311" spans="1:14" ht="31.5" customHeight="1" hidden="1">
      <c r="A311" s="82" t="s">
        <v>301</v>
      </c>
      <c r="B311" s="23" t="s">
        <v>286</v>
      </c>
      <c r="C311" s="23" t="s">
        <v>11</v>
      </c>
      <c r="D311" s="23" t="s">
        <v>19</v>
      </c>
      <c r="E311" s="23" t="s">
        <v>302</v>
      </c>
      <c r="F311" s="23"/>
      <c r="G311" s="37">
        <f t="shared" si="51"/>
        <v>0</v>
      </c>
      <c r="H311" s="37">
        <f t="shared" si="51"/>
        <v>20</v>
      </c>
      <c r="I311" s="37">
        <f t="shared" si="51"/>
        <v>0</v>
      </c>
      <c r="J311" s="265">
        <f>J312+J313</f>
        <v>0</v>
      </c>
      <c r="K311" s="265">
        <f>K312+K313</f>
        <v>0</v>
      </c>
      <c r="L311" s="265">
        <f>L312+L313</f>
        <v>0</v>
      </c>
      <c r="M311" s="32">
        <f t="shared" si="51"/>
        <v>0</v>
      </c>
      <c r="N311" s="33">
        <f t="shared" si="51"/>
        <v>0</v>
      </c>
    </row>
    <row r="312" spans="1:14" ht="30" customHeight="1" hidden="1">
      <c r="A312" s="82" t="s">
        <v>109</v>
      </c>
      <c r="B312" s="23" t="s">
        <v>286</v>
      </c>
      <c r="C312" s="23" t="s">
        <v>11</v>
      </c>
      <c r="D312" s="23" t="s">
        <v>19</v>
      </c>
      <c r="E312" s="23" t="s">
        <v>302</v>
      </c>
      <c r="F312" s="23" t="s">
        <v>108</v>
      </c>
      <c r="G312" s="37"/>
      <c r="H312" s="37">
        <v>20</v>
      </c>
      <c r="I312" s="37"/>
      <c r="J312" s="269"/>
      <c r="K312" s="265"/>
      <c r="L312" s="265">
        <f>J312+K312</f>
        <v>0</v>
      </c>
      <c r="M312" s="32"/>
      <c r="N312" s="33">
        <f>L312+M312</f>
        <v>0</v>
      </c>
    </row>
    <row r="313" spans="1:14" ht="30" customHeight="1" hidden="1">
      <c r="A313" s="66" t="s">
        <v>163</v>
      </c>
      <c r="B313" s="23" t="s">
        <v>286</v>
      </c>
      <c r="C313" s="23" t="s">
        <v>11</v>
      </c>
      <c r="D313" s="23" t="s">
        <v>19</v>
      </c>
      <c r="E313" s="23" t="s">
        <v>302</v>
      </c>
      <c r="F313" s="23" t="s">
        <v>165</v>
      </c>
      <c r="G313" s="37"/>
      <c r="H313" s="37"/>
      <c r="I313" s="37"/>
      <c r="J313" s="269"/>
      <c r="K313" s="265"/>
      <c r="L313" s="265">
        <f>J313+K313</f>
        <v>0</v>
      </c>
      <c r="M313" s="32"/>
      <c r="N313" s="33"/>
    </row>
    <row r="314" spans="1:14" ht="19.5" customHeight="1">
      <c r="A314" s="81" t="s">
        <v>24</v>
      </c>
      <c r="B314" s="29" t="s">
        <v>286</v>
      </c>
      <c r="C314" s="29" t="s">
        <v>11</v>
      </c>
      <c r="D314" s="29" t="s">
        <v>23</v>
      </c>
      <c r="E314" s="29"/>
      <c r="F314" s="29"/>
      <c r="G314" s="21">
        <f>G326+G315</f>
        <v>0</v>
      </c>
      <c r="H314" s="21">
        <f>H326+H315</f>
        <v>265.4</v>
      </c>
      <c r="I314" s="21">
        <f>I326+I315</f>
        <v>0</v>
      </c>
      <c r="J314" s="264">
        <f>J315+J317+J326+J330+J322</f>
        <v>1354.6</v>
      </c>
      <c r="K314" s="264">
        <f>K315+K317+K326+K330+K322</f>
        <v>89.5</v>
      </c>
      <c r="L314" s="264">
        <f>L315+L317+L326+L330+L322</f>
        <v>1444.1</v>
      </c>
      <c r="M314" s="46">
        <f>M315+M317+M326+M330</f>
        <v>0</v>
      </c>
      <c r="N314" s="46">
        <f>N315+N317+N326+N330</f>
        <v>0</v>
      </c>
    </row>
    <row r="315" spans="1:14" ht="36.75" customHeight="1">
      <c r="A315" s="62" t="s">
        <v>293</v>
      </c>
      <c r="B315" s="23" t="s">
        <v>286</v>
      </c>
      <c r="C315" s="23" t="s">
        <v>11</v>
      </c>
      <c r="D315" s="23" t="s">
        <v>23</v>
      </c>
      <c r="E315" s="23" t="s">
        <v>294</v>
      </c>
      <c r="F315" s="23"/>
      <c r="G315" s="37">
        <f>G318</f>
        <v>195</v>
      </c>
      <c r="H315" s="37">
        <f>H318</f>
        <v>0</v>
      </c>
      <c r="I315" s="37">
        <f>I318</f>
        <v>0</v>
      </c>
      <c r="J315" s="265">
        <f>J316</f>
        <v>54.3</v>
      </c>
      <c r="K315" s="265">
        <f>K316</f>
        <v>0</v>
      </c>
      <c r="L315" s="265">
        <f>L316</f>
        <v>54.3</v>
      </c>
      <c r="M315" s="32"/>
      <c r="N315" s="33"/>
    </row>
    <row r="316" spans="1:14" ht="27.75" customHeight="1">
      <c r="A316" s="71" t="s">
        <v>249</v>
      </c>
      <c r="B316" s="23" t="s">
        <v>286</v>
      </c>
      <c r="C316" s="23" t="s">
        <v>11</v>
      </c>
      <c r="D316" s="23" t="s">
        <v>23</v>
      </c>
      <c r="E316" s="23" t="s">
        <v>294</v>
      </c>
      <c r="F316" s="23" t="s">
        <v>165</v>
      </c>
      <c r="G316" s="37"/>
      <c r="H316" s="37"/>
      <c r="I316" s="37"/>
      <c r="J316" s="269">
        <v>54.3</v>
      </c>
      <c r="K316" s="265"/>
      <c r="L316" s="265">
        <f>J316+K316</f>
        <v>54.3</v>
      </c>
      <c r="M316" s="32"/>
      <c r="N316" s="33"/>
    </row>
    <row r="317" spans="1:14" ht="28.5" customHeight="1">
      <c r="A317" s="62" t="s">
        <v>303</v>
      </c>
      <c r="B317" s="23" t="s">
        <v>286</v>
      </c>
      <c r="C317" s="23" t="s">
        <v>11</v>
      </c>
      <c r="D317" s="23" t="s">
        <v>23</v>
      </c>
      <c r="E317" s="23" t="s">
        <v>304</v>
      </c>
      <c r="F317" s="23"/>
      <c r="G317" s="37"/>
      <c r="H317" s="37"/>
      <c r="I317" s="37"/>
      <c r="J317" s="265">
        <f>J318+J319+J320+J321</f>
        <v>479</v>
      </c>
      <c r="K317" s="265">
        <f>K318+K319+K320+K321</f>
        <v>64.3</v>
      </c>
      <c r="L317" s="265">
        <f>L318+L319+L320+L321</f>
        <v>543.3</v>
      </c>
      <c r="M317" s="32"/>
      <c r="N317" s="33"/>
    </row>
    <row r="318" spans="1:17" ht="28.5" customHeight="1" hidden="1">
      <c r="A318" s="82" t="s">
        <v>111</v>
      </c>
      <c r="B318" s="23" t="s">
        <v>286</v>
      </c>
      <c r="C318" s="23" t="s">
        <v>11</v>
      </c>
      <c r="D318" s="23" t="s">
        <v>23</v>
      </c>
      <c r="E318" s="23" t="s">
        <v>304</v>
      </c>
      <c r="F318" s="23" t="s">
        <v>112</v>
      </c>
      <c r="G318" s="37">
        <v>195</v>
      </c>
      <c r="H318" s="30"/>
      <c r="I318" s="37"/>
      <c r="J318" s="269"/>
      <c r="K318" s="265"/>
      <c r="L318" s="265">
        <f>J318+K318</f>
        <v>0</v>
      </c>
      <c r="M318" s="32"/>
      <c r="N318" s="33"/>
      <c r="O318" s="162"/>
      <c r="Q318" s="95"/>
    </row>
    <row r="319" spans="1:17" ht="14.25" customHeight="1">
      <c r="A319" s="66" t="s">
        <v>169</v>
      </c>
      <c r="B319" s="23" t="s">
        <v>286</v>
      </c>
      <c r="C319" s="23" t="s">
        <v>11</v>
      </c>
      <c r="D319" s="23" t="s">
        <v>23</v>
      </c>
      <c r="E319" s="23" t="s">
        <v>304</v>
      </c>
      <c r="F319" s="23" t="s">
        <v>170</v>
      </c>
      <c r="G319" s="37"/>
      <c r="H319" s="30"/>
      <c r="I319" s="37"/>
      <c r="J319" s="265">
        <f>241.848+82.712+23</f>
        <v>347.56</v>
      </c>
      <c r="K319" s="265">
        <f>34.024+10.276</f>
        <v>44.3</v>
      </c>
      <c r="L319" s="265">
        <f>J319+K319</f>
        <v>391.86</v>
      </c>
      <c r="M319" s="32"/>
      <c r="N319" s="33"/>
      <c r="O319" s="162"/>
      <c r="Q319" s="95"/>
    </row>
    <row r="320" spans="1:17" ht="28.5" customHeight="1">
      <c r="A320" s="66" t="s">
        <v>172</v>
      </c>
      <c r="B320" s="23" t="s">
        <v>286</v>
      </c>
      <c r="C320" s="23" t="s">
        <v>11</v>
      </c>
      <c r="D320" s="23" t="s">
        <v>23</v>
      </c>
      <c r="E320" s="23" t="s">
        <v>304</v>
      </c>
      <c r="F320" s="23" t="s">
        <v>173</v>
      </c>
      <c r="G320" s="37"/>
      <c r="H320" s="30"/>
      <c r="I320" s="37"/>
      <c r="J320" s="265">
        <v>1</v>
      </c>
      <c r="K320" s="265"/>
      <c r="L320" s="265">
        <f>J320+K320</f>
        <v>1</v>
      </c>
      <c r="M320" s="32"/>
      <c r="N320" s="33"/>
      <c r="O320" s="162"/>
      <c r="Q320" s="95"/>
    </row>
    <row r="321" spans="1:17" ht="28.5" customHeight="1">
      <c r="A321" s="66" t="s">
        <v>163</v>
      </c>
      <c r="B321" s="23" t="s">
        <v>286</v>
      </c>
      <c r="C321" s="23" t="s">
        <v>11</v>
      </c>
      <c r="D321" s="23" t="s">
        <v>23</v>
      </c>
      <c r="E321" s="23" t="s">
        <v>304</v>
      </c>
      <c r="F321" s="23" t="s">
        <v>165</v>
      </c>
      <c r="G321" s="37"/>
      <c r="H321" s="30"/>
      <c r="I321" s="37"/>
      <c r="J321" s="265">
        <f>3.5+2.995+0.06+117.385+6.5</f>
        <v>130.44</v>
      </c>
      <c r="K321" s="265">
        <v>20</v>
      </c>
      <c r="L321" s="265">
        <f>J321+K321</f>
        <v>150.44</v>
      </c>
      <c r="M321" s="32"/>
      <c r="N321" s="33"/>
      <c r="O321" s="162"/>
      <c r="Q321" s="95"/>
    </row>
    <row r="322" spans="1:17" ht="76.5">
      <c r="A322" s="86" t="s">
        <v>223</v>
      </c>
      <c r="B322" s="73" t="s">
        <v>286</v>
      </c>
      <c r="C322" s="73" t="s">
        <v>11</v>
      </c>
      <c r="D322" s="73" t="s">
        <v>23</v>
      </c>
      <c r="E322" s="73" t="s">
        <v>224</v>
      </c>
      <c r="F322" s="23"/>
      <c r="G322" s="37"/>
      <c r="H322" s="30"/>
      <c r="I322" s="37"/>
      <c r="J322" s="265">
        <f>J323+J324+J325</f>
        <v>187.1</v>
      </c>
      <c r="K322" s="265">
        <f>K323+K324+K325</f>
        <v>25.2</v>
      </c>
      <c r="L322" s="265">
        <f>L323+L324+L325</f>
        <v>212.3</v>
      </c>
      <c r="M322" s="32"/>
      <c r="N322" s="33"/>
      <c r="O322" s="162"/>
      <c r="Q322" s="95"/>
    </row>
    <row r="323" spans="1:17" ht="25.5" hidden="1">
      <c r="A323" s="66" t="s">
        <v>169</v>
      </c>
      <c r="B323" s="73" t="s">
        <v>286</v>
      </c>
      <c r="C323" s="73" t="s">
        <v>11</v>
      </c>
      <c r="D323" s="73" t="s">
        <v>23</v>
      </c>
      <c r="E323" s="73" t="s">
        <v>224</v>
      </c>
      <c r="F323" s="23" t="s">
        <v>170</v>
      </c>
      <c r="G323" s="37"/>
      <c r="H323" s="30"/>
      <c r="I323" s="37"/>
      <c r="J323" s="265"/>
      <c r="K323" s="265"/>
      <c r="L323" s="265">
        <f>J323+K323</f>
        <v>0</v>
      </c>
      <c r="M323" s="32"/>
      <c r="N323" s="33"/>
      <c r="O323" s="162"/>
      <c r="Q323" s="95"/>
    </row>
    <row r="324" spans="1:17" ht="51">
      <c r="A324" s="66" t="s">
        <v>176</v>
      </c>
      <c r="B324" s="23" t="s">
        <v>286</v>
      </c>
      <c r="C324" s="23" t="s">
        <v>11</v>
      </c>
      <c r="D324" s="23" t="s">
        <v>23</v>
      </c>
      <c r="E324" s="23" t="s">
        <v>516</v>
      </c>
      <c r="F324" s="23" t="s">
        <v>177</v>
      </c>
      <c r="G324" s="37"/>
      <c r="H324" s="30"/>
      <c r="I324" s="37"/>
      <c r="J324" s="265">
        <v>82.3</v>
      </c>
      <c r="K324" s="265"/>
      <c r="L324" s="265">
        <f>J324+K324</f>
        <v>82.3</v>
      </c>
      <c r="M324" s="32"/>
      <c r="N324" s="33"/>
      <c r="O324" s="162"/>
      <c r="Q324" s="95"/>
    </row>
    <row r="325" spans="1:17" ht="38.25">
      <c r="A325" s="66" t="s">
        <v>163</v>
      </c>
      <c r="B325" s="23" t="s">
        <v>286</v>
      </c>
      <c r="C325" s="23" t="s">
        <v>11</v>
      </c>
      <c r="D325" s="23" t="s">
        <v>23</v>
      </c>
      <c r="E325" s="23" t="s">
        <v>516</v>
      </c>
      <c r="F325" s="23" t="s">
        <v>165</v>
      </c>
      <c r="G325" s="37"/>
      <c r="H325" s="30"/>
      <c r="I325" s="37"/>
      <c r="J325" s="265">
        <v>104.8</v>
      </c>
      <c r="K325" s="265">
        <v>25.2</v>
      </c>
      <c r="L325" s="265">
        <f>J325+K325</f>
        <v>130</v>
      </c>
      <c r="M325" s="32"/>
      <c r="N325" s="33"/>
      <c r="O325" s="162"/>
      <c r="Q325" s="95"/>
    </row>
    <row r="326" spans="1:14" ht="43.5" customHeight="1">
      <c r="A326" s="82" t="s">
        <v>305</v>
      </c>
      <c r="B326" s="23" t="s">
        <v>286</v>
      </c>
      <c r="C326" s="23" t="s">
        <v>11</v>
      </c>
      <c r="D326" s="23" t="s">
        <v>23</v>
      </c>
      <c r="E326" s="23" t="s">
        <v>306</v>
      </c>
      <c r="F326" s="23"/>
      <c r="G326" s="37">
        <f aca="true" t="shared" si="52" ref="G326:L327">G327</f>
        <v>-195</v>
      </c>
      <c r="H326" s="37">
        <f t="shared" si="52"/>
        <v>265.4</v>
      </c>
      <c r="I326" s="37">
        <f t="shared" si="52"/>
        <v>0</v>
      </c>
      <c r="J326" s="269">
        <f t="shared" si="52"/>
        <v>134.2</v>
      </c>
      <c r="K326" s="265">
        <f>K327</f>
        <v>0</v>
      </c>
      <c r="L326" s="265">
        <f t="shared" si="52"/>
        <v>134.2</v>
      </c>
      <c r="M326" s="32"/>
      <c r="N326" s="33"/>
    </row>
    <row r="327" spans="1:14" ht="27.75" customHeight="1">
      <c r="A327" s="82" t="s">
        <v>113</v>
      </c>
      <c r="B327" s="23" t="s">
        <v>286</v>
      </c>
      <c r="C327" s="23" t="s">
        <v>11</v>
      </c>
      <c r="D327" s="23" t="s">
        <v>23</v>
      </c>
      <c r="E327" s="23" t="s">
        <v>307</v>
      </c>
      <c r="F327" s="23"/>
      <c r="G327" s="37">
        <f t="shared" si="52"/>
        <v>-195</v>
      </c>
      <c r="H327" s="37">
        <f t="shared" si="52"/>
        <v>265.4</v>
      </c>
      <c r="I327" s="37">
        <f t="shared" si="52"/>
        <v>0</v>
      </c>
      <c r="J327" s="265">
        <f>J328+J329</f>
        <v>134.2</v>
      </c>
      <c r="K327" s="265">
        <f>K328+K329</f>
        <v>0</v>
      </c>
      <c r="L327" s="265">
        <f>L328+L329</f>
        <v>134.2</v>
      </c>
      <c r="M327" s="32"/>
      <c r="N327" s="33"/>
    </row>
    <row r="328" spans="1:14" ht="27.75" customHeight="1" hidden="1">
      <c r="A328" s="82" t="s">
        <v>111</v>
      </c>
      <c r="B328" s="23" t="s">
        <v>286</v>
      </c>
      <c r="C328" s="23" t="s">
        <v>11</v>
      </c>
      <c r="D328" s="23" t="s">
        <v>23</v>
      </c>
      <c r="E328" s="23" t="s">
        <v>307</v>
      </c>
      <c r="F328" s="23" t="s">
        <v>112</v>
      </c>
      <c r="G328" s="37">
        <v>-195</v>
      </c>
      <c r="H328" s="37">
        <f>204.4+61</f>
        <v>265.4</v>
      </c>
      <c r="I328" s="37"/>
      <c r="J328" s="269"/>
      <c r="K328" s="265"/>
      <c r="L328" s="265">
        <f>J328+K328</f>
        <v>0</v>
      </c>
      <c r="M328" s="32"/>
      <c r="N328" s="33"/>
    </row>
    <row r="329" spans="1:15" ht="27" customHeight="1">
      <c r="A329" s="66" t="s">
        <v>163</v>
      </c>
      <c r="B329" s="23" t="s">
        <v>286</v>
      </c>
      <c r="C329" s="23" t="s">
        <v>11</v>
      </c>
      <c r="D329" s="23" t="s">
        <v>23</v>
      </c>
      <c r="E329" s="23" t="s">
        <v>307</v>
      </c>
      <c r="F329" s="23" t="s">
        <v>165</v>
      </c>
      <c r="G329" s="37"/>
      <c r="H329" s="37"/>
      <c r="I329" s="37"/>
      <c r="J329" s="269">
        <v>134.2</v>
      </c>
      <c r="K329" s="265"/>
      <c r="L329" s="265">
        <f>J329+K329</f>
        <v>134.2</v>
      </c>
      <c r="M329" s="32"/>
      <c r="N329" s="33"/>
      <c r="O329" s="166"/>
    </row>
    <row r="330" spans="1:15" ht="27" customHeight="1">
      <c r="A330" s="98" t="s">
        <v>308</v>
      </c>
      <c r="B330" s="23" t="s">
        <v>286</v>
      </c>
      <c r="C330" s="23" t="s">
        <v>11</v>
      </c>
      <c r="D330" s="23" t="s">
        <v>23</v>
      </c>
      <c r="E330" s="23" t="s">
        <v>309</v>
      </c>
      <c r="F330" s="23"/>
      <c r="G330" s="37"/>
      <c r="H330" s="37"/>
      <c r="I330" s="37"/>
      <c r="J330" s="269">
        <f>J331</f>
        <v>500</v>
      </c>
      <c r="K330" s="269">
        <f>K331</f>
        <v>0</v>
      </c>
      <c r="L330" s="269">
        <f>L331</f>
        <v>500</v>
      </c>
      <c r="M330" s="99">
        <f>M331</f>
        <v>0</v>
      </c>
      <c r="N330" s="99">
        <f>N331</f>
        <v>0</v>
      </c>
      <c r="O330" s="166"/>
    </row>
    <row r="331" spans="1:15" ht="27" customHeight="1">
      <c r="A331" s="66" t="s">
        <v>163</v>
      </c>
      <c r="B331" s="23" t="s">
        <v>286</v>
      </c>
      <c r="C331" s="23" t="s">
        <v>11</v>
      </c>
      <c r="D331" s="23" t="s">
        <v>23</v>
      </c>
      <c r="E331" s="23" t="s">
        <v>309</v>
      </c>
      <c r="F331" s="23" t="s">
        <v>165</v>
      </c>
      <c r="G331" s="37"/>
      <c r="H331" s="37"/>
      <c r="I331" s="37"/>
      <c r="J331" s="269">
        <v>500</v>
      </c>
      <c r="K331" s="265"/>
      <c r="L331" s="265">
        <f>J331+K331</f>
        <v>500</v>
      </c>
      <c r="M331" s="32"/>
      <c r="N331" s="33"/>
      <c r="O331" s="166"/>
    </row>
    <row r="332" spans="1:14" s="173" customFormat="1" ht="25.5">
      <c r="A332" s="81" t="s">
        <v>29</v>
      </c>
      <c r="B332" s="29" t="s">
        <v>286</v>
      </c>
      <c r="C332" s="29" t="s">
        <v>13</v>
      </c>
      <c r="D332" s="29"/>
      <c r="E332" s="29"/>
      <c r="F332" s="29"/>
      <c r="G332" s="21">
        <f aca="true" t="shared" si="53" ref="G332:N335">G333</f>
        <v>0</v>
      </c>
      <c r="H332" s="21">
        <f t="shared" si="53"/>
        <v>57.6</v>
      </c>
      <c r="I332" s="21">
        <f t="shared" si="53"/>
        <v>0</v>
      </c>
      <c r="J332" s="268">
        <f>J333+J339</f>
        <v>110</v>
      </c>
      <c r="K332" s="268">
        <f>K333+K339</f>
        <v>371.8</v>
      </c>
      <c r="L332" s="268">
        <f>L333+L339</f>
        <v>481.8</v>
      </c>
      <c r="M332" s="100">
        <f>M333+M339</f>
        <v>0</v>
      </c>
      <c r="N332" s="100">
        <f>N333+N339</f>
        <v>0</v>
      </c>
    </row>
    <row r="333" spans="1:14" s="147" customFormat="1" ht="51">
      <c r="A333" s="81" t="s">
        <v>310</v>
      </c>
      <c r="B333" s="29" t="s">
        <v>286</v>
      </c>
      <c r="C333" s="29" t="s">
        <v>13</v>
      </c>
      <c r="D333" s="29" t="s">
        <v>33</v>
      </c>
      <c r="E333" s="29"/>
      <c r="F333" s="29"/>
      <c r="G333" s="21">
        <f t="shared" si="53"/>
        <v>0</v>
      </c>
      <c r="H333" s="21">
        <f t="shared" si="53"/>
        <v>57.6</v>
      </c>
      <c r="I333" s="21">
        <f t="shared" si="53"/>
        <v>0</v>
      </c>
      <c r="J333" s="268">
        <f t="shared" si="53"/>
        <v>85</v>
      </c>
      <c r="K333" s="264">
        <f>K334</f>
        <v>352.8</v>
      </c>
      <c r="L333" s="264">
        <f t="shared" si="53"/>
        <v>437.8</v>
      </c>
      <c r="M333" s="46">
        <f t="shared" si="53"/>
        <v>0</v>
      </c>
      <c r="N333" s="63">
        <f t="shared" si="53"/>
        <v>0</v>
      </c>
    </row>
    <row r="334" spans="1:14" ht="39">
      <c r="A334" s="82" t="s">
        <v>311</v>
      </c>
      <c r="B334" s="23" t="s">
        <v>286</v>
      </c>
      <c r="C334" s="23" t="s">
        <v>13</v>
      </c>
      <c r="D334" s="23" t="s">
        <v>33</v>
      </c>
      <c r="E334" s="23" t="s">
        <v>312</v>
      </c>
      <c r="F334" s="23"/>
      <c r="G334" s="37">
        <f t="shared" si="53"/>
        <v>0</v>
      </c>
      <c r="H334" s="37">
        <f t="shared" si="53"/>
        <v>57.6</v>
      </c>
      <c r="I334" s="37">
        <f t="shared" si="53"/>
        <v>0</v>
      </c>
      <c r="J334" s="269">
        <f t="shared" si="53"/>
        <v>85</v>
      </c>
      <c r="K334" s="265">
        <f>K335</f>
        <v>352.8</v>
      </c>
      <c r="L334" s="265">
        <f t="shared" si="53"/>
        <v>437.8</v>
      </c>
      <c r="M334" s="32">
        <f t="shared" si="53"/>
        <v>0</v>
      </c>
      <c r="N334" s="33">
        <f t="shared" si="53"/>
        <v>0</v>
      </c>
    </row>
    <row r="335" spans="1:14" ht="51.75">
      <c r="A335" s="82" t="s">
        <v>313</v>
      </c>
      <c r="B335" s="23" t="s">
        <v>286</v>
      </c>
      <c r="C335" s="23" t="s">
        <v>13</v>
      </c>
      <c r="D335" s="23" t="s">
        <v>33</v>
      </c>
      <c r="E335" s="23" t="s">
        <v>314</v>
      </c>
      <c r="F335" s="23"/>
      <c r="G335" s="37">
        <f t="shared" si="53"/>
        <v>0</v>
      </c>
      <c r="H335" s="37">
        <f t="shared" si="53"/>
        <v>57.6</v>
      </c>
      <c r="I335" s="37">
        <f t="shared" si="53"/>
        <v>0</v>
      </c>
      <c r="J335" s="265">
        <f>J336+J337+J338</f>
        <v>85</v>
      </c>
      <c r="K335" s="265">
        <f>K336+K337+K338</f>
        <v>352.8</v>
      </c>
      <c r="L335" s="265">
        <f>L336+L337+L338</f>
        <v>437.8</v>
      </c>
      <c r="M335" s="253">
        <f>M336+M337+M338</f>
        <v>0</v>
      </c>
      <c r="N335" s="253">
        <f>N336+N337+N338</f>
        <v>0</v>
      </c>
    </row>
    <row r="336" spans="1:14" ht="51.75" hidden="1">
      <c r="A336" s="82" t="s">
        <v>315</v>
      </c>
      <c r="B336" s="23" t="s">
        <v>286</v>
      </c>
      <c r="C336" s="23" t="s">
        <v>13</v>
      </c>
      <c r="D336" s="23" t="s">
        <v>33</v>
      </c>
      <c r="E336" s="23" t="s">
        <v>314</v>
      </c>
      <c r="F336" s="23" t="s">
        <v>316</v>
      </c>
      <c r="G336" s="37"/>
      <c r="H336" s="37">
        <v>57.6</v>
      </c>
      <c r="I336" s="37"/>
      <c r="J336" s="269"/>
      <c r="K336" s="265"/>
      <c r="L336" s="265">
        <f>J336+K336</f>
        <v>0</v>
      </c>
      <c r="M336" s="32"/>
      <c r="N336" s="33">
        <f>L336+M336</f>
        <v>0</v>
      </c>
    </row>
    <row r="337" spans="1:14" ht="24.75" customHeight="1">
      <c r="A337" s="66" t="s">
        <v>163</v>
      </c>
      <c r="B337" s="23" t="s">
        <v>286</v>
      </c>
      <c r="C337" s="23" t="s">
        <v>13</v>
      </c>
      <c r="D337" s="23" t="s">
        <v>33</v>
      </c>
      <c r="E337" s="23" t="s">
        <v>314</v>
      </c>
      <c r="F337" s="23" t="s">
        <v>165</v>
      </c>
      <c r="G337" s="37"/>
      <c r="H337" s="37"/>
      <c r="I337" s="37"/>
      <c r="J337" s="269">
        <v>85</v>
      </c>
      <c r="K337" s="265">
        <f>50-50</f>
        <v>0</v>
      </c>
      <c r="L337" s="265">
        <f>J337+K337</f>
        <v>85</v>
      </c>
      <c r="M337" s="32"/>
      <c r="N337" s="33"/>
    </row>
    <row r="338" spans="1:14" ht="24.75" customHeight="1">
      <c r="A338" s="66" t="s">
        <v>529</v>
      </c>
      <c r="B338" s="23" t="s">
        <v>286</v>
      </c>
      <c r="C338" s="23" t="s">
        <v>13</v>
      </c>
      <c r="D338" s="23" t="s">
        <v>33</v>
      </c>
      <c r="E338" s="23" t="s">
        <v>314</v>
      </c>
      <c r="F338" s="23" t="s">
        <v>524</v>
      </c>
      <c r="G338" s="37"/>
      <c r="H338" s="37"/>
      <c r="I338" s="37"/>
      <c r="J338" s="269"/>
      <c r="K338" s="265">
        <v>352.8</v>
      </c>
      <c r="L338" s="265">
        <f>J338+K338</f>
        <v>352.8</v>
      </c>
      <c r="M338" s="32"/>
      <c r="N338" s="38"/>
    </row>
    <row r="339" spans="1:14" s="147" customFormat="1" ht="38.25">
      <c r="A339" s="101" t="s">
        <v>34</v>
      </c>
      <c r="B339" s="29" t="s">
        <v>286</v>
      </c>
      <c r="C339" s="29" t="s">
        <v>13</v>
      </c>
      <c r="D339" s="29" t="s">
        <v>25</v>
      </c>
      <c r="E339" s="29"/>
      <c r="F339" s="29"/>
      <c r="G339" s="21"/>
      <c r="H339" s="21"/>
      <c r="I339" s="21"/>
      <c r="J339" s="268">
        <f>J342+J340</f>
        <v>25</v>
      </c>
      <c r="K339" s="268">
        <f>K342+K340</f>
        <v>19</v>
      </c>
      <c r="L339" s="268">
        <f>L342+L340</f>
        <v>44</v>
      </c>
      <c r="M339" s="102">
        <f>M343+M345</f>
        <v>0</v>
      </c>
      <c r="N339" s="102">
        <f>N343+N345</f>
        <v>0</v>
      </c>
    </row>
    <row r="340" spans="1:14" ht="51.75">
      <c r="A340" s="259" t="s">
        <v>535</v>
      </c>
      <c r="B340" s="23" t="s">
        <v>286</v>
      </c>
      <c r="C340" s="23" t="s">
        <v>13</v>
      </c>
      <c r="D340" s="23" t="s">
        <v>25</v>
      </c>
      <c r="E340" s="23" t="s">
        <v>534</v>
      </c>
      <c r="F340" s="23"/>
      <c r="G340" s="37"/>
      <c r="H340" s="37"/>
      <c r="I340" s="37"/>
      <c r="J340" s="269">
        <f>J341</f>
        <v>0</v>
      </c>
      <c r="K340" s="269">
        <f>K341</f>
        <v>17.1</v>
      </c>
      <c r="L340" s="269">
        <f>L341</f>
        <v>17.1</v>
      </c>
      <c r="M340" s="258">
        <f>M341</f>
        <v>0</v>
      </c>
      <c r="N340" s="258">
        <f>N341</f>
        <v>0</v>
      </c>
    </row>
    <row r="341" spans="1:14" ht="15">
      <c r="A341" s="66" t="s">
        <v>529</v>
      </c>
      <c r="B341" s="23" t="s">
        <v>286</v>
      </c>
      <c r="C341" s="23" t="s">
        <v>13</v>
      </c>
      <c r="D341" s="23" t="s">
        <v>25</v>
      </c>
      <c r="E341" s="23" t="s">
        <v>534</v>
      </c>
      <c r="F341" s="23" t="s">
        <v>524</v>
      </c>
      <c r="G341" s="37"/>
      <c r="H341" s="37"/>
      <c r="I341" s="37"/>
      <c r="J341" s="269"/>
      <c r="K341" s="269">
        <v>17.1</v>
      </c>
      <c r="L341" s="269">
        <f>J341+K341</f>
        <v>17.1</v>
      </c>
      <c r="M341" s="99"/>
      <c r="N341" s="99"/>
    </row>
    <row r="342" spans="1:14" s="147" customFormat="1" ht="14.25">
      <c r="A342" s="82" t="s">
        <v>347</v>
      </c>
      <c r="B342" s="23" t="s">
        <v>286</v>
      </c>
      <c r="C342" s="23" t="s">
        <v>13</v>
      </c>
      <c r="D342" s="23" t="s">
        <v>25</v>
      </c>
      <c r="E342" s="23" t="s">
        <v>276</v>
      </c>
      <c r="F342" s="23"/>
      <c r="G342" s="37"/>
      <c r="H342" s="37"/>
      <c r="I342" s="37"/>
      <c r="J342" s="269">
        <f>J343+J345</f>
        <v>25</v>
      </c>
      <c r="K342" s="269">
        <f>K343+K345</f>
        <v>1.9</v>
      </c>
      <c r="L342" s="269">
        <f>L343+L345</f>
        <v>26.9</v>
      </c>
      <c r="M342" s="102"/>
      <c r="N342" s="102"/>
    </row>
    <row r="343" spans="1:14" ht="63.75">
      <c r="A343" s="98" t="s">
        <v>317</v>
      </c>
      <c r="B343" s="23" t="s">
        <v>286</v>
      </c>
      <c r="C343" s="23" t="s">
        <v>13</v>
      </c>
      <c r="D343" s="23" t="s">
        <v>25</v>
      </c>
      <c r="E343" s="23" t="s">
        <v>318</v>
      </c>
      <c r="F343" s="23"/>
      <c r="G343" s="37"/>
      <c r="H343" s="37"/>
      <c r="I343" s="37"/>
      <c r="J343" s="269">
        <f>J344</f>
        <v>15</v>
      </c>
      <c r="K343" s="269">
        <f>K344</f>
        <v>0</v>
      </c>
      <c r="L343" s="269">
        <f>L344</f>
        <v>15</v>
      </c>
      <c r="M343" s="99">
        <f>M344</f>
        <v>0</v>
      </c>
      <c r="N343" s="99">
        <f>N344</f>
        <v>0</v>
      </c>
    </row>
    <row r="344" spans="1:14" ht="24.75" customHeight="1">
      <c r="A344" s="66" t="s">
        <v>163</v>
      </c>
      <c r="B344" s="23" t="s">
        <v>286</v>
      </c>
      <c r="C344" s="23" t="s">
        <v>13</v>
      </c>
      <c r="D344" s="23" t="s">
        <v>25</v>
      </c>
      <c r="E344" s="23" t="s">
        <v>318</v>
      </c>
      <c r="F344" s="23" t="s">
        <v>165</v>
      </c>
      <c r="G344" s="37"/>
      <c r="H344" s="37"/>
      <c r="I344" s="37"/>
      <c r="J344" s="269">
        <v>15</v>
      </c>
      <c r="K344" s="269"/>
      <c r="L344" s="269">
        <f>J344+K344</f>
        <v>15</v>
      </c>
      <c r="M344" s="99"/>
      <c r="N344" s="99"/>
    </row>
    <row r="345" spans="1:14" ht="38.25">
      <c r="A345" s="66" t="s">
        <v>319</v>
      </c>
      <c r="B345" s="23" t="s">
        <v>286</v>
      </c>
      <c r="C345" s="23" t="s">
        <v>13</v>
      </c>
      <c r="D345" s="23" t="s">
        <v>25</v>
      </c>
      <c r="E345" s="23" t="s">
        <v>320</v>
      </c>
      <c r="F345" s="23"/>
      <c r="G345" s="37"/>
      <c r="H345" s="37"/>
      <c r="I345" s="37"/>
      <c r="J345" s="269">
        <f>J346+J347</f>
        <v>10</v>
      </c>
      <c r="K345" s="269">
        <f>K346+K347</f>
        <v>1.9</v>
      </c>
      <c r="L345" s="269">
        <f>L346+L347</f>
        <v>11.9</v>
      </c>
      <c r="M345" s="99">
        <f>M346</f>
        <v>0</v>
      </c>
      <c r="N345" s="99">
        <f>N346</f>
        <v>0</v>
      </c>
    </row>
    <row r="346" spans="1:14" ht="38.25">
      <c r="A346" s="66" t="s">
        <v>163</v>
      </c>
      <c r="B346" s="23" t="s">
        <v>286</v>
      </c>
      <c r="C346" s="23" t="s">
        <v>13</v>
      </c>
      <c r="D346" s="23" t="s">
        <v>25</v>
      </c>
      <c r="E346" s="23" t="s">
        <v>320</v>
      </c>
      <c r="F346" s="23" t="s">
        <v>165</v>
      </c>
      <c r="G346" s="37"/>
      <c r="H346" s="37"/>
      <c r="I346" s="37"/>
      <c r="J346" s="269">
        <v>10</v>
      </c>
      <c r="K346" s="265"/>
      <c r="L346" s="265">
        <f>J346+K346</f>
        <v>10</v>
      </c>
      <c r="M346" s="32"/>
      <c r="N346" s="33"/>
    </row>
    <row r="347" spans="1:14" ht="15">
      <c r="A347" s="66" t="s">
        <v>529</v>
      </c>
      <c r="B347" s="23" t="s">
        <v>286</v>
      </c>
      <c r="C347" s="23" t="s">
        <v>13</v>
      </c>
      <c r="D347" s="23" t="s">
        <v>25</v>
      </c>
      <c r="E347" s="23" t="s">
        <v>320</v>
      </c>
      <c r="F347" s="23" t="s">
        <v>524</v>
      </c>
      <c r="G347" s="37"/>
      <c r="H347" s="37"/>
      <c r="I347" s="37"/>
      <c r="J347" s="269"/>
      <c r="K347" s="265">
        <v>1.9</v>
      </c>
      <c r="L347" s="265">
        <f>J347+K347</f>
        <v>1.9</v>
      </c>
      <c r="M347" s="32"/>
      <c r="N347" s="33"/>
    </row>
    <row r="348" spans="1:14" s="173" customFormat="1" ht="14.25">
      <c r="A348" s="81" t="s">
        <v>35</v>
      </c>
      <c r="B348" s="29" t="s">
        <v>286</v>
      </c>
      <c r="C348" s="29" t="s">
        <v>14</v>
      </c>
      <c r="D348" s="29"/>
      <c r="E348" s="29"/>
      <c r="F348" s="29"/>
      <c r="G348" s="21" t="e">
        <f>G349+G354+#REF!</f>
        <v>#REF!</v>
      </c>
      <c r="H348" s="25" t="e">
        <f>H349+H354+#REF!+#REF!</f>
        <v>#REF!</v>
      </c>
      <c r="I348" s="25" t="e">
        <f>I349+I354+#REF!+#REF!</f>
        <v>#REF!</v>
      </c>
      <c r="J348" s="268">
        <f>J349+J354</f>
        <v>7412.177</v>
      </c>
      <c r="K348" s="268">
        <f>K349+K354</f>
        <v>0</v>
      </c>
      <c r="L348" s="268">
        <f>L349+L354</f>
        <v>7412.177000000001</v>
      </c>
      <c r="M348" s="35" t="e">
        <f>M349+M354+#REF!+#REF!</f>
        <v>#REF!</v>
      </c>
      <c r="N348" s="36" t="e">
        <f>N349+N354+#REF!+#REF!</f>
        <v>#REF!</v>
      </c>
    </row>
    <row r="349" spans="1:14" s="147" customFormat="1" ht="14.25">
      <c r="A349" s="81" t="s">
        <v>38</v>
      </c>
      <c r="B349" s="29" t="s">
        <v>286</v>
      </c>
      <c r="C349" s="29" t="s">
        <v>14</v>
      </c>
      <c r="D349" s="29" t="s">
        <v>16</v>
      </c>
      <c r="E349" s="29"/>
      <c r="F349" s="29"/>
      <c r="G349" s="21">
        <f>G351</f>
        <v>0</v>
      </c>
      <c r="H349" s="21">
        <f>H351</f>
        <v>167.68</v>
      </c>
      <c r="I349" s="21">
        <f>I351</f>
        <v>0</v>
      </c>
      <c r="J349" s="268">
        <f aca="true" t="shared" si="54" ref="J349:L350">J350</f>
        <v>445</v>
      </c>
      <c r="K349" s="268">
        <f t="shared" si="54"/>
        <v>0</v>
      </c>
      <c r="L349" s="268">
        <f t="shared" si="54"/>
        <v>445</v>
      </c>
      <c r="M349" s="46">
        <f>M351</f>
        <v>0</v>
      </c>
      <c r="N349" s="63">
        <f>N351</f>
        <v>0</v>
      </c>
    </row>
    <row r="350" spans="1:14" ht="15">
      <c r="A350" s="82" t="s">
        <v>347</v>
      </c>
      <c r="B350" s="23" t="s">
        <v>286</v>
      </c>
      <c r="C350" s="23" t="s">
        <v>14</v>
      </c>
      <c r="D350" s="23" t="s">
        <v>16</v>
      </c>
      <c r="E350" s="23" t="s">
        <v>276</v>
      </c>
      <c r="F350" s="23"/>
      <c r="G350" s="37"/>
      <c r="H350" s="37"/>
      <c r="I350" s="37"/>
      <c r="J350" s="269">
        <f t="shared" si="54"/>
        <v>445</v>
      </c>
      <c r="K350" s="269">
        <f t="shared" si="54"/>
        <v>0</v>
      </c>
      <c r="L350" s="269">
        <f t="shared" si="54"/>
        <v>445</v>
      </c>
      <c r="M350" s="32"/>
      <c r="N350" s="33"/>
    </row>
    <row r="351" spans="1:14" ht="39">
      <c r="A351" s="82" t="s">
        <v>321</v>
      </c>
      <c r="B351" s="23" t="s">
        <v>286</v>
      </c>
      <c r="C351" s="23" t="s">
        <v>14</v>
      </c>
      <c r="D351" s="23" t="s">
        <v>16</v>
      </c>
      <c r="E351" s="23" t="s">
        <v>322</v>
      </c>
      <c r="F351" s="23"/>
      <c r="G351" s="37">
        <f aca="true" t="shared" si="55" ref="G351:N351">G352</f>
        <v>0</v>
      </c>
      <c r="H351" s="37">
        <f t="shared" si="55"/>
        <v>167.68</v>
      </c>
      <c r="I351" s="37">
        <f t="shared" si="55"/>
        <v>0</v>
      </c>
      <c r="J351" s="265">
        <f>J352+J353</f>
        <v>445</v>
      </c>
      <c r="K351" s="265">
        <f>K352+K353</f>
        <v>0</v>
      </c>
      <c r="L351" s="265">
        <f>L352+L353</f>
        <v>445</v>
      </c>
      <c r="M351" s="32">
        <f t="shared" si="55"/>
        <v>0</v>
      </c>
      <c r="N351" s="33">
        <f t="shared" si="55"/>
        <v>0</v>
      </c>
    </row>
    <row r="352" spans="1:14" ht="30.75" customHeight="1" hidden="1">
      <c r="A352" s="82" t="s">
        <v>323</v>
      </c>
      <c r="B352" s="23" t="s">
        <v>286</v>
      </c>
      <c r="C352" s="23" t="s">
        <v>14</v>
      </c>
      <c r="D352" s="23" t="s">
        <v>16</v>
      </c>
      <c r="E352" s="23" t="s">
        <v>322</v>
      </c>
      <c r="F352" s="23" t="s">
        <v>324</v>
      </c>
      <c r="G352" s="37"/>
      <c r="H352" s="30">
        <v>167.68</v>
      </c>
      <c r="I352" s="37"/>
      <c r="J352" s="269"/>
      <c r="K352" s="265"/>
      <c r="L352" s="265">
        <f>J352+K352</f>
        <v>0</v>
      </c>
      <c r="M352" s="32"/>
      <c r="N352" s="33">
        <f>L352+M352</f>
        <v>0</v>
      </c>
    </row>
    <row r="353" spans="1:14" ht="30" customHeight="1">
      <c r="A353" s="66" t="s">
        <v>163</v>
      </c>
      <c r="B353" s="23" t="s">
        <v>286</v>
      </c>
      <c r="C353" s="23" t="s">
        <v>14</v>
      </c>
      <c r="D353" s="23" t="s">
        <v>16</v>
      </c>
      <c r="E353" s="23" t="s">
        <v>322</v>
      </c>
      <c r="F353" s="23" t="s">
        <v>165</v>
      </c>
      <c r="G353" s="37"/>
      <c r="H353" s="30"/>
      <c r="I353" s="37"/>
      <c r="J353" s="269">
        <v>445</v>
      </c>
      <c r="K353" s="265"/>
      <c r="L353" s="265">
        <f>J353+K353</f>
        <v>445</v>
      </c>
      <c r="M353" s="32"/>
      <c r="N353" s="33"/>
    </row>
    <row r="354" spans="1:14" s="147" customFormat="1" ht="25.5">
      <c r="A354" s="82" t="s">
        <v>325</v>
      </c>
      <c r="B354" s="29" t="s">
        <v>286</v>
      </c>
      <c r="C354" s="29" t="s">
        <v>14</v>
      </c>
      <c r="D354" s="29" t="s">
        <v>22</v>
      </c>
      <c r="E354" s="29"/>
      <c r="F354" s="29"/>
      <c r="G354" s="21" t="e">
        <f>G355+G360+#REF!</f>
        <v>#REF!</v>
      </c>
      <c r="H354" s="21" t="e">
        <f>H355+H360+#REF!</f>
        <v>#REF!</v>
      </c>
      <c r="I354" s="21" t="e">
        <f>I355+I360+#REF!</f>
        <v>#REF!</v>
      </c>
      <c r="J354" s="268">
        <f>J355+J360+J358+J367</f>
        <v>6967.177</v>
      </c>
      <c r="K354" s="268">
        <f>K355+K360+K358+K367</f>
        <v>0</v>
      </c>
      <c r="L354" s="268">
        <f>L355+L360+L358+L367</f>
        <v>6967.177000000001</v>
      </c>
      <c r="M354" s="102" t="e">
        <f>M355+M360+#REF!+M358</f>
        <v>#REF!</v>
      </c>
      <c r="N354" s="102" t="e">
        <f>N355+N360+#REF!+N358</f>
        <v>#REF!</v>
      </c>
    </row>
    <row r="355" spans="1:14" ht="26.25">
      <c r="A355" s="82" t="s">
        <v>330</v>
      </c>
      <c r="B355" s="23" t="s">
        <v>286</v>
      </c>
      <c r="C355" s="23" t="s">
        <v>14</v>
      </c>
      <c r="D355" s="23" t="s">
        <v>22</v>
      </c>
      <c r="E355" s="23" t="s">
        <v>331</v>
      </c>
      <c r="F355" s="23"/>
      <c r="G355" s="31">
        <f aca="true" t="shared" si="56" ref="G355:L355">G356+G357</f>
        <v>2750</v>
      </c>
      <c r="H355" s="31">
        <f t="shared" si="56"/>
        <v>1620.1</v>
      </c>
      <c r="I355" s="31">
        <f t="shared" si="56"/>
        <v>0</v>
      </c>
      <c r="J355" s="265">
        <f t="shared" si="56"/>
        <v>4400.94</v>
      </c>
      <c r="K355" s="265">
        <f t="shared" si="56"/>
        <v>0</v>
      </c>
      <c r="L355" s="265">
        <f t="shared" si="56"/>
        <v>4400.94</v>
      </c>
      <c r="M355" s="32">
        <f>M356</f>
        <v>0</v>
      </c>
      <c r="N355" s="33">
        <f>N356</f>
        <v>0</v>
      </c>
    </row>
    <row r="356" spans="1:14" ht="26.25" hidden="1">
      <c r="A356" s="82" t="s">
        <v>109</v>
      </c>
      <c r="B356" s="23" t="s">
        <v>286</v>
      </c>
      <c r="C356" s="23" t="s">
        <v>14</v>
      </c>
      <c r="D356" s="23" t="s">
        <v>22</v>
      </c>
      <c r="E356" s="23" t="s">
        <v>331</v>
      </c>
      <c r="F356" s="23" t="s">
        <v>108</v>
      </c>
      <c r="G356" s="37">
        <f>2377+151+222</f>
        <v>2750</v>
      </c>
      <c r="H356" s="37">
        <f>1358.1+262</f>
        <v>1620.1</v>
      </c>
      <c r="I356" s="37"/>
      <c r="J356" s="269"/>
      <c r="K356" s="265"/>
      <c r="L356" s="265">
        <f>J356+K356</f>
        <v>0</v>
      </c>
      <c r="M356" s="32"/>
      <c r="N356" s="33">
        <f>L356+M356</f>
        <v>0</v>
      </c>
    </row>
    <row r="357" spans="1:14" ht="38.25">
      <c r="A357" s="66" t="s">
        <v>163</v>
      </c>
      <c r="B357" s="23" t="s">
        <v>286</v>
      </c>
      <c r="C357" s="23" t="s">
        <v>14</v>
      </c>
      <c r="D357" s="23" t="s">
        <v>22</v>
      </c>
      <c r="E357" s="23" t="s">
        <v>331</v>
      </c>
      <c r="F357" s="23" t="s">
        <v>165</v>
      </c>
      <c r="G357" s="37"/>
      <c r="H357" s="37"/>
      <c r="I357" s="37"/>
      <c r="J357" s="269">
        <v>4400.94</v>
      </c>
      <c r="K357" s="265"/>
      <c r="L357" s="265">
        <f>J357+K357</f>
        <v>4400.94</v>
      </c>
      <c r="M357" s="32"/>
      <c r="N357" s="33"/>
    </row>
    <row r="358" spans="1:14" ht="15">
      <c r="A358" s="66" t="s">
        <v>332</v>
      </c>
      <c r="B358" s="23" t="s">
        <v>286</v>
      </c>
      <c r="C358" s="23" t="s">
        <v>14</v>
      </c>
      <c r="D358" s="23" t="s">
        <v>22</v>
      </c>
      <c r="E358" s="23" t="s">
        <v>333</v>
      </c>
      <c r="F358" s="23"/>
      <c r="G358" s="37"/>
      <c r="H358" s="37"/>
      <c r="I358" s="37"/>
      <c r="J358" s="269">
        <f>J359</f>
        <v>746.137</v>
      </c>
      <c r="K358" s="269">
        <f>K359</f>
        <v>135.904</v>
      </c>
      <c r="L358" s="269">
        <f>L359</f>
        <v>882.0409999999999</v>
      </c>
      <c r="M358" s="99">
        <f>M359</f>
        <v>0</v>
      </c>
      <c r="N358" s="99">
        <f>N359</f>
        <v>0</v>
      </c>
    </row>
    <row r="359" spans="1:14" ht="48.75" customHeight="1">
      <c r="A359" s="66" t="s">
        <v>141</v>
      </c>
      <c r="B359" s="23" t="s">
        <v>286</v>
      </c>
      <c r="C359" s="23" t="s">
        <v>14</v>
      </c>
      <c r="D359" s="23" t="s">
        <v>22</v>
      </c>
      <c r="E359" s="23" t="s">
        <v>333</v>
      </c>
      <c r="F359" s="23" t="s">
        <v>142</v>
      </c>
      <c r="G359" s="37"/>
      <c r="H359" s="37"/>
      <c r="I359" s="37"/>
      <c r="J359" s="269">
        <v>746.137</v>
      </c>
      <c r="K359" s="265">
        <v>135.904</v>
      </c>
      <c r="L359" s="265">
        <f>J359+K359</f>
        <v>882.0409999999999</v>
      </c>
      <c r="M359" s="32"/>
      <c r="N359" s="33"/>
    </row>
    <row r="360" spans="1:14" ht="30" customHeight="1">
      <c r="A360" s="82" t="s">
        <v>334</v>
      </c>
      <c r="B360" s="23" t="s">
        <v>286</v>
      </c>
      <c r="C360" s="23" t="s">
        <v>14</v>
      </c>
      <c r="D360" s="23" t="s">
        <v>22</v>
      </c>
      <c r="E360" s="23" t="s">
        <v>335</v>
      </c>
      <c r="F360" s="23"/>
      <c r="G360" s="37">
        <f>G363</f>
        <v>550</v>
      </c>
      <c r="H360" s="37">
        <f>H363</f>
        <v>314.4</v>
      </c>
      <c r="I360" s="37">
        <f>I363</f>
        <v>0</v>
      </c>
      <c r="J360" s="269">
        <f>J363+J361</f>
        <v>1800</v>
      </c>
      <c r="K360" s="269">
        <f>K363+K361</f>
        <v>-135.904</v>
      </c>
      <c r="L360" s="269">
        <f>L363+L361</f>
        <v>1664.096</v>
      </c>
      <c r="M360" s="32">
        <f>M363</f>
        <v>0</v>
      </c>
      <c r="N360" s="33">
        <f>N363</f>
        <v>324.596</v>
      </c>
    </row>
    <row r="361" spans="1:14" ht="15">
      <c r="A361" s="66" t="s">
        <v>508</v>
      </c>
      <c r="B361" s="23" t="s">
        <v>286</v>
      </c>
      <c r="C361" s="23" t="s">
        <v>14</v>
      </c>
      <c r="D361" s="23" t="s">
        <v>22</v>
      </c>
      <c r="E361" s="23" t="s">
        <v>507</v>
      </c>
      <c r="F361" s="23"/>
      <c r="G361" s="37"/>
      <c r="H361" s="37"/>
      <c r="I361" s="37"/>
      <c r="J361" s="269">
        <f>J362</f>
        <v>800</v>
      </c>
      <c r="K361" s="269">
        <f>K362</f>
        <v>0</v>
      </c>
      <c r="L361" s="269">
        <f>L362</f>
        <v>800</v>
      </c>
      <c r="M361" s="32"/>
      <c r="N361" s="33"/>
    </row>
    <row r="362" spans="1:14" ht="25.5">
      <c r="A362" s="66" t="s">
        <v>180</v>
      </c>
      <c r="B362" s="23" t="s">
        <v>286</v>
      </c>
      <c r="C362" s="23" t="s">
        <v>14</v>
      </c>
      <c r="D362" s="23" t="s">
        <v>22</v>
      </c>
      <c r="E362" s="23" t="s">
        <v>507</v>
      </c>
      <c r="F362" s="23" t="s">
        <v>181</v>
      </c>
      <c r="G362" s="37"/>
      <c r="H362" s="37"/>
      <c r="I362" s="37"/>
      <c r="J362" s="269">
        <v>800</v>
      </c>
      <c r="K362" s="265"/>
      <c r="L362" s="265">
        <f>J362+K362</f>
        <v>800</v>
      </c>
      <c r="M362" s="32"/>
      <c r="N362" s="33"/>
    </row>
    <row r="363" spans="1:14" ht="26.25">
      <c r="A363" s="82" t="s">
        <v>336</v>
      </c>
      <c r="B363" s="23" t="s">
        <v>286</v>
      </c>
      <c r="C363" s="23" t="s">
        <v>14</v>
      </c>
      <c r="D363" s="23" t="s">
        <v>22</v>
      </c>
      <c r="E363" s="23" t="s">
        <v>337</v>
      </c>
      <c r="F363" s="23"/>
      <c r="G363" s="37">
        <f aca="true" t="shared" si="57" ref="G363:N363">G364</f>
        <v>550</v>
      </c>
      <c r="H363" s="37">
        <f t="shared" si="57"/>
        <v>314.4</v>
      </c>
      <c r="I363" s="37">
        <f t="shared" si="57"/>
        <v>0</v>
      </c>
      <c r="J363" s="265">
        <f>J364+J365+J366</f>
        <v>1000</v>
      </c>
      <c r="K363" s="265">
        <f>K364+K365+K366</f>
        <v>-135.904</v>
      </c>
      <c r="L363" s="265">
        <f>L364+L365+L366</f>
        <v>864.096</v>
      </c>
      <c r="M363" s="32">
        <f t="shared" si="57"/>
        <v>0</v>
      </c>
      <c r="N363" s="33">
        <f t="shared" si="57"/>
        <v>324.596</v>
      </c>
    </row>
    <row r="364" spans="1:14" ht="51">
      <c r="A364" s="66" t="s">
        <v>176</v>
      </c>
      <c r="B364" s="23" t="s">
        <v>286</v>
      </c>
      <c r="C364" s="23" t="s">
        <v>14</v>
      </c>
      <c r="D364" s="23" t="s">
        <v>22</v>
      </c>
      <c r="E364" s="23" t="s">
        <v>337</v>
      </c>
      <c r="F364" s="23" t="s">
        <v>177</v>
      </c>
      <c r="G364" s="37">
        <v>550</v>
      </c>
      <c r="H364" s="37">
        <v>314.4</v>
      </c>
      <c r="I364" s="37"/>
      <c r="J364" s="269">
        <v>335</v>
      </c>
      <c r="K364" s="265">
        <v>-10.404</v>
      </c>
      <c r="L364" s="265">
        <f>J364+K364</f>
        <v>324.596</v>
      </c>
      <c r="M364" s="32"/>
      <c r="N364" s="33">
        <f>L364+M364</f>
        <v>324.596</v>
      </c>
    </row>
    <row r="365" spans="1:14" ht="25.5" customHeight="1">
      <c r="A365" s="66" t="s">
        <v>163</v>
      </c>
      <c r="B365" s="23" t="s">
        <v>286</v>
      </c>
      <c r="C365" s="23" t="s">
        <v>14</v>
      </c>
      <c r="D365" s="23" t="s">
        <v>22</v>
      </c>
      <c r="E365" s="23" t="s">
        <v>337</v>
      </c>
      <c r="F365" s="23" t="s">
        <v>165</v>
      </c>
      <c r="G365" s="37"/>
      <c r="H365" s="37"/>
      <c r="I365" s="37"/>
      <c r="J365" s="269">
        <v>665</v>
      </c>
      <c r="K365" s="265">
        <f>-135.904-5.096</f>
        <v>-141</v>
      </c>
      <c r="L365" s="265">
        <f>J365+K365</f>
        <v>524</v>
      </c>
      <c r="M365" s="32"/>
      <c r="N365" s="33"/>
    </row>
    <row r="366" spans="1:14" ht="25.5" customHeight="1">
      <c r="A366" s="71" t="s">
        <v>180</v>
      </c>
      <c r="B366" s="23" t="s">
        <v>286</v>
      </c>
      <c r="C366" s="23" t="s">
        <v>14</v>
      </c>
      <c r="D366" s="23" t="s">
        <v>22</v>
      </c>
      <c r="E366" s="23" t="s">
        <v>337</v>
      </c>
      <c r="F366" s="23" t="s">
        <v>181</v>
      </c>
      <c r="G366" s="37"/>
      <c r="H366" s="37"/>
      <c r="I366" s="37"/>
      <c r="J366" s="269"/>
      <c r="K366" s="265">
        <v>15.5</v>
      </c>
      <c r="L366" s="265">
        <f>J366+K366</f>
        <v>15.5</v>
      </c>
      <c r="M366" s="32"/>
      <c r="N366" s="38"/>
    </row>
    <row r="367" spans="1:14" ht="15">
      <c r="A367" s="66" t="s">
        <v>347</v>
      </c>
      <c r="B367" s="23" t="s">
        <v>286</v>
      </c>
      <c r="C367" s="23" t="s">
        <v>14</v>
      </c>
      <c r="D367" s="23" t="s">
        <v>22</v>
      </c>
      <c r="E367" s="23" t="s">
        <v>276</v>
      </c>
      <c r="F367" s="23"/>
      <c r="G367" s="37"/>
      <c r="H367" s="37"/>
      <c r="I367" s="37"/>
      <c r="J367" s="269">
        <v>20.1</v>
      </c>
      <c r="K367" s="269"/>
      <c r="L367" s="269">
        <f>L368+L370</f>
        <v>20.1</v>
      </c>
      <c r="M367" s="32"/>
      <c r="N367" s="38"/>
    </row>
    <row r="368" spans="1:14" ht="51.75">
      <c r="A368" s="91" t="s">
        <v>478</v>
      </c>
      <c r="B368" s="23" t="s">
        <v>286</v>
      </c>
      <c r="C368" s="23" t="s">
        <v>14</v>
      </c>
      <c r="D368" s="23" t="s">
        <v>22</v>
      </c>
      <c r="E368" s="23" t="s">
        <v>477</v>
      </c>
      <c r="F368" s="23"/>
      <c r="G368" s="37"/>
      <c r="H368" s="37"/>
      <c r="I368" s="37"/>
      <c r="J368" s="269">
        <f>J369</f>
        <v>0</v>
      </c>
      <c r="K368" s="269">
        <f>K369</f>
        <v>0</v>
      </c>
      <c r="L368" s="269">
        <f>L369</f>
        <v>0</v>
      </c>
      <c r="M368" s="32"/>
      <c r="N368" s="38"/>
    </row>
    <row r="369" spans="1:14" ht="24.75" customHeight="1">
      <c r="A369" s="66" t="s">
        <v>163</v>
      </c>
      <c r="B369" s="23" t="s">
        <v>286</v>
      </c>
      <c r="C369" s="23" t="s">
        <v>14</v>
      </c>
      <c r="D369" s="23" t="s">
        <v>22</v>
      </c>
      <c r="E369" s="23" t="s">
        <v>477</v>
      </c>
      <c r="F369" s="23" t="s">
        <v>165</v>
      </c>
      <c r="G369" s="37"/>
      <c r="H369" s="37"/>
      <c r="I369" s="37"/>
      <c r="J369" s="269">
        <v>0</v>
      </c>
      <c r="K369" s="265"/>
      <c r="L369" s="265">
        <f>J369+K369</f>
        <v>0</v>
      </c>
      <c r="M369" s="32"/>
      <c r="N369" s="38"/>
    </row>
    <row r="370" spans="1:14" ht="36.75">
      <c r="A370" s="236" t="s">
        <v>485</v>
      </c>
      <c r="B370" s="23" t="s">
        <v>286</v>
      </c>
      <c r="C370" s="23" t="s">
        <v>14</v>
      </c>
      <c r="D370" s="23" t="s">
        <v>168</v>
      </c>
      <c r="E370" s="23" t="s">
        <v>486</v>
      </c>
      <c r="F370" s="23"/>
      <c r="G370" s="37"/>
      <c r="H370" s="37"/>
      <c r="I370" s="37"/>
      <c r="J370" s="269">
        <f>J371</f>
        <v>20.1</v>
      </c>
      <c r="K370" s="269">
        <f>K371</f>
        <v>0</v>
      </c>
      <c r="L370" s="269">
        <f>L371</f>
        <v>20.1</v>
      </c>
      <c r="M370" s="32"/>
      <c r="N370" s="38"/>
    </row>
    <row r="371" spans="1:14" ht="29.25" customHeight="1">
      <c r="A371" s="66" t="s">
        <v>163</v>
      </c>
      <c r="B371" s="23" t="s">
        <v>286</v>
      </c>
      <c r="C371" s="23" t="s">
        <v>14</v>
      </c>
      <c r="D371" s="23" t="s">
        <v>168</v>
      </c>
      <c r="E371" s="23" t="s">
        <v>486</v>
      </c>
      <c r="F371" s="23" t="s">
        <v>165</v>
      </c>
      <c r="G371" s="37"/>
      <c r="H371" s="37"/>
      <c r="I371" s="37"/>
      <c r="J371" s="269">
        <v>20.1</v>
      </c>
      <c r="K371" s="265"/>
      <c r="L371" s="265">
        <f>J371+K371</f>
        <v>20.1</v>
      </c>
      <c r="M371" s="32"/>
      <c r="N371" s="38"/>
    </row>
    <row r="372" spans="1:14" s="173" customFormat="1" ht="14.25">
      <c r="A372" s="81" t="s">
        <v>244</v>
      </c>
      <c r="B372" s="29" t="s">
        <v>286</v>
      </c>
      <c r="C372" s="29" t="s">
        <v>16</v>
      </c>
      <c r="D372" s="29"/>
      <c r="E372" s="29"/>
      <c r="F372" s="29"/>
      <c r="G372" s="21" t="e">
        <f>G373+G385+G406+#REF!</f>
        <v>#REF!</v>
      </c>
      <c r="H372" s="21" t="e">
        <f>H373+H385+H406+#REF!</f>
        <v>#REF!</v>
      </c>
      <c r="I372" s="21" t="e">
        <f>I373+I385+I406+#REF!</f>
        <v>#REF!</v>
      </c>
      <c r="J372" s="264">
        <f>J373+J385+J406</f>
        <v>29433.5113</v>
      </c>
      <c r="K372" s="264">
        <f>K373+K385+K406</f>
        <v>0</v>
      </c>
      <c r="L372" s="264">
        <f>L373+L385+L406</f>
        <v>29433.5113</v>
      </c>
      <c r="M372" s="35" t="e">
        <f>M373+M385+M406+#REF!</f>
        <v>#REF!</v>
      </c>
      <c r="N372" s="103" t="e">
        <f>N373+N385+N406+#REF!</f>
        <v>#REF!</v>
      </c>
    </row>
    <row r="373" spans="1:14" s="147" customFormat="1" ht="15" customHeight="1">
      <c r="A373" s="81" t="s">
        <v>43</v>
      </c>
      <c r="B373" s="29" t="s">
        <v>286</v>
      </c>
      <c r="C373" s="29" t="s">
        <v>16</v>
      </c>
      <c r="D373" s="29" t="s">
        <v>11</v>
      </c>
      <c r="E373" s="29"/>
      <c r="F373" s="29"/>
      <c r="G373" s="21">
        <f>G381</f>
        <v>-40</v>
      </c>
      <c r="H373" s="25" t="e">
        <f>H381+#REF!+#REF!</f>
        <v>#REF!</v>
      </c>
      <c r="I373" s="25" t="e">
        <f>I381+#REF!+#REF!</f>
        <v>#REF!</v>
      </c>
      <c r="J373" s="268">
        <f>J380+J377+J374</f>
        <v>14347.462</v>
      </c>
      <c r="K373" s="268">
        <f>K380+K377+K374</f>
        <v>0</v>
      </c>
      <c r="L373" s="268">
        <f>L380+L377+L374</f>
        <v>14347.462</v>
      </c>
      <c r="M373" s="46" t="e">
        <f>M381+#REF!+#REF!</f>
        <v>#REF!</v>
      </c>
      <c r="N373" s="63" t="e">
        <f>N381+#REF!+#REF!</f>
        <v>#REF!</v>
      </c>
    </row>
    <row r="374" spans="1:14" s="147" customFormat="1" ht="51" customHeight="1">
      <c r="A374" s="82" t="s">
        <v>479</v>
      </c>
      <c r="B374" s="23" t="s">
        <v>286</v>
      </c>
      <c r="C374" s="23" t="s">
        <v>16</v>
      </c>
      <c r="D374" s="23" t="s">
        <v>11</v>
      </c>
      <c r="E374" s="23" t="s">
        <v>489</v>
      </c>
      <c r="F374" s="23"/>
      <c r="G374" s="21"/>
      <c r="H374" s="25"/>
      <c r="I374" s="25"/>
      <c r="J374" s="268">
        <f>J375+J376</f>
        <v>10906.508</v>
      </c>
      <c r="K374" s="268">
        <f>K375+K376</f>
        <v>0</v>
      </c>
      <c r="L374" s="268">
        <f>L375+L376</f>
        <v>10906.508</v>
      </c>
      <c r="M374" s="46"/>
      <c r="N374" s="63"/>
    </row>
    <row r="375" spans="1:14" s="147" customFormat="1" ht="27" customHeight="1">
      <c r="A375" s="66" t="s">
        <v>163</v>
      </c>
      <c r="B375" s="23" t="s">
        <v>286</v>
      </c>
      <c r="C375" s="23" t="s">
        <v>16</v>
      </c>
      <c r="D375" s="23" t="s">
        <v>11</v>
      </c>
      <c r="E375" s="23" t="s">
        <v>489</v>
      </c>
      <c r="F375" s="23" t="s">
        <v>165</v>
      </c>
      <c r="G375" s="21"/>
      <c r="H375" s="25"/>
      <c r="I375" s="25"/>
      <c r="J375" s="269">
        <v>0</v>
      </c>
      <c r="K375" s="269"/>
      <c r="L375" s="269">
        <f>J375+K375</f>
        <v>0</v>
      </c>
      <c r="M375" s="46"/>
      <c r="N375" s="63"/>
    </row>
    <row r="376" spans="1:14" s="147" customFormat="1" ht="26.25" customHeight="1">
      <c r="A376" s="66" t="s">
        <v>488</v>
      </c>
      <c r="B376" s="23" t="s">
        <v>286</v>
      </c>
      <c r="C376" s="23" t="s">
        <v>16</v>
      </c>
      <c r="D376" s="23" t="s">
        <v>11</v>
      </c>
      <c r="E376" s="23" t="s">
        <v>489</v>
      </c>
      <c r="F376" s="23" t="s">
        <v>487</v>
      </c>
      <c r="G376" s="37"/>
      <c r="H376" s="30"/>
      <c r="I376" s="30"/>
      <c r="J376" s="269">
        <v>10906.508</v>
      </c>
      <c r="K376" s="269"/>
      <c r="L376" s="269">
        <f>J376+K376</f>
        <v>10906.508</v>
      </c>
      <c r="M376" s="46"/>
      <c r="N376" s="63"/>
    </row>
    <row r="377" spans="1:14" s="147" customFormat="1" ht="42.75" customHeight="1">
      <c r="A377" s="82" t="s">
        <v>480</v>
      </c>
      <c r="B377" s="23" t="s">
        <v>286</v>
      </c>
      <c r="C377" s="23" t="s">
        <v>16</v>
      </c>
      <c r="D377" s="23" t="s">
        <v>11</v>
      </c>
      <c r="E377" s="23" t="s">
        <v>456</v>
      </c>
      <c r="F377" s="23"/>
      <c r="G377" s="37"/>
      <c r="H377" s="30"/>
      <c r="I377" s="30"/>
      <c r="J377" s="269">
        <f>J378+J379</f>
        <v>3087.859</v>
      </c>
      <c r="K377" s="269">
        <f>K378+K379</f>
        <v>0</v>
      </c>
      <c r="L377" s="269">
        <f>L378+L379</f>
        <v>3087.859</v>
      </c>
      <c r="M377" s="46"/>
      <c r="N377" s="63"/>
    </row>
    <row r="378" spans="1:14" s="147" customFormat="1" ht="26.25" customHeight="1">
      <c r="A378" s="66" t="s">
        <v>163</v>
      </c>
      <c r="B378" s="23" t="s">
        <v>286</v>
      </c>
      <c r="C378" s="23" t="s">
        <v>16</v>
      </c>
      <c r="D378" s="23" t="s">
        <v>11</v>
      </c>
      <c r="E378" s="23" t="s">
        <v>456</v>
      </c>
      <c r="F378" s="23" t="s">
        <v>165</v>
      </c>
      <c r="G378" s="37"/>
      <c r="H378" s="30"/>
      <c r="I378" s="30"/>
      <c r="J378" s="269">
        <v>0</v>
      </c>
      <c r="K378" s="269"/>
      <c r="L378" s="269">
        <f>J378+K378</f>
        <v>0</v>
      </c>
      <c r="M378" s="46"/>
      <c r="N378" s="63"/>
    </row>
    <row r="379" spans="1:14" s="147" customFormat="1" ht="26.25" customHeight="1">
      <c r="A379" s="66" t="s">
        <v>488</v>
      </c>
      <c r="B379" s="23" t="s">
        <v>286</v>
      </c>
      <c r="C379" s="23" t="s">
        <v>16</v>
      </c>
      <c r="D379" s="23" t="s">
        <v>11</v>
      </c>
      <c r="E379" s="23" t="s">
        <v>456</v>
      </c>
      <c r="F379" s="23" t="s">
        <v>487</v>
      </c>
      <c r="G379" s="37"/>
      <c r="H379" s="30"/>
      <c r="I379" s="30"/>
      <c r="J379" s="269">
        <v>3087.859</v>
      </c>
      <c r="K379" s="269"/>
      <c r="L379" s="269">
        <f>J379+K379</f>
        <v>3087.859</v>
      </c>
      <c r="M379" s="46"/>
      <c r="N379" s="63"/>
    </row>
    <row r="380" spans="1:14" ht="15" customHeight="1">
      <c r="A380" s="82" t="s">
        <v>347</v>
      </c>
      <c r="B380" s="23" t="s">
        <v>286</v>
      </c>
      <c r="C380" s="23" t="s">
        <v>16</v>
      </c>
      <c r="D380" s="23" t="s">
        <v>11</v>
      </c>
      <c r="E380" s="23" t="s">
        <v>276</v>
      </c>
      <c r="F380" s="23"/>
      <c r="G380" s="37"/>
      <c r="H380" s="30"/>
      <c r="I380" s="30"/>
      <c r="J380" s="269">
        <f>J381+J383</f>
        <v>353.095</v>
      </c>
      <c r="K380" s="269">
        <f>K381+K383</f>
        <v>0</v>
      </c>
      <c r="L380" s="269">
        <f>L381+L383</f>
        <v>353.095</v>
      </c>
      <c r="M380" s="32"/>
      <c r="N380" s="33"/>
    </row>
    <row r="381" spans="1:14" ht="30" customHeight="1">
      <c r="A381" s="98" t="s">
        <v>338</v>
      </c>
      <c r="B381" s="23" t="s">
        <v>286</v>
      </c>
      <c r="C381" s="23" t="s">
        <v>16</v>
      </c>
      <c r="D381" s="23" t="s">
        <v>11</v>
      </c>
      <c r="E381" s="23" t="s">
        <v>339</v>
      </c>
      <c r="F381" s="23"/>
      <c r="G381" s="37">
        <f aca="true" t="shared" si="58" ref="G381:N381">G382</f>
        <v>-40</v>
      </c>
      <c r="H381" s="37">
        <f t="shared" si="58"/>
        <v>0</v>
      </c>
      <c r="I381" s="37">
        <f t="shared" si="58"/>
        <v>0</v>
      </c>
      <c r="J381" s="269">
        <f t="shared" si="58"/>
        <v>10</v>
      </c>
      <c r="K381" s="265">
        <f t="shared" si="58"/>
        <v>0</v>
      </c>
      <c r="L381" s="265">
        <f t="shared" si="58"/>
        <v>10</v>
      </c>
      <c r="M381" s="32">
        <f t="shared" si="58"/>
        <v>0</v>
      </c>
      <c r="N381" s="33">
        <f t="shared" si="58"/>
        <v>10</v>
      </c>
    </row>
    <row r="382" spans="1:14" ht="30" customHeight="1">
      <c r="A382" s="66" t="s">
        <v>163</v>
      </c>
      <c r="B382" s="23" t="s">
        <v>286</v>
      </c>
      <c r="C382" s="23" t="s">
        <v>16</v>
      </c>
      <c r="D382" s="23" t="s">
        <v>11</v>
      </c>
      <c r="E382" s="23" t="s">
        <v>339</v>
      </c>
      <c r="F382" s="23" t="s">
        <v>165</v>
      </c>
      <c r="G382" s="37">
        <v>-40</v>
      </c>
      <c r="H382" s="30"/>
      <c r="I382" s="37"/>
      <c r="J382" s="269">
        <v>10</v>
      </c>
      <c r="K382" s="265"/>
      <c r="L382" s="265">
        <f>J382+K382</f>
        <v>10</v>
      </c>
      <c r="M382" s="32"/>
      <c r="N382" s="33">
        <f>L382+M382</f>
        <v>10</v>
      </c>
    </row>
    <row r="383" spans="1:14" ht="38.25" customHeight="1">
      <c r="A383" s="34" t="s">
        <v>475</v>
      </c>
      <c r="B383" s="23" t="s">
        <v>286</v>
      </c>
      <c r="C383" s="23" t="s">
        <v>16</v>
      </c>
      <c r="D383" s="23" t="s">
        <v>11</v>
      </c>
      <c r="E383" s="23" t="s">
        <v>474</v>
      </c>
      <c r="F383" s="23"/>
      <c r="G383" s="37"/>
      <c r="H383" s="30"/>
      <c r="I383" s="37"/>
      <c r="J383" s="269">
        <f>J384</f>
        <v>343.095</v>
      </c>
      <c r="K383" s="269">
        <f>K384</f>
        <v>0</v>
      </c>
      <c r="L383" s="269">
        <f>L384</f>
        <v>343.095</v>
      </c>
      <c r="M383" s="38"/>
      <c r="N383" s="38"/>
    </row>
    <row r="384" spans="1:14" ht="30" customHeight="1">
      <c r="A384" s="66" t="s">
        <v>163</v>
      </c>
      <c r="B384" s="23" t="s">
        <v>286</v>
      </c>
      <c r="C384" s="23" t="s">
        <v>16</v>
      </c>
      <c r="D384" s="23" t="s">
        <v>11</v>
      </c>
      <c r="E384" s="23" t="s">
        <v>474</v>
      </c>
      <c r="F384" s="23" t="s">
        <v>165</v>
      </c>
      <c r="G384" s="37"/>
      <c r="H384" s="30"/>
      <c r="I384" s="37"/>
      <c r="J384" s="269">
        <v>343.095</v>
      </c>
      <c r="K384" s="265"/>
      <c r="L384" s="265">
        <f>J384+K384</f>
        <v>343.095</v>
      </c>
      <c r="M384" s="38"/>
      <c r="N384" s="38"/>
    </row>
    <row r="385" spans="1:14" s="147" customFormat="1" ht="14.25">
      <c r="A385" s="82" t="s">
        <v>44</v>
      </c>
      <c r="B385" s="29" t="s">
        <v>286</v>
      </c>
      <c r="C385" s="29" t="s">
        <v>16</v>
      </c>
      <c r="D385" s="29" t="s">
        <v>12</v>
      </c>
      <c r="E385" s="29"/>
      <c r="F385" s="29"/>
      <c r="G385" s="21" t="e">
        <f>#REF!+G400+#REF!+#REF!</f>
        <v>#REF!</v>
      </c>
      <c r="H385" s="25" t="e">
        <f>#REF!+H400+#REF!+#REF!+#REF!+#REF!+H392</f>
        <v>#REF!</v>
      </c>
      <c r="I385" s="25" t="e">
        <f>#REF!+I400+#REF!+#REF!+#REF!+#REF!+I392</f>
        <v>#REF!</v>
      </c>
      <c r="J385" s="268">
        <f>J390+J392+J400+J395+J388+J386+J397</f>
        <v>14486.0493</v>
      </c>
      <c r="K385" s="268">
        <f>K390+K392+K400+K395+K388+K386+K397</f>
        <v>-214.29</v>
      </c>
      <c r="L385" s="268">
        <f>L390+L392+L400+L395+L388+L386+L397</f>
        <v>14271.7593</v>
      </c>
      <c r="M385" s="104" t="e">
        <f>#REF!+#REF!+#REF!+#REF!+#REF!+M392+M390+M400+#REF!</f>
        <v>#REF!</v>
      </c>
      <c r="N385" s="105" t="e">
        <f>#REF!+#REF!+#REF!+#REF!+#REF!+N392+N390+N400+#REF!</f>
        <v>#REF!</v>
      </c>
    </row>
    <row r="386" spans="1:14" s="147" customFormat="1" ht="51">
      <c r="A386" s="82" t="s">
        <v>326</v>
      </c>
      <c r="B386" s="23" t="s">
        <v>286</v>
      </c>
      <c r="C386" s="23" t="s">
        <v>16</v>
      </c>
      <c r="D386" s="23" t="s">
        <v>12</v>
      </c>
      <c r="E386" s="23" t="s">
        <v>517</v>
      </c>
      <c r="F386" s="23"/>
      <c r="G386" s="37"/>
      <c r="H386" s="30"/>
      <c r="I386" s="30"/>
      <c r="J386" s="269">
        <f>J387</f>
        <v>2229.22</v>
      </c>
      <c r="K386" s="269">
        <f>K387</f>
        <v>0</v>
      </c>
      <c r="L386" s="269">
        <f>L387</f>
        <v>2229.22</v>
      </c>
      <c r="M386" s="104"/>
      <c r="N386" s="104"/>
    </row>
    <row r="387" spans="1:14" s="147" customFormat="1" ht="51">
      <c r="A387" s="82" t="s">
        <v>343</v>
      </c>
      <c r="B387" s="23" t="s">
        <v>286</v>
      </c>
      <c r="C387" s="23" t="s">
        <v>16</v>
      </c>
      <c r="D387" s="23" t="s">
        <v>12</v>
      </c>
      <c r="E387" s="23" t="s">
        <v>517</v>
      </c>
      <c r="F387" s="23" t="s">
        <v>344</v>
      </c>
      <c r="G387" s="37"/>
      <c r="H387" s="30"/>
      <c r="I387" s="30"/>
      <c r="J387" s="269">
        <v>2229.22</v>
      </c>
      <c r="K387" s="269"/>
      <c r="L387" s="269">
        <f>J387+K387</f>
        <v>2229.22</v>
      </c>
      <c r="M387" s="104"/>
      <c r="N387" s="104"/>
    </row>
    <row r="388" spans="1:14" s="147" customFormat="1" ht="39" customHeight="1">
      <c r="A388" s="82" t="s">
        <v>326</v>
      </c>
      <c r="B388" s="23" t="s">
        <v>286</v>
      </c>
      <c r="C388" s="23" t="s">
        <v>16</v>
      </c>
      <c r="D388" s="23" t="s">
        <v>12</v>
      </c>
      <c r="E388" s="23" t="s">
        <v>500</v>
      </c>
      <c r="F388" s="23"/>
      <c r="G388" s="37"/>
      <c r="H388" s="30"/>
      <c r="I388" s="30"/>
      <c r="J388" s="269">
        <f>J389</f>
        <v>0</v>
      </c>
      <c r="K388" s="269">
        <f>K389</f>
        <v>0</v>
      </c>
      <c r="L388" s="269">
        <f>L389</f>
        <v>0</v>
      </c>
      <c r="M388" s="99" t="e">
        <f>#REF!+#REF!</f>
        <v>#REF!</v>
      </c>
      <c r="N388" s="99" t="e">
        <f>#REF!+#REF!</f>
        <v>#REF!</v>
      </c>
    </row>
    <row r="389" spans="1:17" ht="51.75">
      <c r="A389" s="82" t="s">
        <v>343</v>
      </c>
      <c r="B389" s="23" t="s">
        <v>286</v>
      </c>
      <c r="C389" s="23" t="s">
        <v>16</v>
      </c>
      <c r="D389" s="23" t="s">
        <v>12</v>
      </c>
      <c r="E389" s="23" t="s">
        <v>517</v>
      </c>
      <c r="F389" s="23" t="s">
        <v>344</v>
      </c>
      <c r="G389" s="37"/>
      <c r="H389" s="37"/>
      <c r="I389" s="37"/>
      <c r="J389" s="269">
        <v>0</v>
      </c>
      <c r="K389" s="265"/>
      <c r="L389" s="265">
        <f>J389+K389</f>
        <v>0</v>
      </c>
      <c r="M389" s="32"/>
      <c r="N389" s="33"/>
      <c r="Q389" s="162"/>
    </row>
    <row r="390" spans="1:14" s="147" customFormat="1" ht="39" customHeight="1">
      <c r="A390" s="82" t="s">
        <v>326</v>
      </c>
      <c r="B390" s="23" t="s">
        <v>286</v>
      </c>
      <c r="C390" s="23" t="s">
        <v>16</v>
      </c>
      <c r="D390" s="23" t="s">
        <v>12</v>
      </c>
      <c r="E390" s="23" t="s">
        <v>327</v>
      </c>
      <c r="F390" s="23"/>
      <c r="G390" s="37"/>
      <c r="H390" s="30"/>
      <c r="I390" s="30"/>
      <c r="J390" s="269">
        <f>J391</f>
        <v>2371.8993</v>
      </c>
      <c r="K390" s="269">
        <f>K391</f>
        <v>0</v>
      </c>
      <c r="L390" s="269">
        <f>L391</f>
        <v>2371.8993</v>
      </c>
      <c r="M390" s="99" t="e">
        <f>#REF!+#REF!</f>
        <v>#REF!</v>
      </c>
      <c r="N390" s="99" t="e">
        <f>#REF!+#REF!</f>
        <v>#REF!</v>
      </c>
    </row>
    <row r="391" spans="1:17" ht="51.75">
      <c r="A391" s="82" t="s">
        <v>343</v>
      </c>
      <c r="B391" s="23" t="s">
        <v>286</v>
      </c>
      <c r="C391" s="23" t="s">
        <v>16</v>
      </c>
      <c r="D391" s="23" t="s">
        <v>12</v>
      </c>
      <c r="E391" s="23" t="s">
        <v>327</v>
      </c>
      <c r="F391" s="23" t="s">
        <v>344</v>
      </c>
      <c r="G391" s="37"/>
      <c r="H391" s="37"/>
      <c r="I391" s="37"/>
      <c r="J391" s="269">
        <v>2371.8993</v>
      </c>
      <c r="K391" s="265"/>
      <c r="L391" s="265">
        <f>J391+K391</f>
        <v>2371.8993</v>
      </c>
      <c r="M391" s="32"/>
      <c r="N391" s="33"/>
      <c r="Q391" s="162"/>
    </row>
    <row r="392" spans="1:14" ht="26.25">
      <c r="A392" s="34" t="s">
        <v>345</v>
      </c>
      <c r="B392" s="23" t="s">
        <v>286</v>
      </c>
      <c r="C392" s="23" t="s">
        <v>16</v>
      </c>
      <c r="D392" s="23" t="s">
        <v>12</v>
      </c>
      <c r="E392" s="23" t="s">
        <v>346</v>
      </c>
      <c r="F392" s="23"/>
      <c r="G392" s="37"/>
      <c r="H392" s="30">
        <f aca="true" t="shared" si="59" ref="H392:N392">H393</f>
        <v>0</v>
      </c>
      <c r="I392" s="30">
        <f t="shared" si="59"/>
        <v>0</v>
      </c>
      <c r="J392" s="265">
        <f>J393+J394</f>
        <v>225.4</v>
      </c>
      <c r="K392" s="265">
        <f>K393+K394</f>
        <v>-214.29</v>
      </c>
      <c r="L392" s="265">
        <f>L393+L394</f>
        <v>11.110000000000014</v>
      </c>
      <c r="M392" s="32">
        <f t="shared" si="59"/>
        <v>0</v>
      </c>
      <c r="N392" s="33">
        <f t="shared" si="59"/>
        <v>0</v>
      </c>
    </row>
    <row r="393" spans="1:14" ht="26.25" customHeight="1" hidden="1">
      <c r="A393" s="82" t="s">
        <v>109</v>
      </c>
      <c r="B393" s="23" t="s">
        <v>286</v>
      </c>
      <c r="C393" s="23" t="s">
        <v>16</v>
      </c>
      <c r="D393" s="23" t="s">
        <v>12</v>
      </c>
      <c r="E393" s="23" t="s">
        <v>346</v>
      </c>
      <c r="F393" s="23" t="s">
        <v>108</v>
      </c>
      <c r="G393" s="37"/>
      <c r="H393" s="30"/>
      <c r="I393" s="37"/>
      <c r="J393" s="269"/>
      <c r="K393" s="265"/>
      <c r="L393" s="265">
        <f>J393+K393</f>
        <v>0</v>
      </c>
      <c r="M393" s="32"/>
      <c r="N393" s="33">
        <f>L393+M393</f>
        <v>0</v>
      </c>
    </row>
    <row r="394" spans="1:14" ht="26.25" customHeight="1">
      <c r="A394" s="66" t="s">
        <v>163</v>
      </c>
      <c r="B394" s="23" t="s">
        <v>286</v>
      </c>
      <c r="C394" s="23" t="s">
        <v>16</v>
      </c>
      <c r="D394" s="23" t="s">
        <v>12</v>
      </c>
      <c r="E394" s="23" t="s">
        <v>346</v>
      </c>
      <c r="F394" s="23" t="s">
        <v>165</v>
      </c>
      <c r="G394" s="37"/>
      <c r="H394" s="30"/>
      <c r="I394" s="37"/>
      <c r="J394" s="269">
        <v>225.4</v>
      </c>
      <c r="K394" s="265">
        <v>-214.29</v>
      </c>
      <c r="L394" s="265">
        <f>J394+K394</f>
        <v>11.110000000000014</v>
      </c>
      <c r="M394" s="32"/>
      <c r="N394" s="33"/>
    </row>
    <row r="395" spans="1:14" ht="39" customHeight="1">
      <c r="A395" s="66" t="s">
        <v>457</v>
      </c>
      <c r="B395" s="23" t="s">
        <v>286</v>
      </c>
      <c r="C395" s="23" t="s">
        <v>16</v>
      </c>
      <c r="D395" s="23" t="s">
        <v>12</v>
      </c>
      <c r="E395" s="23" t="s">
        <v>458</v>
      </c>
      <c r="F395" s="23"/>
      <c r="G395" s="37"/>
      <c r="H395" s="30"/>
      <c r="I395" s="37"/>
      <c r="J395" s="269">
        <f>J396</f>
        <v>7119.6</v>
      </c>
      <c r="K395" s="269">
        <f>K396</f>
        <v>0</v>
      </c>
      <c r="L395" s="269">
        <f>L396</f>
        <v>7119.6</v>
      </c>
      <c r="M395" s="32"/>
      <c r="N395" s="33"/>
    </row>
    <row r="396" spans="1:14" ht="51.75">
      <c r="A396" s="82" t="s">
        <v>343</v>
      </c>
      <c r="B396" s="23" t="s">
        <v>286</v>
      </c>
      <c r="C396" s="23" t="s">
        <v>16</v>
      </c>
      <c r="D396" s="23" t="s">
        <v>12</v>
      </c>
      <c r="E396" s="23" t="s">
        <v>458</v>
      </c>
      <c r="F396" s="23" t="s">
        <v>344</v>
      </c>
      <c r="G396" s="37"/>
      <c r="H396" s="30"/>
      <c r="I396" s="37"/>
      <c r="J396" s="269">
        <v>7119.6</v>
      </c>
      <c r="K396" s="265"/>
      <c r="L396" s="265">
        <f>J396+K396</f>
        <v>7119.6</v>
      </c>
      <c r="M396" s="32"/>
      <c r="N396" s="33"/>
    </row>
    <row r="397" spans="1:14" ht="39">
      <c r="A397" s="39" t="s">
        <v>526</v>
      </c>
      <c r="B397" s="23" t="s">
        <v>286</v>
      </c>
      <c r="C397" s="23" t="s">
        <v>16</v>
      </c>
      <c r="D397" s="23" t="s">
        <v>12</v>
      </c>
      <c r="E397" s="23" t="s">
        <v>527</v>
      </c>
      <c r="F397" s="23"/>
      <c r="G397" s="37"/>
      <c r="H397" s="30"/>
      <c r="I397" s="37"/>
      <c r="J397" s="269">
        <f>J398+J399</f>
        <v>1000</v>
      </c>
      <c r="K397" s="269">
        <f>K398+K399</f>
        <v>0</v>
      </c>
      <c r="L397" s="269">
        <f>L398+L399</f>
        <v>1000</v>
      </c>
      <c r="M397" s="32"/>
      <c r="N397" s="33"/>
    </row>
    <row r="398" spans="1:14" ht="39">
      <c r="A398" s="34" t="s">
        <v>502</v>
      </c>
      <c r="B398" s="23" t="s">
        <v>286</v>
      </c>
      <c r="C398" s="23" t="s">
        <v>16</v>
      </c>
      <c r="D398" s="23" t="s">
        <v>12</v>
      </c>
      <c r="E398" s="23" t="s">
        <v>527</v>
      </c>
      <c r="F398" s="23" t="s">
        <v>501</v>
      </c>
      <c r="G398" s="37"/>
      <c r="H398" s="30"/>
      <c r="I398" s="37"/>
      <c r="J398" s="269">
        <v>900</v>
      </c>
      <c r="K398" s="265"/>
      <c r="L398" s="265">
        <f>J398+K398</f>
        <v>900</v>
      </c>
      <c r="M398" s="32"/>
      <c r="N398" s="33"/>
    </row>
    <row r="399" spans="1:14" ht="38.25">
      <c r="A399" s="66" t="s">
        <v>163</v>
      </c>
      <c r="B399" s="23" t="s">
        <v>286</v>
      </c>
      <c r="C399" s="23" t="s">
        <v>16</v>
      </c>
      <c r="D399" s="23" t="s">
        <v>12</v>
      </c>
      <c r="E399" s="23" t="s">
        <v>527</v>
      </c>
      <c r="F399" s="23" t="s">
        <v>165</v>
      </c>
      <c r="G399" s="37"/>
      <c r="H399" s="30"/>
      <c r="I399" s="37"/>
      <c r="J399" s="269">
        <v>100</v>
      </c>
      <c r="K399" s="265"/>
      <c r="L399" s="265">
        <f>J399+K399</f>
        <v>100</v>
      </c>
      <c r="M399" s="32"/>
      <c r="N399" s="33"/>
    </row>
    <row r="400" spans="1:14" ht="15" customHeight="1">
      <c r="A400" s="82" t="s">
        <v>347</v>
      </c>
      <c r="B400" s="23" t="s">
        <v>286</v>
      </c>
      <c r="C400" s="23" t="s">
        <v>16</v>
      </c>
      <c r="D400" s="23" t="s">
        <v>12</v>
      </c>
      <c r="E400" s="23" t="s">
        <v>276</v>
      </c>
      <c r="F400" s="23"/>
      <c r="G400" s="37" t="e">
        <f>G401+#REF!</f>
        <v>#REF!</v>
      </c>
      <c r="H400" s="37"/>
      <c r="I400" s="37" t="e">
        <f>I401+#REF!</f>
        <v>#REF!</v>
      </c>
      <c r="J400" s="269">
        <f>J401+J404</f>
        <v>1539.93</v>
      </c>
      <c r="K400" s="269">
        <f>K401+K404</f>
        <v>0</v>
      </c>
      <c r="L400" s="269">
        <f>L401+L404</f>
        <v>1539.93</v>
      </c>
      <c r="M400" s="32" t="e">
        <f>M401+#REF!</f>
        <v>#REF!</v>
      </c>
      <c r="N400" s="33" t="e">
        <f>N401+#REF!</f>
        <v>#REF!</v>
      </c>
    </row>
    <row r="401" spans="1:14" ht="37.5" customHeight="1">
      <c r="A401" s="174" t="s">
        <v>348</v>
      </c>
      <c r="B401" s="23" t="s">
        <v>286</v>
      </c>
      <c r="C401" s="23" t="s">
        <v>16</v>
      </c>
      <c r="D401" s="23" t="s">
        <v>12</v>
      </c>
      <c r="E401" s="23" t="s">
        <v>349</v>
      </c>
      <c r="F401" s="23"/>
      <c r="G401" s="37">
        <f aca="true" t="shared" si="60" ref="G401:N401">G402</f>
        <v>-1750</v>
      </c>
      <c r="H401" s="37">
        <f t="shared" si="60"/>
        <v>0</v>
      </c>
      <c r="I401" s="37">
        <f t="shared" si="60"/>
        <v>0</v>
      </c>
      <c r="J401" s="269">
        <f>J402+J403</f>
        <v>1451</v>
      </c>
      <c r="K401" s="269">
        <f>K402+K403</f>
        <v>0</v>
      </c>
      <c r="L401" s="269">
        <f>L402+L403</f>
        <v>1451</v>
      </c>
      <c r="M401" s="32">
        <f t="shared" si="60"/>
        <v>0</v>
      </c>
      <c r="N401" s="33">
        <f t="shared" si="60"/>
        <v>1201</v>
      </c>
    </row>
    <row r="402" spans="1:14" ht="12.75" customHeight="1">
      <c r="A402" s="66" t="s">
        <v>163</v>
      </c>
      <c r="B402" s="23" t="s">
        <v>286</v>
      </c>
      <c r="C402" s="23" t="s">
        <v>16</v>
      </c>
      <c r="D402" s="23" t="s">
        <v>12</v>
      </c>
      <c r="E402" s="23" t="s">
        <v>349</v>
      </c>
      <c r="F402" s="23" t="s">
        <v>165</v>
      </c>
      <c r="G402" s="37">
        <v>-1750</v>
      </c>
      <c r="H402" s="30"/>
      <c r="I402" s="37"/>
      <c r="J402" s="269">
        <v>1201</v>
      </c>
      <c r="K402" s="265"/>
      <c r="L402" s="265">
        <f>J402+K402</f>
        <v>1201</v>
      </c>
      <c r="M402" s="32"/>
      <c r="N402" s="33">
        <f>L402+M402</f>
        <v>1201</v>
      </c>
    </row>
    <row r="403" spans="1:14" ht="12.75" customHeight="1">
      <c r="A403" s="71" t="s">
        <v>180</v>
      </c>
      <c r="B403" s="23" t="s">
        <v>286</v>
      </c>
      <c r="C403" s="23" t="s">
        <v>16</v>
      </c>
      <c r="D403" s="23" t="s">
        <v>12</v>
      </c>
      <c r="E403" s="23" t="s">
        <v>349</v>
      </c>
      <c r="F403" s="23" t="s">
        <v>181</v>
      </c>
      <c r="G403" s="37"/>
      <c r="H403" s="30"/>
      <c r="I403" s="37"/>
      <c r="J403" s="269">
        <v>250</v>
      </c>
      <c r="K403" s="265"/>
      <c r="L403" s="265">
        <f>J403+K403</f>
        <v>250</v>
      </c>
      <c r="M403" s="32"/>
      <c r="N403" s="33"/>
    </row>
    <row r="404" spans="1:14" s="256" customFormat="1" ht="42" customHeight="1">
      <c r="A404" s="257" t="s">
        <v>478</v>
      </c>
      <c r="B404" s="23" t="s">
        <v>286</v>
      </c>
      <c r="C404" s="23" t="s">
        <v>16</v>
      </c>
      <c r="D404" s="23" t="s">
        <v>12</v>
      </c>
      <c r="E404" s="23" t="s">
        <v>477</v>
      </c>
      <c r="F404" s="23"/>
      <c r="G404" s="37"/>
      <c r="H404" s="30"/>
      <c r="I404" s="37"/>
      <c r="J404" s="269">
        <f>J405</f>
        <v>88.93</v>
      </c>
      <c r="K404" s="269">
        <f>K405</f>
        <v>0</v>
      </c>
      <c r="L404" s="269">
        <f>L405</f>
        <v>88.93</v>
      </c>
      <c r="M404" s="254"/>
      <c r="N404" s="255"/>
    </row>
    <row r="405" spans="1:14" s="256" customFormat="1" ht="25.5" customHeight="1">
      <c r="A405" s="34" t="s">
        <v>502</v>
      </c>
      <c r="B405" s="23" t="s">
        <v>286</v>
      </c>
      <c r="C405" s="23" t="s">
        <v>16</v>
      </c>
      <c r="D405" s="23" t="s">
        <v>12</v>
      </c>
      <c r="E405" s="23" t="s">
        <v>477</v>
      </c>
      <c r="F405" s="23" t="s">
        <v>501</v>
      </c>
      <c r="G405" s="37"/>
      <c r="H405" s="30"/>
      <c r="I405" s="37"/>
      <c r="J405" s="269">
        <v>88.93</v>
      </c>
      <c r="K405" s="265"/>
      <c r="L405" s="265">
        <f>J405+K405</f>
        <v>88.93</v>
      </c>
      <c r="M405" s="254"/>
      <c r="N405" s="255"/>
    </row>
    <row r="406" spans="1:14" s="147" customFormat="1" ht="14.25" customHeight="1">
      <c r="A406" s="81" t="s">
        <v>350</v>
      </c>
      <c r="B406" s="29" t="s">
        <v>286</v>
      </c>
      <c r="C406" s="29" t="s">
        <v>16</v>
      </c>
      <c r="D406" s="29" t="s">
        <v>13</v>
      </c>
      <c r="E406" s="29"/>
      <c r="F406" s="29"/>
      <c r="G406" s="21">
        <f>G409</f>
        <v>-786.5</v>
      </c>
      <c r="H406" s="21">
        <f>H409</f>
        <v>0</v>
      </c>
      <c r="I406" s="21">
        <f>I409</f>
        <v>0</v>
      </c>
      <c r="J406" s="268">
        <f>J409+J412+J407</f>
        <v>600</v>
      </c>
      <c r="K406" s="268">
        <f>K409+K412+K407</f>
        <v>214.29</v>
      </c>
      <c r="L406" s="268">
        <f>L409+L412+L407</f>
        <v>814.29</v>
      </c>
      <c r="M406" s="46">
        <f>M409</f>
        <v>0</v>
      </c>
      <c r="N406" s="63">
        <f>N409</f>
        <v>100</v>
      </c>
    </row>
    <row r="407" spans="1:14" s="147" customFormat="1" ht="14.25" customHeight="1">
      <c r="A407" s="34" t="s">
        <v>345</v>
      </c>
      <c r="B407" s="23" t="s">
        <v>286</v>
      </c>
      <c r="C407" s="23" t="s">
        <v>16</v>
      </c>
      <c r="D407" s="23" t="s">
        <v>13</v>
      </c>
      <c r="E407" s="23" t="s">
        <v>346</v>
      </c>
      <c r="F407" s="29"/>
      <c r="G407" s="21"/>
      <c r="H407" s="21"/>
      <c r="I407" s="21"/>
      <c r="J407" s="269">
        <f>J408</f>
        <v>0</v>
      </c>
      <c r="K407" s="269">
        <f>K408</f>
        <v>214.29</v>
      </c>
      <c r="L407" s="269">
        <f>L408</f>
        <v>214.29</v>
      </c>
      <c r="M407" s="46"/>
      <c r="N407" s="63"/>
    </row>
    <row r="408" spans="1:14" s="147" customFormat="1" ht="14.25" customHeight="1">
      <c r="A408" s="66" t="s">
        <v>163</v>
      </c>
      <c r="B408" s="23" t="s">
        <v>286</v>
      </c>
      <c r="C408" s="23" t="s">
        <v>16</v>
      </c>
      <c r="D408" s="23" t="s">
        <v>13</v>
      </c>
      <c r="E408" s="23" t="s">
        <v>346</v>
      </c>
      <c r="F408" s="23" t="s">
        <v>165</v>
      </c>
      <c r="G408" s="21"/>
      <c r="H408" s="21"/>
      <c r="I408" s="21"/>
      <c r="J408" s="269"/>
      <c r="K408" s="269">
        <v>214.29</v>
      </c>
      <c r="L408" s="269">
        <f>J408+K408</f>
        <v>214.29</v>
      </c>
      <c r="M408" s="46"/>
      <c r="N408" s="63"/>
    </row>
    <row r="409" spans="1:14" ht="15" customHeight="1">
      <c r="A409" s="82" t="s">
        <v>45</v>
      </c>
      <c r="B409" s="23" t="s">
        <v>286</v>
      </c>
      <c r="C409" s="23" t="s">
        <v>16</v>
      </c>
      <c r="D409" s="23" t="s">
        <v>13</v>
      </c>
      <c r="E409" s="23" t="s">
        <v>351</v>
      </c>
      <c r="F409" s="23"/>
      <c r="G409" s="37">
        <f aca="true" t="shared" si="61" ref="G409:N410">G410</f>
        <v>-786.5</v>
      </c>
      <c r="H409" s="37">
        <f t="shared" si="61"/>
        <v>0</v>
      </c>
      <c r="I409" s="37">
        <f t="shared" si="61"/>
        <v>0</v>
      </c>
      <c r="J409" s="269">
        <f>J410</f>
        <v>100</v>
      </c>
      <c r="K409" s="265">
        <f t="shared" si="61"/>
        <v>0</v>
      </c>
      <c r="L409" s="265">
        <f t="shared" si="61"/>
        <v>100</v>
      </c>
      <c r="M409" s="32">
        <f t="shared" si="61"/>
        <v>0</v>
      </c>
      <c r="N409" s="33">
        <f t="shared" si="61"/>
        <v>100</v>
      </c>
    </row>
    <row r="410" spans="1:14" ht="30" customHeight="1">
      <c r="A410" s="98" t="s">
        <v>352</v>
      </c>
      <c r="B410" s="23" t="s">
        <v>286</v>
      </c>
      <c r="C410" s="23" t="s">
        <v>16</v>
      </c>
      <c r="D410" s="23" t="s">
        <v>13</v>
      </c>
      <c r="E410" s="23" t="s">
        <v>353</v>
      </c>
      <c r="F410" s="23"/>
      <c r="G410" s="37">
        <f t="shared" si="61"/>
        <v>-786.5</v>
      </c>
      <c r="H410" s="37">
        <f t="shared" si="61"/>
        <v>0</v>
      </c>
      <c r="I410" s="37">
        <f t="shared" si="61"/>
        <v>0</v>
      </c>
      <c r="J410" s="269">
        <f>J411</f>
        <v>100</v>
      </c>
      <c r="K410" s="265">
        <f t="shared" si="61"/>
        <v>0</v>
      </c>
      <c r="L410" s="265">
        <f t="shared" si="61"/>
        <v>100</v>
      </c>
      <c r="M410" s="32">
        <f t="shared" si="61"/>
        <v>0</v>
      </c>
      <c r="N410" s="33">
        <f t="shared" si="61"/>
        <v>100</v>
      </c>
    </row>
    <row r="411" spans="1:14" ht="30" customHeight="1">
      <c r="A411" s="66" t="s">
        <v>163</v>
      </c>
      <c r="B411" s="23" t="s">
        <v>286</v>
      </c>
      <c r="C411" s="23" t="s">
        <v>16</v>
      </c>
      <c r="D411" s="23" t="s">
        <v>13</v>
      </c>
      <c r="E411" s="23" t="s">
        <v>353</v>
      </c>
      <c r="F411" s="23" t="s">
        <v>165</v>
      </c>
      <c r="G411" s="37">
        <v>-786.5</v>
      </c>
      <c r="H411" s="30"/>
      <c r="I411" s="37"/>
      <c r="J411" s="269">
        <v>100</v>
      </c>
      <c r="K411" s="265"/>
      <c r="L411" s="265">
        <f>J411+K411</f>
        <v>100</v>
      </c>
      <c r="M411" s="32"/>
      <c r="N411" s="33">
        <f>L411+M411</f>
        <v>100</v>
      </c>
    </row>
    <row r="412" spans="1:14" ht="30" customHeight="1">
      <c r="A412" s="82" t="s">
        <v>518</v>
      </c>
      <c r="B412" s="23" t="s">
        <v>286</v>
      </c>
      <c r="C412" s="23" t="s">
        <v>16</v>
      </c>
      <c r="D412" s="23" t="s">
        <v>13</v>
      </c>
      <c r="E412" s="23" t="s">
        <v>519</v>
      </c>
      <c r="F412" s="23"/>
      <c r="G412" s="37"/>
      <c r="H412" s="30"/>
      <c r="I412" s="37"/>
      <c r="J412" s="269">
        <f>J413</f>
        <v>500</v>
      </c>
      <c r="K412" s="269">
        <f>K413</f>
        <v>0</v>
      </c>
      <c r="L412" s="269">
        <f>L413</f>
        <v>500</v>
      </c>
      <c r="M412" s="32"/>
      <c r="N412" s="38"/>
    </row>
    <row r="413" spans="1:14" ht="30" customHeight="1">
      <c r="A413" s="66" t="s">
        <v>163</v>
      </c>
      <c r="B413" s="23" t="s">
        <v>286</v>
      </c>
      <c r="C413" s="23" t="s">
        <v>16</v>
      </c>
      <c r="D413" s="23" t="s">
        <v>13</v>
      </c>
      <c r="E413" s="23" t="s">
        <v>519</v>
      </c>
      <c r="F413" s="23" t="s">
        <v>165</v>
      </c>
      <c r="G413" s="37"/>
      <c r="H413" s="30"/>
      <c r="I413" s="37"/>
      <c r="J413" s="269">
        <v>500</v>
      </c>
      <c r="K413" s="265"/>
      <c r="L413" s="265">
        <f>J413+K413</f>
        <v>500</v>
      </c>
      <c r="M413" s="32"/>
      <c r="N413" s="38"/>
    </row>
    <row r="414" spans="1:14" s="173" customFormat="1" ht="14.25" customHeight="1">
      <c r="A414" s="106" t="s">
        <v>46</v>
      </c>
      <c r="B414" s="29" t="s">
        <v>286</v>
      </c>
      <c r="C414" s="29" t="s">
        <v>19</v>
      </c>
      <c r="D414" s="29"/>
      <c r="E414" s="29"/>
      <c r="F414" s="29"/>
      <c r="G414" s="21" t="e">
        <f>G442+#REF!+#REF!</f>
        <v>#REF!</v>
      </c>
      <c r="H414" s="24" t="e">
        <f>H442+#REF!+H415</f>
        <v>#REF!</v>
      </c>
      <c r="I414" s="24" t="e">
        <f>I442+#REF!+I415</f>
        <v>#REF!</v>
      </c>
      <c r="J414" s="264">
        <f>J419+J442+J448+J415</f>
        <v>75032.42537</v>
      </c>
      <c r="K414" s="264">
        <f>K419+K442+K448+K415</f>
        <v>70</v>
      </c>
      <c r="L414" s="264">
        <f>L419+L442+L448+L415</f>
        <v>75102.42537</v>
      </c>
      <c r="M414" s="35" t="e">
        <f>M415+M419+M442+#REF!+M448</f>
        <v>#REF!</v>
      </c>
      <c r="N414" s="103" t="e">
        <f>N415+N419+N442+#REF!+N448</f>
        <v>#REF!</v>
      </c>
    </row>
    <row r="415" spans="1:14" ht="15" customHeight="1">
      <c r="A415" s="28" t="s">
        <v>48</v>
      </c>
      <c r="B415" s="29" t="s">
        <v>286</v>
      </c>
      <c r="C415" s="29" t="s">
        <v>19</v>
      </c>
      <c r="D415" s="29" t="s">
        <v>11</v>
      </c>
      <c r="E415" s="29"/>
      <c r="F415" s="29"/>
      <c r="G415" s="76"/>
      <c r="H415" s="76">
        <f>H416</f>
        <v>667</v>
      </c>
      <c r="I415" s="76">
        <f aca="true" t="shared" si="62" ref="I415:N417">I416</f>
        <v>0</v>
      </c>
      <c r="J415" s="268">
        <f t="shared" si="62"/>
        <v>451.78</v>
      </c>
      <c r="K415" s="264">
        <f t="shared" si="62"/>
        <v>0</v>
      </c>
      <c r="L415" s="264">
        <f t="shared" si="62"/>
        <v>451.78</v>
      </c>
      <c r="M415" s="46">
        <f t="shared" si="62"/>
        <v>0</v>
      </c>
      <c r="N415" s="63">
        <f t="shared" si="62"/>
        <v>451.78</v>
      </c>
    </row>
    <row r="416" spans="1:14" ht="45" customHeight="1">
      <c r="A416" s="34" t="s">
        <v>340</v>
      </c>
      <c r="B416" s="23" t="s">
        <v>286</v>
      </c>
      <c r="C416" s="23" t="s">
        <v>19</v>
      </c>
      <c r="D416" s="23" t="s">
        <v>11</v>
      </c>
      <c r="E416" s="23" t="s">
        <v>341</v>
      </c>
      <c r="F416" s="23"/>
      <c r="G416" s="92"/>
      <c r="H416" s="92">
        <f>H417</f>
        <v>667</v>
      </c>
      <c r="I416" s="92">
        <f t="shared" si="62"/>
        <v>0</v>
      </c>
      <c r="J416" s="269">
        <f t="shared" si="62"/>
        <v>451.78</v>
      </c>
      <c r="K416" s="265">
        <f t="shared" si="62"/>
        <v>0</v>
      </c>
      <c r="L416" s="265">
        <f t="shared" si="62"/>
        <v>451.78</v>
      </c>
      <c r="M416" s="32">
        <f t="shared" si="62"/>
        <v>0</v>
      </c>
      <c r="N416" s="33">
        <f t="shared" si="62"/>
        <v>451.78</v>
      </c>
    </row>
    <row r="417" spans="1:14" ht="40.5" customHeight="1">
      <c r="A417" s="34" t="s">
        <v>354</v>
      </c>
      <c r="B417" s="23" t="s">
        <v>286</v>
      </c>
      <c r="C417" s="23" t="s">
        <v>19</v>
      </c>
      <c r="D417" s="23" t="s">
        <v>11</v>
      </c>
      <c r="E417" s="23" t="s">
        <v>327</v>
      </c>
      <c r="F417" s="23"/>
      <c r="G417" s="92"/>
      <c r="H417" s="92">
        <f>H418</f>
        <v>667</v>
      </c>
      <c r="I417" s="92">
        <f t="shared" si="62"/>
        <v>0</v>
      </c>
      <c r="J417" s="269">
        <f t="shared" si="62"/>
        <v>451.78</v>
      </c>
      <c r="K417" s="265">
        <f t="shared" si="62"/>
        <v>0</v>
      </c>
      <c r="L417" s="265">
        <f t="shared" si="62"/>
        <v>451.78</v>
      </c>
      <c r="M417" s="32">
        <f t="shared" si="62"/>
        <v>0</v>
      </c>
      <c r="N417" s="33">
        <f t="shared" si="62"/>
        <v>451.78</v>
      </c>
    </row>
    <row r="418" spans="1:14" ht="15" customHeight="1">
      <c r="A418" s="34" t="s">
        <v>328</v>
      </c>
      <c r="B418" s="23" t="s">
        <v>286</v>
      </c>
      <c r="C418" s="23" t="s">
        <v>19</v>
      </c>
      <c r="D418" s="23" t="s">
        <v>11</v>
      </c>
      <c r="E418" s="23" t="s">
        <v>327</v>
      </c>
      <c r="F418" s="23" t="s">
        <v>344</v>
      </c>
      <c r="G418" s="92"/>
      <c r="H418" s="92">
        <v>667</v>
      </c>
      <c r="I418" s="92"/>
      <c r="J418" s="269">
        <v>451.78</v>
      </c>
      <c r="K418" s="265"/>
      <c r="L418" s="265">
        <f>J418+K418</f>
        <v>451.78</v>
      </c>
      <c r="M418" s="65"/>
      <c r="N418" s="33">
        <f>L418+M418</f>
        <v>451.78</v>
      </c>
    </row>
    <row r="419" spans="1:14" ht="18" customHeight="1">
      <c r="A419" s="28" t="s">
        <v>49</v>
      </c>
      <c r="B419" s="29" t="s">
        <v>286</v>
      </c>
      <c r="C419" s="29" t="s">
        <v>19</v>
      </c>
      <c r="D419" s="29" t="s">
        <v>12</v>
      </c>
      <c r="E419" s="23"/>
      <c r="F419" s="23"/>
      <c r="G419" s="92"/>
      <c r="H419" s="92"/>
      <c r="I419" s="92"/>
      <c r="J419" s="269">
        <f>J422+J425+J429+J434+J420</f>
        <v>74570.64537</v>
      </c>
      <c r="K419" s="269">
        <f>K422+K425+K429+K434+K420</f>
        <v>70</v>
      </c>
      <c r="L419" s="269">
        <f>L422+L425+L429+L434+L420</f>
        <v>74640.64537</v>
      </c>
      <c r="M419" s="228" t="e">
        <f>M422+M425+M429+M434+M420</f>
        <v>#REF!</v>
      </c>
      <c r="N419" s="228" t="e">
        <f>N422+N425+N429+N434+N420</f>
        <v>#REF!</v>
      </c>
    </row>
    <row r="420" spans="1:14" ht="27" customHeight="1">
      <c r="A420" s="34" t="s">
        <v>505</v>
      </c>
      <c r="B420" s="23" t="s">
        <v>286</v>
      </c>
      <c r="C420" s="23" t="s">
        <v>19</v>
      </c>
      <c r="D420" s="23" t="s">
        <v>12</v>
      </c>
      <c r="E420" s="23" t="s">
        <v>506</v>
      </c>
      <c r="F420" s="23"/>
      <c r="G420" s="92"/>
      <c r="H420" s="92"/>
      <c r="I420" s="92"/>
      <c r="J420" s="269">
        <f>J421</f>
        <v>11780</v>
      </c>
      <c r="K420" s="269">
        <f>K421</f>
        <v>0</v>
      </c>
      <c r="L420" s="269">
        <f>L421</f>
        <v>11780</v>
      </c>
      <c r="M420" s="32"/>
      <c r="N420" s="33"/>
    </row>
    <row r="421" spans="1:14" ht="38.25" customHeight="1">
      <c r="A421" s="34" t="s">
        <v>502</v>
      </c>
      <c r="B421" s="23" t="s">
        <v>286</v>
      </c>
      <c r="C421" s="23" t="s">
        <v>19</v>
      </c>
      <c r="D421" s="23" t="s">
        <v>12</v>
      </c>
      <c r="E421" s="23" t="s">
        <v>506</v>
      </c>
      <c r="F421" s="23" t="s">
        <v>501</v>
      </c>
      <c r="G421" s="92"/>
      <c r="H421" s="92"/>
      <c r="I421" s="92"/>
      <c r="J421" s="269">
        <v>11780</v>
      </c>
      <c r="K421" s="269"/>
      <c r="L421" s="269">
        <f>J421+K421</f>
        <v>11780</v>
      </c>
      <c r="M421" s="32"/>
      <c r="N421" s="33"/>
    </row>
    <row r="422" spans="1:14" ht="46.5" customHeight="1">
      <c r="A422" s="82" t="s">
        <v>326</v>
      </c>
      <c r="B422" s="23" t="s">
        <v>286</v>
      </c>
      <c r="C422" s="23" t="s">
        <v>19</v>
      </c>
      <c r="D422" s="23" t="s">
        <v>12</v>
      </c>
      <c r="E422" s="23" t="s">
        <v>327</v>
      </c>
      <c r="F422" s="23"/>
      <c r="G422" s="92"/>
      <c r="H422" s="92"/>
      <c r="I422" s="92"/>
      <c r="J422" s="265">
        <f>J423+J424</f>
        <v>34574.341</v>
      </c>
      <c r="K422" s="265">
        <f>K423+K424</f>
        <v>0</v>
      </c>
      <c r="L422" s="265">
        <f>L423+L424</f>
        <v>34574.341</v>
      </c>
      <c r="M422" s="32"/>
      <c r="N422" s="33"/>
    </row>
    <row r="423" spans="1:14" ht="16.5" customHeight="1" hidden="1">
      <c r="A423" s="82" t="s">
        <v>328</v>
      </c>
      <c r="B423" s="23" t="s">
        <v>286</v>
      </c>
      <c r="C423" s="23" t="s">
        <v>19</v>
      </c>
      <c r="D423" s="23" t="s">
        <v>12</v>
      </c>
      <c r="E423" s="23" t="s">
        <v>327</v>
      </c>
      <c r="F423" s="23" t="s">
        <v>329</v>
      </c>
      <c r="G423" s="92"/>
      <c r="H423" s="92"/>
      <c r="I423" s="92"/>
      <c r="J423" s="269"/>
      <c r="K423" s="265"/>
      <c r="L423" s="265">
        <f>J423+K423</f>
        <v>0</v>
      </c>
      <c r="M423" s="32"/>
      <c r="N423" s="33"/>
    </row>
    <row r="424" spans="1:14" ht="51.75">
      <c r="A424" s="82" t="s">
        <v>343</v>
      </c>
      <c r="B424" s="23" t="s">
        <v>286</v>
      </c>
      <c r="C424" s="23" t="s">
        <v>19</v>
      </c>
      <c r="D424" s="23" t="s">
        <v>12</v>
      </c>
      <c r="E424" s="23" t="s">
        <v>327</v>
      </c>
      <c r="F424" s="23" t="s">
        <v>344</v>
      </c>
      <c r="G424" s="92"/>
      <c r="H424" s="92"/>
      <c r="I424" s="92"/>
      <c r="J424" s="269">
        <v>34574.341</v>
      </c>
      <c r="K424" s="265"/>
      <c r="L424" s="265">
        <f>J424+K424</f>
        <v>34574.341</v>
      </c>
      <c r="M424" s="32"/>
      <c r="N424" s="33"/>
    </row>
    <row r="425" spans="1:14" ht="26.25">
      <c r="A425" s="34" t="s">
        <v>138</v>
      </c>
      <c r="B425" s="23" t="s">
        <v>286</v>
      </c>
      <c r="C425" s="23" t="s">
        <v>19</v>
      </c>
      <c r="D425" s="23" t="s">
        <v>12</v>
      </c>
      <c r="E425" s="23" t="s">
        <v>139</v>
      </c>
      <c r="F425" s="23"/>
      <c r="G425" s="92"/>
      <c r="H425" s="92"/>
      <c r="I425" s="92"/>
      <c r="J425" s="269">
        <f>J426</f>
        <v>494.4497</v>
      </c>
      <c r="K425" s="269">
        <f>K426</f>
        <v>0</v>
      </c>
      <c r="L425" s="269">
        <f>L426</f>
        <v>494.4497</v>
      </c>
      <c r="M425" s="154">
        <f>M426</f>
        <v>0</v>
      </c>
      <c r="N425" s="154">
        <f>N426</f>
        <v>0</v>
      </c>
    </row>
    <row r="426" spans="1:14" ht="26.25">
      <c r="A426" s="34" t="s">
        <v>113</v>
      </c>
      <c r="B426" s="23" t="s">
        <v>286</v>
      </c>
      <c r="C426" s="23" t="s">
        <v>19</v>
      </c>
      <c r="D426" s="23" t="s">
        <v>12</v>
      </c>
      <c r="E426" s="23" t="s">
        <v>140</v>
      </c>
      <c r="F426" s="23"/>
      <c r="G426" s="92"/>
      <c r="H426" s="92"/>
      <c r="I426" s="92"/>
      <c r="J426" s="269">
        <f>J428+J427</f>
        <v>494.4497</v>
      </c>
      <c r="K426" s="269">
        <f>K428+K427</f>
        <v>0</v>
      </c>
      <c r="L426" s="269">
        <f>L428+L427</f>
        <v>494.4497</v>
      </c>
      <c r="M426" s="228">
        <f>M428+M427</f>
        <v>0</v>
      </c>
      <c r="N426" s="228">
        <f>N428+N427</f>
        <v>0</v>
      </c>
    </row>
    <row r="427" spans="1:14" ht="39">
      <c r="A427" s="34" t="s">
        <v>502</v>
      </c>
      <c r="B427" s="23" t="s">
        <v>286</v>
      </c>
      <c r="C427" s="23" t="s">
        <v>19</v>
      </c>
      <c r="D427" s="23" t="s">
        <v>12</v>
      </c>
      <c r="E427" s="23" t="s">
        <v>140</v>
      </c>
      <c r="F427" s="23" t="s">
        <v>501</v>
      </c>
      <c r="G427" s="92"/>
      <c r="H427" s="92"/>
      <c r="I427" s="92"/>
      <c r="J427" s="269">
        <v>494.4497</v>
      </c>
      <c r="K427" s="269"/>
      <c r="L427" s="269">
        <f>J427+K427</f>
        <v>494.4497</v>
      </c>
      <c r="M427" s="243"/>
      <c r="N427" s="244"/>
    </row>
    <row r="428" spans="1:14" ht="38.25">
      <c r="A428" s="66" t="s">
        <v>163</v>
      </c>
      <c r="B428" s="23" t="s">
        <v>286</v>
      </c>
      <c r="C428" s="23" t="s">
        <v>19</v>
      </c>
      <c r="D428" s="23" t="s">
        <v>12</v>
      </c>
      <c r="E428" s="23" t="s">
        <v>140</v>
      </c>
      <c r="F428" s="23" t="s">
        <v>165</v>
      </c>
      <c r="G428" s="92"/>
      <c r="H428" s="92"/>
      <c r="I428" s="92"/>
      <c r="J428" s="269">
        <v>0</v>
      </c>
      <c r="K428" s="265"/>
      <c r="L428" s="265">
        <f>J428+K428</f>
        <v>0</v>
      </c>
      <c r="M428" s="32"/>
      <c r="N428" s="33"/>
    </row>
    <row r="429" spans="1:14" ht="39">
      <c r="A429" s="34" t="s">
        <v>515</v>
      </c>
      <c r="B429" s="23" t="s">
        <v>286</v>
      </c>
      <c r="C429" s="23" t="s">
        <v>19</v>
      </c>
      <c r="D429" s="23" t="s">
        <v>12</v>
      </c>
      <c r="E429" s="23" t="s">
        <v>155</v>
      </c>
      <c r="F429" s="23"/>
      <c r="G429" s="31"/>
      <c r="H429" s="30"/>
      <c r="I429" s="31"/>
      <c r="J429" s="269">
        <f>J430</f>
        <v>7721.85467</v>
      </c>
      <c r="K429" s="265">
        <f>K430</f>
        <v>70</v>
      </c>
      <c r="L429" s="265">
        <f>L430</f>
        <v>7791.85467</v>
      </c>
      <c r="M429" s="32"/>
      <c r="N429" s="33"/>
    </row>
    <row r="430" spans="1:14" ht="28.5" customHeight="1">
      <c r="A430" s="34" t="s">
        <v>113</v>
      </c>
      <c r="B430" s="23" t="s">
        <v>286</v>
      </c>
      <c r="C430" s="23" t="s">
        <v>19</v>
      </c>
      <c r="D430" s="23" t="s">
        <v>12</v>
      </c>
      <c r="E430" s="23" t="s">
        <v>156</v>
      </c>
      <c r="F430" s="23"/>
      <c r="G430" s="37">
        <f aca="true" t="shared" si="63" ref="G430:N430">G431</f>
        <v>200</v>
      </c>
      <c r="H430" s="37">
        <f t="shared" si="63"/>
        <v>0</v>
      </c>
      <c r="I430" s="37">
        <f t="shared" si="63"/>
        <v>0</v>
      </c>
      <c r="J430" s="265">
        <f>J431+J432+J433</f>
        <v>7721.85467</v>
      </c>
      <c r="K430" s="265">
        <f>K431+K432+K433</f>
        <v>70</v>
      </c>
      <c r="L430" s="265">
        <f>L431+L432+L433</f>
        <v>7791.85467</v>
      </c>
      <c r="M430" s="32">
        <f t="shared" si="63"/>
        <v>0</v>
      </c>
      <c r="N430" s="33">
        <f t="shared" si="63"/>
        <v>195</v>
      </c>
    </row>
    <row r="431" spans="1:14" ht="27" customHeight="1">
      <c r="A431" s="34" t="s">
        <v>502</v>
      </c>
      <c r="B431" s="23" t="s">
        <v>286</v>
      </c>
      <c r="C431" s="23" t="s">
        <v>19</v>
      </c>
      <c r="D431" s="23" t="s">
        <v>12</v>
      </c>
      <c r="E431" s="23" t="s">
        <v>156</v>
      </c>
      <c r="F431" s="23" t="s">
        <v>501</v>
      </c>
      <c r="G431" s="37">
        <v>200</v>
      </c>
      <c r="H431" s="30"/>
      <c r="I431" s="37"/>
      <c r="J431" s="269">
        <v>195</v>
      </c>
      <c r="K431" s="265"/>
      <c r="L431" s="265">
        <f>J431+K431</f>
        <v>195</v>
      </c>
      <c r="M431" s="32"/>
      <c r="N431" s="33">
        <f>L431+M431</f>
        <v>195</v>
      </c>
    </row>
    <row r="432" spans="1:14" ht="18" customHeight="1">
      <c r="A432" s="82" t="s">
        <v>362</v>
      </c>
      <c r="B432" s="23" t="s">
        <v>286</v>
      </c>
      <c r="C432" s="23" t="s">
        <v>19</v>
      </c>
      <c r="D432" s="23" t="s">
        <v>12</v>
      </c>
      <c r="E432" s="23" t="s">
        <v>156</v>
      </c>
      <c r="F432" s="23" t="s">
        <v>363</v>
      </c>
      <c r="G432" s="37"/>
      <c r="H432" s="30"/>
      <c r="I432" s="37"/>
      <c r="J432" s="269">
        <v>7526.85467</v>
      </c>
      <c r="K432" s="265"/>
      <c r="L432" s="265">
        <f>J432+K432</f>
        <v>7526.85467</v>
      </c>
      <c r="M432" s="32"/>
      <c r="N432" s="33"/>
    </row>
    <row r="433" spans="1:14" ht="25.5" customHeight="1">
      <c r="A433" s="82" t="s">
        <v>532</v>
      </c>
      <c r="B433" s="23" t="s">
        <v>286</v>
      </c>
      <c r="C433" s="23" t="s">
        <v>19</v>
      </c>
      <c r="D433" s="23" t="s">
        <v>12</v>
      </c>
      <c r="E433" s="23" t="s">
        <v>156</v>
      </c>
      <c r="F433" s="23" t="s">
        <v>521</v>
      </c>
      <c r="G433" s="37"/>
      <c r="H433" s="30"/>
      <c r="I433" s="37"/>
      <c r="J433" s="269"/>
      <c r="K433" s="265">
        <v>70</v>
      </c>
      <c r="L433" s="265">
        <f>J433+K433</f>
        <v>70</v>
      </c>
      <c r="M433" s="32"/>
      <c r="N433" s="38"/>
    </row>
    <row r="434" spans="1:14" ht="17.25" customHeight="1">
      <c r="A434" s="82" t="s">
        <v>355</v>
      </c>
      <c r="B434" s="23" t="s">
        <v>286</v>
      </c>
      <c r="C434" s="23" t="s">
        <v>19</v>
      </c>
      <c r="D434" s="23" t="s">
        <v>12</v>
      </c>
      <c r="E434" s="23" t="s">
        <v>356</v>
      </c>
      <c r="F434" s="23"/>
      <c r="G434" s="92"/>
      <c r="H434" s="92"/>
      <c r="I434" s="92"/>
      <c r="J434" s="269">
        <f>J435+J437+J439</f>
        <v>20000</v>
      </c>
      <c r="K434" s="269">
        <f>K435+K437+K439</f>
        <v>0</v>
      </c>
      <c r="L434" s="269">
        <f>L435+L437+L439</f>
        <v>20000</v>
      </c>
      <c r="M434" s="154" t="e">
        <f>M435+#REF!</f>
        <v>#REF!</v>
      </c>
      <c r="N434" s="154" t="e">
        <f>N435+#REF!</f>
        <v>#REF!</v>
      </c>
    </row>
    <row r="435" spans="1:14" ht="39" hidden="1">
      <c r="A435" s="82" t="s">
        <v>357</v>
      </c>
      <c r="B435" s="23" t="s">
        <v>286</v>
      </c>
      <c r="C435" s="23" t="s">
        <v>19</v>
      </c>
      <c r="D435" s="23" t="s">
        <v>12</v>
      </c>
      <c r="E435" s="23" t="s">
        <v>358</v>
      </c>
      <c r="F435" s="23"/>
      <c r="G435" s="92"/>
      <c r="H435" s="92"/>
      <c r="I435" s="92"/>
      <c r="J435" s="265">
        <f>J436</f>
        <v>0</v>
      </c>
      <c r="K435" s="265">
        <f>K436</f>
        <v>0</v>
      </c>
      <c r="L435" s="265">
        <f>L436</f>
        <v>0</v>
      </c>
      <c r="M435" s="65"/>
      <c r="N435" s="33">
        <f>L435+M435</f>
        <v>0</v>
      </c>
    </row>
    <row r="436" spans="1:14" ht="15" hidden="1">
      <c r="A436" s="82" t="s">
        <v>328</v>
      </c>
      <c r="B436" s="23" t="s">
        <v>286</v>
      </c>
      <c r="C436" s="23" t="s">
        <v>19</v>
      </c>
      <c r="D436" s="23" t="s">
        <v>12</v>
      </c>
      <c r="E436" s="23" t="s">
        <v>358</v>
      </c>
      <c r="F436" s="23" t="s">
        <v>329</v>
      </c>
      <c r="G436" s="92"/>
      <c r="H436" s="92"/>
      <c r="I436" s="92"/>
      <c r="J436" s="269"/>
      <c r="K436" s="265"/>
      <c r="L436" s="265">
        <f>J436+K436</f>
        <v>0</v>
      </c>
      <c r="M436" s="65"/>
      <c r="N436" s="33">
        <f>L436+M436</f>
        <v>0</v>
      </c>
    </row>
    <row r="437" spans="1:14" ht="38.25">
      <c r="A437" s="66" t="s">
        <v>457</v>
      </c>
      <c r="B437" s="23" t="s">
        <v>286</v>
      </c>
      <c r="C437" s="23" t="s">
        <v>19</v>
      </c>
      <c r="D437" s="23" t="s">
        <v>12</v>
      </c>
      <c r="E437" s="23" t="s">
        <v>458</v>
      </c>
      <c r="F437" s="23"/>
      <c r="G437" s="92"/>
      <c r="H437" s="92"/>
      <c r="I437" s="92"/>
      <c r="J437" s="269">
        <f>J438</f>
        <v>10000</v>
      </c>
      <c r="K437" s="269">
        <f>K438</f>
        <v>0</v>
      </c>
      <c r="L437" s="269">
        <f>L438</f>
        <v>10000</v>
      </c>
      <c r="M437" s="65"/>
      <c r="N437" s="33"/>
    </row>
    <row r="438" spans="1:14" ht="51">
      <c r="A438" s="66" t="s">
        <v>359</v>
      </c>
      <c r="B438" s="23" t="s">
        <v>286</v>
      </c>
      <c r="C438" s="23" t="s">
        <v>19</v>
      </c>
      <c r="D438" s="23" t="s">
        <v>12</v>
      </c>
      <c r="E438" s="23" t="s">
        <v>458</v>
      </c>
      <c r="F438" s="23" t="s">
        <v>344</v>
      </c>
      <c r="G438" s="92"/>
      <c r="H438" s="92"/>
      <c r="I438" s="92"/>
      <c r="J438" s="269">
        <v>10000</v>
      </c>
      <c r="K438" s="265"/>
      <c r="L438" s="265">
        <f>J438+K438</f>
        <v>10000</v>
      </c>
      <c r="M438" s="65"/>
      <c r="N438" s="33"/>
    </row>
    <row r="439" spans="1:14" ht="39">
      <c r="A439" s="82" t="s">
        <v>360</v>
      </c>
      <c r="B439" s="23" t="s">
        <v>286</v>
      </c>
      <c r="C439" s="23" t="s">
        <v>19</v>
      </c>
      <c r="D439" s="23" t="s">
        <v>12</v>
      </c>
      <c r="E439" s="23" t="s">
        <v>361</v>
      </c>
      <c r="F439" s="23"/>
      <c r="G439" s="31">
        <f aca="true" t="shared" si="64" ref="G439:N439">G440</f>
        <v>52.672</v>
      </c>
      <c r="H439" s="31">
        <f t="shared" si="64"/>
        <v>778</v>
      </c>
      <c r="I439" s="31">
        <f t="shared" si="64"/>
        <v>0</v>
      </c>
      <c r="J439" s="265">
        <f>J440+J441</f>
        <v>10000</v>
      </c>
      <c r="K439" s="265">
        <f>K440+K441</f>
        <v>0</v>
      </c>
      <c r="L439" s="265">
        <f>L440+L441</f>
        <v>10000</v>
      </c>
      <c r="M439" s="32">
        <f t="shared" si="64"/>
        <v>0</v>
      </c>
      <c r="N439" s="33">
        <f t="shared" si="64"/>
        <v>0</v>
      </c>
    </row>
    <row r="440" spans="1:14" ht="16.5" customHeight="1" hidden="1">
      <c r="A440" s="82" t="s">
        <v>328</v>
      </c>
      <c r="B440" s="23" t="s">
        <v>286</v>
      </c>
      <c r="C440" s="23" t="s">
        <v>19</v>
      </c>
      <c r="D440" s="23" t="s">
        <v>12</v>
      </c>
      <c r="E440" s="23" t="s">
        <v>361</v>
      </c>
      <c r="F440" s="23" t="s">
        <v>329</v>
      </c>
      <c r="G440" s="31">
        <f>52.672</f>
        <v>52.672</v>
      </c>
      <c r="H440" s="30">
        <v>778</v>
      </c>
      <c r="I440" s="31"/>
      <c r="J440" s="269"/>
      <c r="K440" s="265"/>
      <c r="L440" s="265">
        <f>J440+K440</f>
        <v>0</v>
      </c>
      <c r="M440" s="32"/>
      <c r="N440" s="33">
        <f>L440+M440</f>
        <v>0</v>
      </c>
    </row>
    <row r="441" spans="1:14" ht="32.25" customHeight="1">
      <c r="A441" s="66" t="s">
        <v>359</v>
      </c>
      <c r="B441" s="23" t="s">
        <v>286</v>
      </c>
      <c r="C441" s="23" t="s">
        <v>19</v>
      </c>
      <c r="D441" s="23" t="s">
        <v>12</v>
      </c>
      <c r="E441" s="23" t="s">
        <v>361</v>
      </c>
      <c r="F441" s="23" t="s">
        <v>344</v>
      </c>
      <c r="G441" s="31"/>
      <c r="H441" s="30"/>
      <c r="I441" s="31"/>
      <c r="J441" s="269">
        <v>10000</v>
      </c>
      <c r="K441" s="265"/>
      <c r="L441" s="265">
        <f>J441+K441</f>
        <v>10000</v>
      </c>
      <c r="M441" s="32"/>
      <c r="N441" s="33"/>
    </row>
    <row r="442" spans="1:14" s="147" customFormat="1" ht="25.5" hidden="1">
      <c r="A442" s="82" t="s">
        <v>247</v>
      </c>
      <c r="B442" s="29" t="s">
        <v>286</v>
      </c>
      <c r="C442" s="29" t="s">
        <v>19</v>
      </c>
      <c r="D442" s="29" t="s">
        <v>16</v>
      </c>
      <c r="E442" s="29"/>
      <c r="F442" s="29"/>
      <c r="G442" s="25" t="e">
        <f>G443+#REF!</f>
        <v>#REF!</v>
      </c>
      <c r="H442" s="25" t="e">
        <f>H443+#REF!</f>
        <v>#REF!</v>
      </c>
      <c r="I442" s="25" t="e">
        <f>I443+#REF!</f>
        <v>#REF!</v>
      </c>
      <c r="J442" s="268">
        <f>J443</f>
        <v>0</v>
      </c>
      <c r="K442" s="268">
        <f>K443</f>
        <v>0</v>
      </c>
      <c r="L442" s="268">
        <f>L443</f>
        <v>0</v>
      </c>
      <c r="M442" s="46" t="e">
        <f>M443+#REF!</f>
        <v>#REF!</v>
      </c>
      <c r="N442" s="63" t="e">
        <f>N443+#REF!</f>
        <v>#REF!</v>
      </c>
    </row>
    <row r="443" spans="1:14" ht="26.25" hidden="1">
      <c r="A443" s="82" t="s">
        <v>103</v>
      </c>
      <c r="B443" s="23" t="s">
        <v>286</v>
      </c>
      <c r="C443" s="23" t="s">
        <v>19</v>
      </c>
      <c r="D443" s="23" t="s">
        <v>16</v>
      </c>
      <c r="E443" s="23" t="s">
        <v>104</v>
      </c>
      <c r="F443" s="23"/>
      <c r="G443" s="37">
        <f aca="true" t="shared" si="65" ref="G443:N444">G444</f>
        <v>-42.5</v>
      </c>
      <c r="H443" s="37">
        <f t="shared" si="65"/>
        <v>0</v>
      </c>
      <c r="I443" s="37">
        <f t="shared" si="65"/>
        <v>0</v>
      </c>
      <c r="J443" s="269">
        <f>J444</f>
        <v>0</v>
      </c>
      <c r="K443" s="265">
        <f t="shared" si="65"/>
        <v>0</v>
      </c>
      <c r="L443" s="265">
        <f t="shared" si="65"/>
        <v>0</v>
      </c>
      <c r="M443" s="32">
        <f t="shared" si="65"/>
        <v>0</v>
      </c>
      <c r="N443" s="33">
        <f t="shared" si="65"/>
        <v>0</v>
      </c>
    </row>
    <row r="444" spans="1:14" ht="26.25" hidden="1">
      <c r="A444" s="82" t="s">
        <v>105</v>
      </c>
      <c r="B444" s="23" t="s">
        <v>286</v>
      </c>
      <c r="C444" s="23" t="s">
        <v>19</v>
      </c>
      <c r="D444" s="23" t="s">
        <v>16</v>
      </c>
      <c r="E444" s="23" t="s">
        <v>106</v>
      </c>
      <c r="F444" s="23"/>
      <c r="G444" s="31">
        <f aca="true" t="shared" si="66" ref="G444:L444">G445+G447+G446</f>
        <v>-42.5</v>
      </c>
      <c r="H444" s="31">
        <f t="shared" si="66"/>
        <v>0</v>
      </c>
      <c r="I444" s="31">
        <f t="shared" si="66"/>
        <v>0</v>
      </c>
      <c r="J444" s="265">
        <f t="shared" si="66"/>
        <v>0</v>
      </c>
      <c r="K444" s="265">
        <f t="shared" si="66"/>
        <v>0</v>
      </c>
      <c r="L444" s="265">
        <f t="shared" si="66"/>
        <v>0</v>
      </c>
      <c r="M444" s="32">
        <f t="shared" si="65"/>
        <v>0</v>
      </c>
      <c r="N444" s="33">
        <f t="shared" si="65"/>
        <v>0</v>
      </c>
    </row>
    <row r="445" spans="1:15" ht="26.25" hidden="1">
      <c r="A445" s="82" t="s">
        <v>364</v>
      </c>
      <c r="B445" s="23" t="s">
        <v>286</v>
      </c>
      <c r="C445" s="23" t="s">
        <v>19</v>
      </c>
      <c r="D445" s="23" t="s">
        <v>16</v>
      </c>
      <c r="E445" s="23" t="s">
        <v>106</v>
      </c>
      <c r="F445" s="23" t="s">
        <v>108</v>
      </c>
      <c r="G445" s="37">
        <v>-42.5</v>
      </c>
      <c r="H445" s="30"/>
      <c r="I445" s="37"/>
      <c r="J445" s="269"/>
      <c r="K445" s="265"/>
      <c r="L445" s="265">
        <f>J445+K445</f>
        <v>0</v>
      </c>
      <c r="M445" s="32"/>
      <c r="N445" s="38">
        <f>L445+M445</f>
        <v>0</v>
      </c>
      <c r="O445" s="95"/>
    </row>
    <row r="446" spans="1:14" ht="30" customHeight="1" hidden="1">
      <c r="A446" s="66" t="s">
        <v>172</v>
      </c>
      <c r="B446" s="23" t="s">
        <v>286</v>
      </c>
      <c r="C446" s="23" t="s">
        <v>19</v>
      </c>
      <c r="D446" s="23" t="s">
        <v>16</v>
      </c>
      <c r="E446" s="23" t="s">
        <v>106</v>
      </c>
      <c r="F446" s="23" t="s">
        <v>173</v>
      </c>
      <c r="G446" s="37"/>
      <c r="H446" s="37"/>
      <c r="I446" s="37"/>
      <c r="J446" s="269"/>
      <c r="K446" s="265"/>
      <c r="L446" s="265">
        <f>J446+K446</f>
        <v>0</v>
      </c>
      <c r="M446" s="32"/>
      <c r="N446" s="33"/>
    </row>
    <row r="447" spans="1:14" ht="30" customHeight="1" hidden="1">
      <c r="A447" s="66" t="s">
        <v>163</v>
      </c>
      <c r="B447" s="23" t="s">
        <v>286</v>
      </c>
      <c r="C447" s="23" t="s">
        <v>19</v>
      </c>
      <c r="D447" s="23" t="s">
        <v>16</v>
      </c>
      <c r="E447" s="23" t="s">
        <v>106</v>
      </c>
      <c r="F447" s="23" t="s">
        <v>165</v>
      </c>
      <c r="G447" s="37"/>
      <c r="H447" s="37"/>
      <c r="I447" s="37"/>
      <c r="J447" s="269"/>
      <c r="K447" s="265"/>
      <c r="L447" s="265">
        <f>J447+K447</f>
        <v>0</v>
      </c>
      <c r="M447" s="32"/>
      <c r="N447" s="33"/>
    </row>
    <row r="448" spans="1:14" s="147" customFormat="1" ht="25.5">
      <c r="A448" s="81" t="s">
        <v>51</v>
      </c>
      <c r="B448" s="29" t="s">
        <v>286</v>
      </c>
      <c r="C448" s="29" t="s">
        <v>19</v>
      </c>
      <c r="D448" s="29" t="s">
        <v>19</v>
      </c>
      <c r="E448" s="29"/>
      <c r="F448" s="29"/>
      <c r="G448" s="21"/>
      <c r="H448" s="21"/>
      <c r="I448" s="21"/>
      <c r="J448" s="268">
        <f aca="true" t="shared" si="67" ref="J448:L450">J449</f>
        <v>10</v>
      </c>
      <c r="K448" s="268">
        <f t="shared" si="67"/>
        <v>0</v>
      </c>
      <c r="L448" s="268">
        <f t="shared" si="67"/>
        <v>10</v>
      </c>
      <c r="M448" s="102">
        <f>M450</f>
        <v>0</v>
      </c>
      <c r="N448" s="102">
        <f>N450</f>
        <v>0</v>
      </c>
    </row>
    <row r="449" spans="1:14" s="147" customFormat="1" ht="14.25">
      <c r="A449" s="82" t="s">
        <v>347</v>
      </c>
      <c r="B449" s="23" t="s">
        <v>286</v>
      </c>
      <c r="C449" s="23" t="s">
        <v>19</v>
      </c>
      <c r="D449" s="23" t="s">
        <v>19</v>
      </c>
      <c r="E449" s="23" t="s">
        <v>276</v>
      </c>
      <c r="F449" s="29"/>
      <c r="G449" s="21"/>
      <c r="H449" s="21"/>
      <c r="I449" s="21"/>
      <c r="J449" s="269">
        <f t="shared" si="67"/>
        <v>10</v>
      </c>
      <c r="K449" s="269">
        <f t="shared" si="67"/>
        <v>0</v>
      </c>
      <c r="L449" s="269">
        <f t="shared" si="67"/>
        <v>10</v>
      </c>
      <c r="M449" s="102"/>
      <c r="N449" s="102"/>
    </row>
    <row r="450" spans="1:17" ht="30" customHeight="1">
      <c r="A450" s="98" t="s">
        <v>365</v>
      </c>
      <c r="B450" s="23" t="s">
        <v>286</v>
      </c>
      <c r="C450" s="23" t="s">
        <v>19</v>
      </c>
      <c r="D450" s="23" t="s">
        <v>19</v>
      </c>
      <c r="E450" s="23" t="s">
        <v>366</v>
      </c>
      <c r="F450" s="23"/>
      <c r="G450" s="37"/>
      <c r="H450" s="37"/>
      <c r="I450" s="37"/>
      <c r="J450" s="269">
        <f t="shared" si="67"/>
        <v>10</v>
      </c>
      <c r="K450" s="269">
        <f t="shared" si="67"/>
        <v>0</v>
      </c>
      <c r="L450" s="269">
        <f t="shared" si="67"/>
        <v>10</v>
      </c>
      <c r="M450" s="99">
        <f>M451</f>
        <v>0</v>
      </c>
      <c r="N450" s="99">
        <f>N451</f>
        <v>0</v>
      </c>
      <c r="Q450" s="162"/>
    </row>
    <row r="451" spans="1:14" ht="30" customHeight="1">
      <c r="A451" s="66" t="s">
        <v>163</v>
      </c>
      <c r="B451" s="23" t="s">
        <v>286</v>
      </c>
      <c r="C451" s="23" t="s">
        <v>19</v>
      </c>
      <c r="D451" s="23" t="s">
        <v>19</v>
      </c>
      <c r="E451" s="23" t="s">
        <v>366</v>
      </c>
      <c r="F451" s="23" t="s">
        <v>165</v>
      </c>
      <c r="G451" s="37"/>
      <c r="H451" s="37"/>
      <c r="I451" s="37"/>
      <c r="J451" s="269">
        <v>10</v>
      </c>
      <c r="K451" s="265"/>
      <c r="L451" s="265">
        <f>J451+K451</f>
        <v>10</v>
      </c>
      <c r="M451" s="32"/>
      <c r="N451" s="33"/>
    </row>
    <row r="452" spans="1:14" s="173" customFormat="1" ht="14.25">
      <c r="A452" s="81" t="s">
        <v>465</v>
      </c>
      <c r="B452" s="29" t="s">
        <v>286</v>
      </c>
      <c r="C452" s="29" t="s">
        <v>39</v>
      </c>
      <c r="D452" s="29"/>
      <c r="E452" s="29"/>
      <c r="F452" s="29"/>
      <c r="G452" s="21" t="e">
        <f>#REF!+#REF!</f>
        <v>#REF!</v>
      </c>
      <c r="H452" s="21" t="e">
        <f>#REF!+#REF!</f>
        <v>#REF!</v>
      </c>
      <c r="I452" s="21" t="e">
        <f>#REF!+#REF!</f>
        <v>#REF!</v>
      </c>
      <c r="J452" s="268">
        <f>J453+J456</f>
        <v>875</v>
      </c>
      <c r="K452" s="268">
        <f>K453+K456</f>
        <v>334.57599999999996</v>
      </c>
      <c r="L452" s="268">
        <f>L453+L456</f>
        <v>1209.576</v>
      </c>
      <c r="M452" s="35" t="e">
        <f>#REF!+#REF!+M453</f>
        <v>#REF!</v>
      </c>
      <c r="N452" s="36" t="e">
        <f>#REF!+#REF!+N453</f>
        <v>#REF!</v>
      </c>
    </row>
    <row r="453" spans="1:14" s="173" customFormat="1" ht="15" customHeight="1">
      <c r="A453" s="82" t="s">
        <v>55</v>
      </c>
      <c r="B453" s="29" t="s">
        <v>286</v>
      </c>
      <c r="C453" s="29" t="s">
        <v>39</v>
      </c>
      <c r="D453" s="29" t="s">
        <v>11</v>
      </c>
      <c r="E453" s="29"/>
      <c r="F453" s="29"/>
      <c r="G453" s="21"/>
      <c r="H453" s="21"/>
      <c r="I453" s="21"/>
      <c r="J453" s="268">
        <f>J454</f>
        <v>800</v>
      </c>
      <c r="K453" s="268">
        <f>K454</f>
        <v>0</v>
      </c>
      <c r="L453" s="268">
        <f>L454</f>
        <v>800</v>
      </c>
      <c r="M453" s="46" t="e">
        <f>M454</f>
        <v>#REF!</v>
      </c>
      <c r="N453" s="63" t="e">
        <f>N454</f>
        <v>#REF!</v>
      </c>
    </row>
    <row r="454" spans="1:14" s="173" customFormat="1" ht="43.5" customHeight="1">
      <c r="A454" s="82" t="s">
        <v>326</v>
      </c>
      <c r="B454" s="23" t="s">
        <v>286</v>
      </c>
      <c r="C454" s="23" t="s">
        <v>39</v>
      </c>
      <c r="D454" s="23" t="s">
        <v>11</v>
      </c>
      <c r="E454" s="23" t="s">
        <v>342</v>
      </c>
      <c r="F454" s="23"/>
      <c r="G454" s="37"/>
      <c r="H454" s="37"/>
      <c r="I454" s="37"/>
      <c r="J454" s="269">
        <f>J455</f>
        <v>800</v>
      </c>
      <c r="K454" s="269">
        <f>K455</f>
        <v>0</v>
      </c>
      <c r="L454" s="269">
        <f>L455</f>
        <v>800</v>
      </c>
      <c r="M454" s="32" t="e">
        <f>#REF!+M455</f>
        <v>#REF!</v>
      </c>
      <c r="N454" s="33" t="e">
        <f>#REF!+N455</f>
        <v>#REF!</v>
      </c>
    </row>
    <row r="455" spans="1:14" s="173" customFormat="1" ht="37.5" customHeight="1">
      <c r="A455" s="82" t="s">
        <v>343</v>
      </c>
      <c r="B455" s="23" t="s">
        <v>286</v>
      </c>
      <c r="C455" s="23" t="s">
        <v>39</v>
      </c>
      <c r="D455" s="23" t="s">
        <v>11</v>
      </c>
      <c r="E455" s="23" t="s">
        <v>327</v>
      </c>
      <c r="F455" s="23" t="s">
        <v>344</v>
      </c>
      <c r="G455" s="37"/>
      <c r="H455" s="37"/>
      <c r="I455" s="37"/>
      <c r="J455" s="269">
        <v>800</v>
      </c>
      <c r="K455" s="265"/>
      <c r="L455" s="265">
        <f>J455+K455</f>
        <v>800</v>
      </c>
      <c r="M455" s="107"/>
      <c r="N455" s="108">
        <f>L455+M455</f>
        <v>800</v>
      </c>
    </row>
    <row r="456" spans="1:14" ht="26.25">
      <c r="A456" s="81" t="s">
        <v>371</v>
      </c>
      <c r="B456" s="29" t="s">
        <v>286</v>
      </c>
      <c r="C456" s="29" t="s">
        <v>39</v>
      </c>
      <c r="D456" s="29" t="s">
        <v>14</v>
      </c>
      <c r="E456" s="29"/>
      <c r="F456" s="29"/>
      <c r="G456" s="21">
        <f aca="true" t="shared" si="68" ref="G456:L458">G457</f>
        <v>50</v>
      </c>
      <c r="H456" s="21">
        <f t="shared" si="68"/>
        <v>44</v>
      </c>
      <c r="I456" s="21">
        <f t="shared" si="68"/>
        <v>0</v>
      </c>
      <c r="J456" s="268">
        <f t="shared" si="68"/>
        <v>75</v>
      </c>
      <c r="K456" s="264">
        <f t="shared" si="68"/>
        <v>334.57599999999996</v>
      </c>
      <c r="L456" s="264">
        <f t="shared" si="68"/>
        <v>409.57599999999996</v>
      </c>
      <c r="M456" s="32"/>
      <c r="N456" s="33"/>
    </row>
    <row r="457" spans="1:14" ht="39">
      <c r="A457" s="82" t="s">
        <v>372</v>
      </c>
      <c r="B457" s="23" t="s">
        <v>286</v>
      </c>
      <c r="C457" s="23" t="s">
        <v>39</v>
      </c>
      <c r="D457" s="23" t="s">
        <v>14</v>
      </c>
      <c r="E457" s="23" t="s">
        <v>119</v>
      </c>
      <c r="F457" s="23"/>
      <c r="G457" s="37">
        <f t="shared" si="68"/>
        <v>50</v>
      </c>
      <c r="H457" s="37">
        <f t="shared" si="68"/>
        <v>44</v>
      </c>
      <c r="I457" s="37">
        <f t="shared" si="68"/>
        <v>0</v>
      </c>
      <c r="J457" s="269">
        <f t="shared" si="68"/>
        <v>75</v>
      </c>
      <c r="K457" s="265">
        <f t="shared" si="68"/>
        <v>334.57599999999996</v>
      </c>
      <c r="L457" s="265">
        <f t="shared" si="68"/>
        <v>409.57599999999996</v>
      </c>
      <c r="M457" s="32"/>
      <c r="N457" s="33"/>
    </row>
    <row r="458" spans="1:14" ht="26.25">
      <c r="A458" s="82" t="s">
        <v>113</v>
      </c>
      <c r="B458" s="23" t="s">
        <v>286</v>
      </c>
      <c r="C458" s="23" t="s">
        <v>39</v>
      </c>
      <c r="D458" s="23" t="s">
        <v>14</v>
      </c>
      <c r="E458" s="23" t="s">
        <v>120</v>
      </c>
      <c r="F458" s="23"/>
      <c r="G458" s="37">
        <f t="shared" si="68"/>
        <v>50</v>
      </c>
      <c r="H458" s="37">
        <f t="shared" si="68"/>
        <v>44</v>
      </c>
      <c r="I458" s="37">
        <f t="shared" si="68"/>
        <v>0</v>
      </c>
      <c r="J458" s="265">
        <f>J459+J460</f>
        <v>75</v>
      </c>
      <c r="K458" s="265">
        <f>K459+K460</f>
        <v>334.57599999999996</v>
      </c>
      <c r="L458" s="265">
        <f>L459+L460</f>
        <v>409.57599999999996</v>
      </c>
      <c r="M458" s="65" t="e">
        <f>M459+M460+#REF!</f>
        <v>#REF!</v>
      </c>
      <c r="N458" s="65" t="e">
        <f>N459+N460+#REF!</f>
        <v>#REF!</v>
      </c>
    </row>
    <row r="459" spans="1:14" ht="26.25" hidden="1">
      <c r="A459" s="82" t="s">
        <v>111</v>
      </c>
      <c r="B459" s="23" t="s">
        <v>286</v>
      </c>
      <c r="C459" s="23" t="s">
        <v>39</v>
      </c>
      <c r="D459" s="23" t="s">
        <v>14</v>
      </c>
      <c r="E459" s="23" t="s">
        <v>120</v>
      </c>
      <c r="F459" s="23" t="s">
        <v>112</v>
      </c>
      <c r="G459" s="37">
        <v>50</v>
      </c>
      <c r="H459" s="37">
        <v>44</v>
      </c>
      <c r="I459" s="37"/>
      <c r="J459" s="269"/>
      <c r="K459" s="265"/>
      <c r="L459" s="265">
        <f>J459+K459</f>
        <v>0</v>
      </c>
      <c r="M459" s="32"/>
      <c r="N459" s="33"/>
    </row>
    <row r="460" spans="1:14" ht="17.25" customHeight="1" thickBot="1">
      <c r="A460" s="66" t="s">
        <v>163</v>
      </c>
      <c r="B460" s="23" t="s">
        <v>286</v>
      </c>
      <c r="C460" s="23" t="s">
        <v>39</v>
      </c>
      <c r="D460" s="23" t="s">
        <v>14</v>
      </c>
      <c r="E460" s="23" t="s">
        <v>120</v>
      </c>
      <c r="F460" s="23" t="s">
        <v>165</v>
      </c>
      <c r="G460" s="37"/>
      <c r="H460" s="30"/>
      <c r="I460" s="37"/>
      <c r="J460" s="269">
        <v>75</v>
      </c>
      <c r="K460" s="265">
        <f>47.376+287.2</f>
        <v>334.57599999999996</v>
      </c>
      <c r="L460" s="265">
        <f>J460+K460</f>
        <v>409.57599999999996</v>
      </c>
      <c r="M460" s="55"/>
      <c r="N460" s="109"/>
    </row>
    <row r="461" spans="1:14" ht="17.25" customHeight="1">
      <c r="A461" s="66" t="s">
        <v>110</v>
      </c>
      <c r="B461" s="23" t="s">
        <v>286</v>
      </c>
      <c r="C461" s="23" t="s">
        <v>33</v>
      </c>
      <c r="D461" s="23"/>
      <c r="E461" s="23"/>
      <c r="F461" s="23"/>
      <c r="G461" s="37"/>
      <c r="H461" s="30"/>
      <c r="I461" s="37"/>
      <c r="J461" s="269">
        <f aca="true" t="shared" si="69" ref="J461:L463">J462</f>
        <v>490</v>
      </c>
      <c r="K461" s="269">
        <f t="shared" si="69"/>
        <v>0</v>
      </c>
      <c r="L461" s="269">
        <f t="shared" si="69"/>
        <v>490</v>
      </c>
      <c r="M461" s="57"/>
      <c r="N461" s="175"/>
    </row>
    <row r="462" spans="1:14" ht="17.25" customHeight="1">
      <c r="A462" s="28" t="s">
        <v>64</v>
      </c>
      <c r="B462" s="23" t="s">
        <v>286</v>
      </c>
      <c r="C462" s="23" t="s">
        <v>33</v>
      </c>
      <c r="D462" s="23" t="s">
        <v>33</v>
      </c>
      <c r="E462" s="23"/>
      <c r="F462" s="23"/>
      <c r="G462" s="37"/>
      <c r="H462" s="30"/>
      <c r="I462" s="37"/>
      <c r="J462" s="269">
        <f t="shared" si="69"/>
        <v>490</v>
      </c>
      <c r="K462" s="269">
        <f t="shared" si="69"/>
        <v>0</v>
      </c>
      <c r="L462" s="269">
        <f t="shared" si="69"/>
        <v>490</v>
      </c>
      <c r="M462" s="57"/>
      <c r="N462" s="175"/>
    </row>
    <row r="463" spans="1:14" ht="17.25" customHeight="1">
      <c r="A463" s="82" t="s">
        <v>347</v>
      </c>
      <c r="B463" s="23" t="s">
        <v>286</v>
      </c>
      <c r="C463" s="23" t="s">
        <v>33</v>
      </c>
      <c r="D463" s="23" t="s">
        <v>33</v>
      </c>
      <c r="E463" s="23" t="s">
        <v>276</v>
      </c>
      <c r="F463" s="23"/>
      <c r="G463" s="37"/>
      <c r="H463" s="30"/>
      <c r="I463" s="37"/>
      <c r="J463" s="269">
        <f t="shared" si="69"/>
        <v>490</v>
      </c>
      <c r="K463" s="269">
        <f t="shared" si="69"/>
        <v>0</v>
      </c>
      <c r="L463" s="269">
        <f t="shared" si="69"/>
        <v>490</v>
      </c>
      <c r="M463" s="57"/>
      <c r="N463" s="175"/>
    </row>
    <row r="464" spans="1:14" ht="42" customHeight="1">
      <c r="A464" s="66" t="s">
        <v>470</v>
      </c>
      <c r="B464" s="23" t="s">
        <v>286</v>
      </c>
      <c r="C464" s="23" t="s">
        <v>33</v>
      </c>
      <c r="D464" s="23" t="s">
        <v>33</v>
      </c>
      <c r="E464" s="23" t="s">
        <v>471</v>
      </c>
      <c r="F464" s="23"/>
      <c r="G464" s="37"/>
      <c r="H464" s="30"/>
      <c r="I464" s="37"/>
      <c r="J464" s="269">
        <f>J465+J466</f>
        <v>490</v>
      </c>
      <c r="K464" s="269">
        <f>K465+K466</f>
        <v>0</v>
      </c>
      <c r="L464" s="269">
        <f>L465+L466</f>
        <v>490</v>
      </c>
      <c r="M464" s="57"/>
      <c r="N464" s="175"/>
    </row>
    <row r="465" spans="1:14" ht="17.25" customHeight="1">
      <c r="A465" s="66" t="s">
        <v>163</v>
      </c>
      <c r="B465" s="23" t="s">
        <v>286</v>
      </c>
      <c r="C465" s="23" t="s">
        <v>33</v>
      </c>
      <c r="D465" s="23" t="s">
        <v>33</v>
      </c>
      <c r="E465" s="23" t="s">
        <v>471</v>
      </c>
      <c r="F465" s="23" t="s">
        <v>165</v>
      </c>
      <c r="G465" s="37"/>
      <c r="H465" s="30"/>
      <c r="I465" s="37"/>
      <c r="J465" s="269">
        <v>490</v>
      </c>
      <c r="K465" s="265"/>
      <c r="L465" s="265">
        <f>J465+K465</f>
        <v>490</v>
      </c>
      <c r="M465" s="57"/>
      <c r="N465" s="175"/>
    </row>
    <row r="466" spans="1:14" ht="38.25" customHeight="1">
      <c r="A466" s="66" t="s">
        <v>504</v>
      </c>
      <c r="B466" s="23" t="s">
        <v>286</v>
      </c>
      <c r="C466" s="23" t="s">
        <v>33</v>
      </c>
      <c r="D466" s="23" t="s">
        <v>33</v>
      </c>
      <c r="E466" s="23" t="s">
        <v>471</v>
      </c>
      <c r="F466" s="23" t="s">
        <v>503</v>
      </c>
      <c r="G466" s="37"/>
      <c r="H466" s="30"/>
      <c r="I466" s="37"/>
      <c r="J466" s="269">
        <v>0</v>
      </c>
      <c r="K466" s="265"/>
      <c r="L466" s="265">
        <f>J466+K466</f>
        <v>0</v>
      </c>
      <c r="M466" s="57"/>
      <c r="N466" s="175"/>
    </row>
    <row r="467" spans="1:14" s="176" customFormat="1" ht="17.25" customHeight="1">
      <c r="A467" s="83" t="s">
        <v>67</v>
      </c>
      <c r="B467" s="29" t="s">
        <v>286</v>
      </c>
      <c r="C467" s="29" t="s">
        <v>66</v>
      </c>
      <c r="D467" s="29" t="s">
        <v>226</v>
      </c>
      <c r="E467" s="29"/>
      <c r="F467" s="29"/>
      <c r="G467" s="21"/>
      <c r="H467" s="25"/>
      <c r="I467" s="21"/>
      <c r="J467" s="264">
        <f>J471+J494+J477+J468</f>
        <v>10362.326000000001</v>
      </c>
      <c r="K467" s="264">
        <f>K471+K494+K477+K468</f>
        <v>0</v>
      </c>
      <c r="L467" s="264">
        <f>L471+L494+L477+L468</f>
        <v>10362.326000000001</v>
      </c>
      <c r="M467" s="110">
        <f>M471+M494+M477+M468</f>
        <v>0</v>
      </c>
      <c r="N467" s="110">
        <f>N471+N494+N477+N468</f>
        <v>0</v>
      </c>
    </row>
    <row r="468" spans="1:17" s="176" customFormat="1" ht="17.25" customHeight="1">
      <c r="A468" s="82" t="s">
        <v>69</v>
      </c>
      <c r="B468" s="29" t="s">
        <v>286</v>
      </c>
      <c r="C468" s="29" t="s">
        <v>66</v>
      </c>
      <c r="D468" s="29" t="s">
        <v>11</v>
      </c>
      <c r="E468" s="29"/>
      <c r="F468" s="29"/>
      <c r="G468" s="21"/>
      <c r="H468" s="25"/>
      <c r="I468" s="21"/>
      <c r="J468" s="264">
        <f aca="true" t="shared" si="70" ref="J468:N469">J469</f>
        <v>117.8</v>
      </c>
      <c r="K468" s="264">
        <f t="shared" si="70"/>
        <v>0</v>
      </c>
      <c r="L468" s="264">
        <f t="shared" si="70"/>
        <v>117.8</v>
      </c>
      <c r="M468" s="42">
        <f t="shared" si="70"/>
        <v>0</v>
      </c>
      <c r="N468" s="42">
        <f t="shared" si="70"/>
        <v>0</v>
      </c>
      <c r="O468" s="147"/>
      <c r="P468" s="147"/>
      <c r="Q468" s="147"/>
    </row>
    <row r="469" spans="1:14" s="176" customFormat="1" ht="17.25" customHeight="1">
      <c r="A469" s="82" t="s">
        <v>266</v>
      </c>
      <c r="B469" s="23" t="s">
        <v>286</v>
      </c>
      <c r="C469" s="23" t="s">
        <v>66</v>
      </c>
      <c r="D469" s="23" t="s">
        <v>11</v>
      </c>
      <c r="E469" s="23" t="s">
        <v>267</v>
      </c>
      <c r="F469" s="23"/>
      <c r="G469" s="21"/>
      <c r="H469" s="25"/>
      <c r="I469" s="21"/>
      <c r="J469" s="265">
        <f t="shared" si="70"/>
        <v>117.8</v>
      </c>
      <c r="K469" s="265">
        <f t="shared" si="70"/>
        <v>0</v>
      </c>
      <c r="L469" s="265">
        <f t="shared" si="70"/>
        <v>117.8</v>
      </c>
      <c r="M469" s="89">
        <f t="shared" si="70"/>
        <v>0</v>
      </c>
      <c r="N469" s="89">
        <f t="shared" si="70"/>
        <v>0</v>
      </c>
    </row>
    <row r="470" spans="1:14" s="176" customFormat="1" ht="17.25" customHeight="1" thickBot="1">
      <c r="A470" s="66" t="s">
        <v>374</v>
      </c>
      <c r="B470" s="23" t="s">
        <v>286</v>
      </c>
      <c r="C470" s="23" t="s">
        <v>66</v>
      </c>
      <c r="D470" s="23" t="s">
        <v>11</v>
      </c>
      <c r="E470" s="23" t="s">
        <v>267</v>
      </c>
      <c r="F470" s="23" t="s">
        <v>375</v>
      </c>
      <c r="G470" s="21"/>
      <c r="H470" s="25"/>
      <c r="I470" s="21"/>
      <c r="J470" s="265">
        <v>117.8</v>
      </c>
      <c r="K470" s="265"/>
      <c r="L470" s="265">
        <f>J470+K470</f>
        <v>117.8</v>
      </c>
      <c r="M470" s="55"/>
      <c r="N470" s="109"/>
    </row>
    <row r="471" spans="1:17" ht="18" customHeight="1" thickBot="1">
      <c r="A471" s="111" t="s">
        <v>70</v>
      </c>
      <c r="B471" s="29" t="s">
        <v>286</v>
      </c>
      <c r="C471" s="29" t="s">
        <v>66</v>
      </c>
      <c r="D471" s="29" t="s">
        <v>12</v>
      </c>
      <c r="E471" s="29"/>
      <c r="F471" s="29"/>
      <c r="G471" s="21"/>
      <c r="H471" s="25"/>
      <c r="I471" s="21"/>
      <c r="J471" s="264">
        <f>J472</f>
        <v>306.54</v>
      </c>
      <c r="K471" s="264">
        <f>K472</f>
        <v>0</v>
      </c>
      <c r="L471" s="264">
        <f>L472</f>
        <v>306.54</v>
      </c>
      <c r="M471" s="112"/>
      <c r="N471" s="113"/>
      <c r="O471" s="147"/>
      <c r="P471" s="147"/>
      <c r="Q471" s="147"/>
    </row>
    <row r="472" spans="1:14" ht="17.25" customHeight="1" thickBot="1">
      <c r="A472" s="39" t="s">
        <v>113</v>
      </c>
      <c r="B472" s="23" t="s">
        <v>286</v>
      </c>
      <c r="C472" s="23" t="s">
        <v>66</v>
      </c>
      <c r="D472" s="23" t="s">
        <v>12</v>
      </c>
      <c r="E472" s="23" t="s">
        <v>268</v>
      </c>
      <c r="F472" s="23"/>
      <c r="G472" s="37"/>
      <c r="H472" s="30"/>
      <c r="I472" s="37"/>
      <c r="J472" s="265">
        <f>J473+J474+J475+J476</f>
        <v>306.54</v>
      </c>
      <c r="K472" s="265">
        <f>K473+K474+K475+K476</f>
        <v>0</v>
      </c>
      <c r="L472" s="265">
        <f>L473+L474+L475+L476</f>
        <v>306.54</v>
      </c>
      <c r="M472" s="55"/>
      <c r="N472" s="109"/>
    </row>
    <row r="473" spans="1:14" ht="17.25" customHeight="1" thickBot="1">
      <c r="A473" s="39" t="s">
        <v>111</v>
      </c>
      <c r="B473" s="23" t="s">
        <v>286</v>
      </c>
      <c r="C473" s="23" t="s">
        <v>66</v>
      </c>
      <c r="D473" s="23" t="s">
        <v>12</v>
      </c>
      <c r="E473" s="23" t="s">
        <v>268</v>
      </c>
      <c r="F473" s="23" t="s">
        <v>170</v>
      </c>
      <c r="G473" s="37"/>
      <c r="H473" s="30"/>
      <c r="I473" s="37"/>
      <c r="J473" s="269">
        <v>182.2625</v>
      </c>
      <c r="K473" s="265"/>
      <c r="L473" s="265">
        <f>J473+K473</f>
        <v>182.2625</v>
      </c>
      <c r="M473" s="55"/>
      <c r="N473" s="109"/>
    </row>
    <row r="474" spans="1:14" ht="17.25" customHeight="1" thickBot="1">
      <c r="A474" s="66" t="s">
        <v>172</v>
      </c>
      <c r="B474" s="23" t="s">
        <v>286</v>
      </c>
      <c r="C474" s="23" t="s">
        <v>66</v>
      </c>
      <c r="D474" s="23" t="s">
        <v>12</v>
      </c>
      <c r="E474" s="23" t="s">
        <v>268</v>
      </c>
      <c r="F474" s="23" t="s">
        <v>173</v>
      </c>
      <c r="G474" s="37"/>
      <c r="H474" s="30"/>
      <c r="I474" s="37"/>
      <c r="J474" s="269">
        <v>14</v>
      </c>
      <c r="K474" s="265"/>
      <c r="L474" s="265">
        <f>J474+K474</f>
        <v>14</v>
      </c>
      <c r="M474" s="55"/>
      <c r="N474" s="109"/>
    </row>
    <row r="475" spans="1:14" ht="17.25" customHeight="1" thickBot="1">
      <c r="A475" s="66" t="s">
        <v>163</v>
      </c>
      <c r="B475" s="23" t="s">
        <v>286</v>
      </c>
      <c r="C475" s="23" t="s">
        <v>66</v>
      </c>
      <c r="D475" s="23" t="s">
        <v>12</v>
      </c>
      <c r="E475" s="23" t="s">
        <v>268</v>
      </c>
      <c r="F475" s="23" t="s">
        <v>165</v>
      </c>
      <c r="G475" s="37"/>
      <c r="H475" s="30"/>
      <c r="I475" s="37"/>
      <c r="J475" s="269">
        <v>92.504</v>
      </c>
      <c r="K475" s="265"/>
      <c r="L475" s="265">
        <f>J475+K475</f>
        <v>92.504</v>
      </c>
      <c r="M475" s="55"/>
      <c r="N475" s="109"/>
    </row>
    <row r="476" spans="1:14" ht="24" customHeight="1">
      <c r="A476" s="71" t="s">
        <v>180</v>
      </c>
      <c r="B476" s="23" t="s">
        <v>286</v>
      </c>
      <c r="C476" s="23" t="s">
        <v>66</v>
      </c>
      <c r="D476" s="23" t="s">
        <v>12</v>
      </c>
      <c r="E476" s="23" t="s">
        <v>268</v>
      </c>
      <c r="F476" s="23" t="s">
        <v>181</v>
      </c>
      <c r="G476" s="37"/>
      <c r="H476" s="30"/>
      <c r="I476" s="37"/>
      <c r="J476" s="269">
        <v>17.7735</v>
      </c>
      <c r="K476" s="265"/>
      <c r="L476" s="265">
        <f>J476+K476</f>
        <v>17.7735</v>
      </c>
      <c r="M476" s="57"/>
      <c r="N476" s="175"/>
    </row>
    <row r="477" spans="1:14" ht="17.25" customHeight="1">
      <c r="A477" s="83" t="s">
        <v>184</v>
      </c>
      <c r="B477" s="29" t="s">
        <v>286</v>
      </c>
      <c r="C477" s="29" t="s">
        <v>66</v>
      </c>
      <c r="D477" s="29" t="s">
        <v>13</v>
      </c>
      <c r="E477" s="29"/>
      <c r="F477" s="23"/>
      <c r="G477" s="37"/>
      <c r="H477" s="30"/>
      <c r="I477" s="37"/>
      <c r="J477" s="265">
        <f>J478+J490+J486+J488+J492</f>
        <v>9917.986</v>
      </c>
      <c r="K477" s="265">
        <f>K478+K490+K486+K488+K492</f>
        <v>0</v>
      </c>
      <c r="L477" s="265">
        <f>L478+L490+L486+L488+L492</f>
        <v>9917.986</v>
      </c>
      <c r="M477" s="89">
        <f>M478+M490</f>
        <v>0</v>
      </c>
      <c r="N477" s="89">
        <f>N478+N490</f>
        <v>0</v>
      </c>
    </row>
    <row r="478" spans="1:14" ht="17.25" customHeight="1">
      <c r="A478" s="39" t="s">
        <v>269</v>
      </c>
      <c r="B478" s="23" t="s">
        <v>286</v>
      </c>
      <c r="C478" s="23" t="s">
        <v>66</v>
      </c>
      <c r="D478" s="23" t="s">
        <v>13</v>
      </c>
      <c r="E478" s="23" t="s">
        <v>270</v>
      </c>
      <c r="F478" s="23"/>
      <c r="G478" s="37"/>
      <c r="H478" s="30"/>
      <c r="I478" s="37"/>
      <c r="J478" s="265">
        <f>J483+J479+J481</f>
        <v>8617.18</v>
      </c>
      <c r="K478" s="265">
        <f>K483+K479+K481</f>
        <v>0</v>
      </c>
      <c r="L478" s="265">
        <f>L483+L479+L481</f>
        <v>8617.18</v>
      </c>
      <c r="M478" s="153">
        <f>M483+M479+M481</f>
        <v>0</v>
      </c>
      <c r="N478" s="153">
        <f>N483+N479+N481</f>
        <v>0</v>
      </c>
    </row>
    <row r="479" spans="1:14" ht="63.75" customHeight="1" thickBot="1">
      <c r="A479" s="177" t="s">
        <v>459</v>
      </c>
      <c r="B479" s="23" t="s">
        <v>286</v>
      </c>
      <c r="C479" s="23" t="s">
        <v>66</v>
      </c>
      <c r="D479" s="23" t="s">
        <v>13</v>
      </c>
      <c r="E479" s="23" t="s">
        <v>460</v>
      </c>
      <c r="F479" s="23"/>
      <c r="G479" s="37"/>
      <c r="H479" s="30"/>
      <c r="I479" s="37"/>
      <c r="J479" s="265">
        <f>J480</f>
        <v>6750</v>
      </c>
      <c r="K479" s="265">
        <f>K480</f>
        <v>0</v>
      </c>
      <c r="L479" s="265">
        <f>L480</f>
        <v>6750</v>
      </c>
      <c r="M479" s="55"/>
      <c r="N479" s="109"/>
    </row>
    <row r="480" spans="1:14" s="163" customFormat="1" ht="38.25" customHeight="1" thickBot="1">
      <c r="A480" s="178" t="s">
        <v>192</v>
      </c>
      <c r="B480" s="149" t="s">
        <v>286</v>
      </c>
      <c r="C480" s="149" t="s">
        <v>66</v>
      </c>
      <c r="D480" s="149" t="s">
        <v>13</v>
      </c>
      <c r="E480" s="149" t="s">
        <v>460</v>
      </c>
      <c r="F480" s="149" t="s">
        <v>193</v>
      </c>
      <c r="G480" s="151"/>
      <c r="H480" s="179"/>
      <c r="I480" s="151"/>
      <c r="J480" s="265">
        <v>6750</v>
      </c>
      <c r="K480" s="265"/>
      <c r="L480" s="265">
        <f>J480+K480</f>
        <v>6750</v>
      </c>
      <c r="M480" s="180"/>
      <c r="N480" s="181"/>
    </row>
    <row r="481" spans="1:14" ht="58.5" customHeight="1" thickBot="1">
      <c r="A481" s="177" t="s">
        <v>461</v>
      </c>
      <c r="B481" s="23" t="s">
        <v>286</v>
      </c>
      <c r="C481" s="23" t="s">
        <v>66</v>
      </c>
      <c r="D481" s="23" t="s">
        <v>13</v>
      </c>
      <c r="E481" s="23" t="s">
        <v>271</v>
      </c>
      <c r="F481" s="23"/>
      <c r="G481" s="37"/>
      <c r="H481" s="30"/>
      <c r="I481" s="37"/>
      <c r="J481" s="265">
        <v>562.5</v>
      </c>
      <c r="K481" s="265">
        <f>K482</f>
        <v>0</v>
      </c>
      <c r="L481" s="265">
        <f>L482</f>
        <v>562.5</v>
      </c>
      <c r="M481" s="55"/>
      <c r="N481" s="109"/>
    </row>
    <row r="482" spans="1:14" ht="25.5" customHeight="1" thickBot="1">
      <c r="A482" s="39" t="s">
        <v>192</v>
      </c>
      <c r="B482" s="23" t="s">
        <v>286</v>
      </c>
      <c r="C482" s="23" t="s">
        <v>66</v>
      </c>
      <c r="D482" s="23" t="s">
        <v>13</v>
      </c>
      <c r="E482" s="23" t="s">
        <v>271</v>
      </c>
      <c r="F482" s="23" t="s">
        <v>193</v>
      </c>
      <c r="G482" s="37"/>
      <c r="H482" s="30"/>
      <c r="I482" s="37"/>
      <c r="J482" s="265">
        <v>562.5</v>
      </c>
      <c r="K482" s="265"/>
      <c r="L482" s="265">
        <f>J482+K482</f>
        <v>562.5</v>
      </c>
      <c r="M482" s="55"/>
      <c r="N482" s="109"/>
    </row>
    <row r="483" spans="1:14" ht="17.25" customHeight="1">
      <c r="A483" s="82" t="s">
        <v>272</v>
      </c>
      <c r="B483" s="23" t="s">
        <v>286</v>
      </c>
      <c r="C483" s="23" t="s">
        <v>66</v>
      </c>
      <c r="D483" s="23" t="s">
        <v>13</v>
      </c>
      <c r="E483" s="23" t="s">
        <v>273</v>
      </c>
      <c r="F483" s="23"/>
      <c r="G483" s="37"/>
      <c r="H483" s="30"/>
      <c r="I483" s="37"/>
      <c r="J483" s="265">
        <f>J484+J485</f>
        <v>1304.68</v>
      </c>
      <c r="K483" s="265">
        <f>K484+K485</f>
        <v>0</v>
      </c>
      <c r="L483" s="265">
        <f>L484+L485</f>
        <v>1304.68</v>
      </c>
      <c r="M483" s="227">
        <f>M484+M485</f>
        <v>0</v>
      </c>
      <c r="N483" s="227">
        <f>N484+N485</f>
        <v>0</v>
      </c>
    </row>
    <row r="484" spans="1:14" ht="17.25" customHeight="1" thickBot="1">
      <c r="A484" s="66" t="s">
        <v>163</v>
      </c>
      <c r="B484" s="23" t="s">
        <v>286</v>
      </c>
      <c r="C484" s="23" t="s">
        <v>66</v>
      </c>
      <c r="D484" s="23" t="s">
        <v>13</v>
      </c>
      <c r="E484" s="23" t="s">
        <v>273</v>
      </c>
      <c r="F484" s="23" t="s">
        <v>199</v>
      </c>
      <c r="G484" s="37"/>
      <c r="H484" s="30"/>
      <c r="I484" s="37"/>
      <c r="J484" s="269">
        <v>841</v>
      </c>
      <c r="K484" s="265"/>
      <c r="L484" s="265">
        <f>J484+K484</f>
        <v>841</v>
      </c>
      <c r="M484" s="55"/>
      <c r="N484" s="109"/>
    </row>
    <row r="485" spans="1:14" ht="17.25" customHeight="1">
      <c r="A485" s="66" t="s">
        <v>163</v>
      </c>
      <c r="B485" s="23" t="s">
        <v>286</v>
      </c>
      <c r="C485" s="23" t="s">
        <v>66</v>
      </c>
      <c r="D485" s="23" t="s">
        <v>13</v>
      </c>
      <c r="E485" s="23" t="s">
        <v>476</v>
      </c>
      <c r="F485" s="23" t="s">
        <v>199</v>
      </c>
      <c r="G485" s="37"/>
      <c r="H485" s="30"/>
      <c r="I485" s="37"/>
      <c r="J485" s="269">
        <v>463.68</v>
      </c>
      <c r="K485" s="265"/>
      <c r="L485" s="265">
        <f>J485+K485</f>
        <v>463.68</v>
      </c>
      <c r="M485" s="57"/>
      <c r="N485" s="175"/>
    </row>
    <row r="486" spans="1:14" ht="41.25" customHeight="1">
      <c r="A486" s="66" t="s">
        <v>531</v>
      </c>
      <c r="B486" s="23" t="s">
        <v>286</v>
      </c>
      <c r="C486" s="23" t="s">
        <v>66</v>
      </c>
      <c r="D486" s="23" t="s">
        <v>13</v>
      </c>
      <c r="E486" s="23" t="s">
        <v>522</v>
      </c>
      <c r="F486" s="23"/>
      <c r="G486" s="37"/>
      <c r="H486" s="30"/>
      <c r="I486" s="37"/>
      <c r="J486" s="269">
        <f>J487</f>
        <v>171.68</v>
      </c>
      <c r="K486" s="269">
        <f>K487</f>
        <v>0</v>
      </c>
      <c r="L486" s="269">
        <f>L487</f>
        <v>171.68</v>
      </c>
      <c r="M486" s="57"/>
      <c r="N486" s="175"/>
    </row>
    <row r="487" spans="1:14" ht="32.25" customHeight="1">
      <c r="A487" s="82" t="s">
        <v>377</v>
      </c>
      <c r="B487" s="23" t="s">
        <v>286</v>
      </c>
      <c r="C487" s="23" t="s">
        <v>66</v>
      </c>
      <c r="D487" s="23" t="s">
        <v>13</v>
      </c>
      <c r="E487" s="23" t="s">
        <v>522</v>
      </c>
      <c r="F487" s="23" t="s">
        <v>378</v>
      </c>
      <c r="G487" s="37"/>
      <c r="H487" s="30"/>
      <c r="I487" s="37"/>
      <c r="J487" s="269">
        <v>171.68</v>
      </c>
      <c r="K487" s="265"/>
      <c r="L487" s="265">
        <f>J487+K487</f>
        <v>171.68</v>
      </c>
      <c r="M487" s="57"/>
      <c r="N487" s="175"/>
    </row>
    <row r="488" spans="1:14" ht="41.25" customHeight="1">
      <c r="A488" s="66" t="s">
        <v>530</v>
      </c>
      <c r="B488" s="23" t="s">
        <v>286</v>
      </c>
      <c r="C488" s="23" t="s">
        <v>66</v>
      </c>
      <c r="D488" s="23" t="s">
        <v>13</v>
      </c>
      <c r="E488" s="23" t="s">
        <v>523</v>
      </c>
      <c r="F488" s="23"/>
      <c r="G488" s="37"/>
      <c r="H488" s="30"/>
      <c r="I488" s="37"/>
      <c r="J488" s="269">
        <f>J489</f>
        <v>129.126</v>
      </c>
      <c r="K488" s="269">
        <f>K489</f>
        <v>0</v>
      </c>
      <c r="L488" s="269">
        <f>L489</f>
        <v>129.126</v>
      </c>
      <c r="M488" s="57"/>
      <c r="N488" s="175"/>
    </row>
    <row r="489" spans="1:14" ht="26.25" customHeight="1">
      <c r="A489" s="82" t="s">
        <v>377</v>
      </c>
      <c r="B489" s="23" t="s">
        <v>286</v>
      </c>
      <c r="C489" s="23" t="s">
        <v>66</v>
      </c>
      <c r="D489" s="23" t="s">
        <v>13</v>
      </c>
      <c r="E489" s="23" t="s">
        <v>523</v>
      </c>
      <c r="F489" s="23" t="s">
        <v>378</v>
      </c>
      <c r="G489" s="37"/>
      <c r="H489" s="30"/>
      <c r="I489" s="37"/>
      <c r="J489" s="269">
        <v>129.126</v>
      </c>
      <c r="K489" s="265"/>
      <c r="L489" s="265">
        <f>J489+K489</f>
        <v>129.126</v>
      </c>
      <c r="M489" s="57"/>
      <c r="N489" s="175"/>
    </row>
    <row r="490" spans="1:14" ht="39">
      <c r="A490" s="82" t="s">
        <v>464</v>
      </c>
      <c r="B490" s="23" t="s">
        <v>286</v>
      </c>
      <c r="C490" s="23" t="s">
        <v>66</v>
      </c>
      <c r="D490" s="23" t="s">
        <v>13</v>
      </c>
      <c r="E490" s="23" t="s">
        <v>376</v>
      </c>
      <c r="F490" s="23"/>
      <c r="G490" s="37"/>
      <c r="H490" s="30"/>
      <c r="I490" s="37"/>
      <c r="J490" s="265">
        <f>J491</f>
        <v>200</v>
      </c>
      <c r="K490" s="265">
        <f>K491</f>
        <v>0</v>
      </c>
      <c r="L490" s="265">
        <f>L491</f>
        <v>200</v>
      </c>
      <c r="M490" s="89">
        <f>M491</f>
        <v>0</v>
      </c>
      <c r="N490" s="89">
        <f>N491</f>
        <v>0</v>
      </c>
    </row>
    <row r="491" spans="1:14" ht="29.25" customHeight="1" thickBot="1">
      <c r="A491" s="82" t="s">
        <v>377</v>
      </c>
      <c r="B491" s="23" t="s">
        <v>286</v>
      </c>
      <c r="C491" s="23" t="s">
        <v>66</v>
      </c>
      <c r="D491" s="23" t="s">
        <v>13</v>
      </c>
      <c r="E491" s="23" t="s">
        <v>376</v>
      </c>
      <c r="F491" s="23" t="s">
        <v>378</v>
      </c>
      <c r="G491" s="37"/>
      <c r="H491" s="30"/>
      <c r="I491" s="37"/>
      <c r="J491" s="269">
        <v>200</v>
      </c>
      <c r="K491" s="265"/>
      <c r="L491" s="265">
        <f>J491+K491</f>
        <v>200</v>
      </c>
      <c r="M491" s="55"/>
      <c r="N491" s="109"/>
    </row>
    <row r="492" spans="1:14" ht="29.25" customHeight="1" thickBot="1">
      <c r="A492" s="66" t="s">
        <v>470</v>
      </c>
      <c r="B492" s="23" t="s">
        <v>286</v>
      </c>
      <c r="C492" s="23" t="s">
        <v>66</v>
      </c>
      <c r="D492" s="23" t="s">
        <v>13</v>
      </c>
      <c r="E492" s="23" t="s">
        <v>471</v>
      </c>
      <c r="F492" s="23"/>
      <c r="G492" s="37"/>
      <c r="H492" s="30"/>
      <c r="I492" s="37"/>
      <c r="J492" s="269">
        <f>J493</f>
        <v>800</v>
      </c>
      <c r="K492" s="269">
        <f>K493</f>
        <v>0</v>
      </c>
      <c r="L492" s="269">
        <f>L493</f>
        <v>800</v>
      </c>
      <c r="M492" s="55"/>
      <c r="N492" s="109"/>
    </row>
    <row r="493" spans="1:14" ht="29.25" customHeight="1" thickBot="1">
      <c r="A493" s="82" t="s">
        <v>377</v>
      </c>
      <c r="B493" s="23" t="s">
        <v>286</v>
      </c>
      <c r="C493" s="23" t="s">
        <v>66</v>
      </c>
      <c r="D493" s="23" t="s">
        <v>13</v>
      </c>
      <c r="E493" s="23" t="s">
        <v>471</v>
      </c>
      <c r="F493" s="23" t="s">
        <v>378</v>
      </c>
      <c r="G493" s="37"/>
      <c r="H493" s="30"/>
      <c r="I493" s="37"/>
      <c r="J493" s="269">
        <v>800</v>
      </c>
      <c r="K493" s="265"/>
      <c r="L493" s="265">
        <f>J493+K493</f>
        <v>800</v>
      </c>
      <c r="M493" s="55"/>
      <c r="N493" s="109"/>
    </row>
    <row r="494" spans="1:14" ht="27.75" customHeight="1" thickBot="1">
      <c r="A494" s="114" t="s">
        <v>73</v>
      </c>
      <c r="B494" s="29" t="s">
        <v>286</v>
      </c>
      <c r="C494" s="29" t="s">
        <v>66</v>
      </c>
      <c r="D494" s="29" t="s">
        <v>17</v>
      </c>
      <c r="E494" s="29"/>
      <c r="F494" s="29"/>
      <c r="G494" s="37"/>
      <c r="H494" s="30"/>
      <c r="I494" s="37"/>
      <c r="J494" s="265">
        <f>J495+J498</f>
        <v>20</v>
      </c>
      <c r="K494" s="265">
        <f>K495+K498</f>
        <v>0</v>
      </c>
      <c r="L494" s="265">
        <f>L495+L498</f>
        <v>20</v>
      </c>
      <c r="M494" s="55"/>
      <c r="N494" s="109"/>
    </row>
    <row r="495" spans="1:14" ht="33" customHeight="1" thickBot="1">
      <c r="A495" s="82" t="s">
        <v>274</v>
      </c>
      <c r="B495" s="23" t="s">
        <v>286</v>
      </c>
      <c r="C495" s="23" t="s">
        <v>66</v>
      </c>
      <c r="D495" s="23" t="s">
        <v>17</v>
      </c>
      <c r="E495" s="23" t="s">
        <v>131</v>
      </c>
      <c r="F495" s="23"/>
      <c r="G495" s="37"/>
      <c r="H495" s="30"/>
      <c r="I495" s="37"/>
      <c r="J495" s="265">
        <f aca="true" t="shared" si="71" ref="J495:L496">J496</f>
        <v>0</v>
      </c>
      <c r="K495" s="265">
        <f t="shared" si="71"/>
        <v>0</v>
      </c>
      <c r="L495" s="265">
        <f t="shared" si="71"/>
        <v>0</v>
      </c>
      <c r="M495" s="55"/>
      <c r="N495" s="109"/>
    </row>
    <row r="496" spans="1:14" ht="17.25" customHeight="1" thickBot="1">
      <c r="A496" s="82" t="s">
        <v>132</v>
      </c>
      <c r="B496" s="23" t="s">
        <v>286</v>
      </c>
      <c r="C496" s="23" t="s">
        <v>66</v>
      </c>
      <c r="D496" s="23" t="s">
        <v>17</v>
      </c>
      <c r="E496" s="23" t="s">
        <v>133</v>
      </c>
      <c r="F496" s="23"/>
      <c r="G496" s="37"/>
      <c r="H496" s="30"/>
      <c r="I496" s="37"/>
      <c r="J496" s="265">
        <f t="shared" si="71"/>
        <v>0</v>
      </c>
      <c r="K496" s="265">
        <f t="shared" si="71"/>
        <v>0</v>
      </c>
      <c r="L496" s="265">
        <f t="shared" si="71"/>
        <v>0</v>
      </c>
      <c r="M496" s="55"/>
      <c r="N496" s="109"/>
    </row>
    <row r="497" spans="1:14" ht="17.25" customHeight="1" thickBot="1">
      <c r="A497" s="82" t="s">
        <v>111</v>
      </c>
      <c r="B497" s="23" t="s">
        <v>286</v>
      </c>
      <c r="C497" s="23" t="s">
        <v>66</v>
      </c>
      <c r="D497" s="23" t="s">
        <v>17</v>
      </c>
      <c r="E497" s="23" t="s">
        <v>133</v>
      </c>
      <c r="F497" s="23" t="s">
        <v>170</v>
      </c>
      <c r="G497" s="37"/>
      <c r="H497" s="30"/>
      <c r="I497" s="37"/>
      <c r="J497" s="269">
        <v>0</v>
      </c>
      <c r="K497" s="265"/>
      <c r="L497" s="265">
        <f>SUM(J497:K497)</f>
        <v>0</v>
      </c>
      <c r="M497" s="55"/>
      <c r="N497" s="109"/>
    </row>
    <row r="498" spans="1:14" ht="33" customHeight="1" thickBot="1">
      <c r="A498" s="82" t="s">
        <v>279</v>
      </c>
      <c r="B498" s="23" t="s">
        <v>286</v>
      </c>
      <c r="C498" s="23" t="s">
        <v>66</v>
      </c>
      <c r="D498" s="23" t="s">
        <v>17</v>
      </c>
      <c r="E498" s="23" t="s">
        <v>280</v>
      </c>
      <c r="F498" s="23"/>
      <c r="G498" s="37"/>
      <c r="H498" s="30"/>
      <c r="I498" s="37"/>
      <c r="J498" s="269">
        <f>J499</f>
        <v>20</v>
      </c>
      <c r="K498" s="269">
        <f>K499</f>
        <v>0</v>
      </c>
      <c r="L498" s="269">
        <f>L499</f>
        <v>20</v>
      </c>
      <c r="M498" s="55"/>
      <c r="N498" s="109"/>
    </row>
    <row r="499" spans="1:14" ht="17.25" customHeight="1" thickBot="1">
      <c r="A499" s="66" t="s">
        <v>163</v>
      </c>
      <c r="B499" s="23" t="s">
        <v>286</v>
      </c>
      <c r="C499" s="23" t="s">
        <v>66</v>
      </c>
      <c r="D499" s="23" t="s">
        <v>17</v>
      </c>
      <c r="E499" s="23" t="s">
        <v>280</v>
      </c>
      <c r="F499" s="23" t="s">
        <v>165</v>
      </c>
      <c r="G499" s="37"/>
      <c r="H499" s="30"/>
      <c r="I499" s="37"/>
      <c r="J499" s="269">
        <v>20</v>
      </c>
      <c r="K499" s="265"/>
      <c r="L499" s="265">
        <f>J499+K499</f>
        <v>20</v>
      </c>
      <c r="M499" s="55"/>
      <c r="N499" s="109"/>
    </row>
    <row r="500" spans="1:14" ht="19.5" customHeight="1" thickBot="1">
      <c r="A500" s="81" t="s">
        <v>76</v>
      </c>
      <c r="B500" s="29" t="s">
        <v>286</v>
      </c>
      <c r="C500" s="29" t="s">
        <v>22</v>
      </c>
      <c r="D500" s="29"/>
      <c r="E500" s="29"/>
      <c r="F500" s="29"/>
      <c r="G500" s="21"/>
      <c r="H500" s="25"/>
      <c r="I500" s="21"/>
      <c r="J500" s="268">
        <f>J501</f>
        <v>963.8352100000001</v>
      </c>
      <c r="K500" s="264">
        <f>K501</f>
        <v>5.84519</v>
      </c>
      <c r="L500" s="264">
        <f>L501</f>
        <v>969.6804000000001</v>
      </c>
      <c r="M500" s="55"/>
      <c r="N500" s="109"/>
    </row>
    <row r="501" spans="1:14" ht="15.75" thickBot="1">
      <c r="A501" s="81" t="s">
        <v>56</v>
      </c>
      <c r="B501" s="29" t="s">
        <v>286</v>
      </c>
      <c r="C501" s="29" t="s">
        <v>22</v>
      </c>
      <c r="D501" s="29" t="s">
        <v>12</v>
      </c>
      <c r="E501" s="29"/>
      <c r="F501" s="29"/>
      <c r="G501" s="21">
        <f aca="true" t="shared" si="72" ref="G501:L503">G502</f>
        <v>0</v>
      </c>
      <c r="H501" s="21">
        <f t="shared" si="72"/>
        <v>666</v>
      </c>
      <c r="I501" s="21">
        <f t="shared" si="72"/>
        <v>0</v>
      </c>
      <c r="J501" s="268">
        <f>J502+J506</f>
        <v>963.8352100000001</v>
      </c>
      <c r="K501" s="268">
        <f>K502+K506</f>
        <v>5.84519</v>
      </c>
      <c r="L501" s="268">
        <f>L502+L506</f>
        <v>969.6804000000001</v>
      </c>
      <c r="M501" s="55"/>
      <c r="N501" s="109"/>
    </row>
    <row r="502" spans="1:14" ht="29.25" customHeight="1" thickBot="1">
      <c r="A502" s="82" t="s">
        <v>367</v>
      </c>
      <c r="B502" s="23" t="s">
        <v>286</v>
      </c>
      <c r="C502" s="23" t="s">
        <v>22</v>
      </c>
      <c r="D502" s="23" t="s">
        <v>12</v>
      </c>
      <c r="E502" s="23" t="s">
        <v>368</v>
      </c>
      <c r="F502" s="23"/>
      <c r="G502" s="37">
        <f t="shared" si="72"/>
        <v>0</v>
      </c>
      <c r="H502" s="37">
        <f t="shared" si="72"/>
        <v>666</v>
      </c>
      <c r="I502" s="37">
        <f t="shared" si="72"/>
        <v>0</v>
      </c>
      <c r="J502" s="265">
        <f t="shared" si="72"/>
        <v>923.6</v>
      </c>
      <c r="K502" s="265">
        <f t="shared" si="72"/>
        <v>0</v>
      </c>
      <c r="L502" s="265">
        <f t="shared" si="72"/>
        <v>923.6</v>
      </c>
      <c r="M502" s="55"/>
      <c r="N502" s="109"/>
    </row>
    <row r="503" spans="1:14" ht="39.75" customHeight="1">
      <c r="A503" s="82" t="s">
        <v>369</v>
      </c>
      <c r="B503" s="23" t="s">
        <v>286</v>
      </c>
      <c r="C503" s="23" t="s">
        <v>22</v>
      </c>
      <c r="D503" s="23" t="s">
        <v>12</v>
      </c>
      <c r="E503" s="23" t="s">
        <v>370</v>
      </c>
      <c r="F503" s="23"/>
      <c r="G503" s="37">
        <f t="shared" si="72"/>
        <v>0</v>
      </c>
      <c r="H503" s="37">
        <f t="shared" si="72"/>
        <v>666</v>
      </c>
      <c r="I503" s="37">
        <f t="shared" si="72"/>
        <v>0</v>
      </c>
      <c r="J503" s="265">
        <f>J504+J505</f>
        <v>923.6</v>
      </c>
      <c r="K503" s="265">
        <f>K504+K505</f>
        <v>0</v>
      </c>
      <c r="L503" s="265">
        <f>L504+L505</f>
        <v>923.6</v>
      </c>
      <c r="M503" s="57"/>
      <c r="N503" s="94"/>
    </row>
    <row r="504" spans="1:14" ht="16.5" customHeight="1" hidden="1">
      <c r="A504" s="82" t="s">
        <v>237</v>
      </c>
      <c r="B504" s="23" t="s">
        <v>286</v>
      </c>
      <c r="C504" s="23" t="s">
        <v>22</v>
      </c>
      <c r="D504" s="23" t="s">
        <v>12</v>
      </c>
      <c r="E504" s="23" t="s">
        <v>370</v>
      </c>
      <c r="F504" s="23" t="s">
        <v>238</v>
      </c>
      <c r="G504" s="37"/>
      <c r="H504" s="37">
        <v>666</v>
      </c>
      <c r="I504" s="37"/>
      <c r="J504" s="269"/>
      <c r="K504" s="265"/>
      <c r="L504" s="265">
        <f>J504+K504</f>
        <v>0</v>
      </c>
      <c r="M504" s="32"/>
      <c r="N504" s="64"/>
    </row>
    <row r="505" spans="1:14" ht="16.5" customHeight="1" thickBot="1">
      <c r="A505" s="82" t="s">
        <v>362</v>
      </c>
      <c r="B505" s="23" t="s">
        <v>286</v>
      </c>
      <c r="C505" s="23" t="s">
        <v>22</v>
      </c>
      <c r="D505" s="23" t="s">
        <v>12</v>
      </c>
      <c r="E505" s="23" t="s">
        <v>370</v>
      </c>
      <c r="F505" s="23" t="s">
        <v>363</v>
      </c>
      <c r="G505" s="37"/>
      <c r="H505" s="37"/>
      <c r="I505" s="37"/>
      <c r="J505" s="269">
        <v>923.6</v>
      </c>
      <c r="K505" s="265"/>
      <c r="L505" s="265">
        <f>J505+K505</f>
        <v>923.6</v>
      </c>
      <c r="M505" s="53"/>
      <c r="N505" s="75"/>
    </row>
    <row r="506" spans="1:14" ht="27" customHeight="1" thickBot="1">
      <c r="A506" s="82" t="s">
        <v>528</v>
      </c>
      <c r="B506" s="23" t="s">
        <v>286</v>
      </c>
      <c r="C506" s="23" t="s">
        <v>22</v>
      </c>
      <c r="D506" s="23" t="s">
        <v>12</v>
      </c>
      <c r="E506" s="23" t="s">
        <v>520</v>
      </c>
      <c r="F506" s="23"/>
      <c r="G506" s="37"/>
      <c r="H506" s="37"/>
      <c r="I506" s="37"/>
      <c r="J506" s="269">
        <f>J507</f>
        <v>40.23521</v>
      </c>
      <c r="K506" s="269">
        <f>K507</f>
        <v>5.84519</v>
      </c>
      <c r="L506" s="269">
        <f>L507</f>
        <v>46.080400000000004</v>
      </c>
      <c r="M506" s="55"/>
      <c r="N506" s="118"/>
    </row>
    <row r="507" spans="1:14" ht="24.75" customHeight="1" thickBot="1">
      <c r="A507" s="82" t="s">
        <v>532</v>
      </c>
      <c r="B507" s="23" t="s">
        <v>286</v>
      </c>
      <c r="C507" s="23" t="s">
        <v>22</v>
      </c>
      <c r="D507" s="23" t="s">
        <v>12</v>
      </c>
      <c r="E507" s="23" t="s">
        <v>520</v>
      </c>
      <c r="F507" s="23" t="s">
        <v>521</v>
      </c>
      <c r="G507" s="37"/>
      <c r="H507" s="37"/>
      <c r="I507" s="37"/>
      <c r="J507" s="269">
        <v>40.23521</v>
      </c>
      <c r="K507" s="265">
        <v>5.84519</v>
      </c>
      <c r="L507" s="265">
        <f>J507+K507</f>
        <v>46.080400000000004</v>
      </c>
      <c r="M507" s="55"/>
      <c r="N507" s="118"/>
    </row>
    <row r="508" spans="1:15" ht="15.75" thickBot="1">
      <c r="A508" s="229" t="s">
        <v>379</v>
      </c>
      <c r="B508" s="230" t="s">
        <v>241</v>
      </c>
      <c r="C508" s="230"/>
      <c r="D508" s="230"/>
      <c r="E508" s="230"/>
      <c r="F508" s="230"/>
      <c r="G508" s="231" t="e">
        <f>G509+G524</f>
        <v>#REF!</v>
      </c>
      <c r="H508" s="231" t="e">
        <f>H509+H524+#REF!</f>
        <v>#REF!</v>
      </c>
      <c r="I508" s="231" t="e">
        <f>I509+I524+#REF!</f>
        <v>#REF!</v>
      </c>
      <c r="J508" s="266">
        <f>J509+J515+J524+J566+J559</f>
        <v>11860.91724</v>
      </c>
      <c r="K508" s="266">
        <f>K509+K515+K524+K566+K559</f>
        <v>400.941</v>
      </c>
      <c r="L508" s="266">
        <f>L509+L515+L524+L566+L559</f>
        <v>12261.858240000001</v>
      </c>
      <c r="M508" s="77" t="e">
        <f>M509+M524+#REF!+M515</f>
        <v>#REF!</v>
      </c>
      <c r="N508" s="78" t="e">
        <f>N509+N524+#REF!+N515</f>
        <v>#REF!</v>
      </c>
      <c r="O508" s="162"/>
    </row>
    <row r="509" spans="1:14" s="173" customFormat="1" ht="14.25">
      <c r="A509" s="81" t="s">
        <v>9</v>
      </c>
      <c r="B509" s="29" t="s">
        <v>241</v>
      </c>
      <c r="C509" s="29" t="s">
        <v>11</v>
      </c>
      <c r="D509" s="29"/>
      <c r="E509" s="29"/>
      <c r="F509" s="29"/>
      <c r="G509" s="21" t="e">
        <f aca="true" t="shared" si="73" ref="G509:N511">G510</f>
        <v>#REF!</v>
      </c>
      <c r="H509" s="21" t="e">
        <f t="shared" si="73"/>
        <v>#REF!</v>
      </c>
      <c r="I509" s="21" t="e">
        <f t="shared" si="73"/>
        <v>#REF!</v>
      </c>
      <c r="J509" s="264">
        <f t="shared" si="73"/>
        <v>911.535</v>
      </c>
      <c r="K509" s="264">
        <f t="shared" si="73"/>
        <v>0</v>
      </c>
      <c r="L509" s="264">
        <f t="shared" si="73"/>
        <v>911.535</v>
      </c>
      <c r="M509" s="26" t="e">
        <f t="shared" si="73"/>
        <v>#REF!</v>
      </c>
      <c r="N509" s="27" t="e">
        <f t="shared" si="73"/>
        <v>#REF!</v>
      </c>
    </row>
    <row r="510" spans="1:14" s="147" customFormat="1" ht="63.75">
      <c r="A510" s="82" t="s">
        <v>208</v>
      </c>
      <c r="B510" s="29" t="s">
        <v>241</v>
      </c>
      <c r="C510" s="29" t="s">
        <v>11</v>
      </c>
      <c r="D510" s="29" t="s">
        <v>14</v>
      </c>
      <c r="E510" s="29"/>
      <c r="F510" s="29"/>
      <c r="G510" s="21" t="e">
        <f t="shared" si="73"/>
        <v>#REF!</v>
      </c>
      <c r="H510" s="21" t="e">
        <f t="shared" si="73"/>
        <v>#REF!</v>
      </c>
      <c r="I510" s="21" t="e">
        <f t="shared" si="73"/>
        <v>#REF!</v>
      </c>
      <c r="J510" s="264">
        <f t="shared" si="73"/>
        <v>911.535</v>
      </c>
      <c r="K510" s="264">
        <f t="shared" si="73"/>
        <v>0</v>
      </c>
      <c r="L510" s="264">
        <f t="shared" si="73"/>
        <v>911.535</v>
      </c>
      <c r="M510" s="46" t="e">
        <f t="shared" si="73"/>
        <v>#REF!</v>
      </c>
      <c r="N510" s="63" t="e">
        <f t="shared" si="73"/>
        <v>#REF!</v>
      </c>
    </row>
    <row r="511" spans="1:14" ht="26.25">
      <c r="A511" s="82" t="s">
        <v>274</v>
      </c>
      <c r="B511" s="23" t="s">
        <v>241</v>
      </c>
      <c r="C511" s="23" t="s">
        <v>11</v>
      </c>
      <c r="D511" s="23" t="s">
        <v>14</v>
      </c>
      <c r="E511" s="23" t="s">
        <v>131</v>
      </c>
      <c r="F511" s="23"/>
      <c r="G511" s="37" t="e">
        <f t="shared" si="73"/>
        <v>#REF!</v>
      </c>
      <c r="H511" s="37" t="e">
        <f t="shared" si="73"/>
        <v>#REF!</v>
      </c>
      <c r="I511" s="37" t="e">
        <f t="shared" si="73"/>
        <v>#REF!</v>
      </c>
      <c r="J511" s="265">
        <f t="shared" si="73"/>
        <v>911.535</v>
      </c>
      <c r="K511" s="265">
        <f t="shared" si="73"/>
        <v>0</v>
      </c>
      <c r="L511" s="265">
        <f t="shared" si="73"/>
        <v>911.535</v>
      </c>
      <c r="M511" s="32" t="e">
        <f t="shared" si="73"/>
        <v>#REF!</v>
      </c>
      <c r="N511" s="33" t="e">
        <f t="shared" si="73"/>
        <v>#REF!</v>
      </c>
    </row>
    <row r="512" spans="1:14" ht="15">
      <c r="A512" s="82" t="s">
        <v>132</v>
      </c>
      <c r="B512" s="23" t="s">
        <v>241</v>
      </c>
      <c r="C512" s="23" t="s">
        <v>11</v>
      </c>
      <c r="D512" s="23" t="s">
        <v>14</v>
      </c>
      <c r="E512" s="23" t="s">
        <v>133</v>
      </c>
      <c r="F512" s="23"/>
      <c r="G512" s="37" t="e">
        <f>#REF!</f>
        <v>#REF!</v>
      </c>
      <c r="H512" s="37" t="e">
        <f>#REF!</f>
        <v>#REF!</v>
      </c>
      <c r="I512" s="37" t="e">
        <f>#REF!</f>
        <v>#REF!</v>
      </c>
      <c r="J512" s="265">
        <f>J513+J514</f>
        <v>911.535</v>
      </c>
      <c r="K512" s="265">
        <f>K513+K514</f>
        <v>0</v>
      </c>
      <c r="L512" s="265">
        <f>L513+L514</f>
        <v>911.535</v>
      </c>
      <c r="M512" s="32" t="e">
        <f>#REF!</f>
        <v>#REF!</v>
      </c>
      <c r="N512" s="33" t="e">
        <f>#REF!</f>
        <v>#REF!</v>
      </c>
    </row>
    <row r="513" spans="1:15" ht="15">
      <c r="A513" s="71" t="s">
        <v>380</v>
      </c>
      <c r="B513" s="23" t="s">
        <v>241</v>
      </c>
      <c r="C513" s="23" t="s">
        <v>11</v>
      </c>
      <c r="D513" s="23" t="s">
        <v>14</v>
      </c>
      <c r="E513" s="23" t="s">
        <v>133</v>
      </c>
      <c r="F513" s="23" t="s">
        <v>170</v>
      </c>
      <c r="G513" s="37"/>
      <c r="H513" s="115"/>
      <c r="I513" s="115"/>
      <c r="J513" s="265">
        <v>911.535</v>
      </c>
      <c r="K513" s="265"/>
      <c r="L513" s="265">
        <f>J513+K513</f>
        <v>911.535</v>
      </c>
      <c r="M513" s="32"/>
      <c r="N513" s="33"/>
      <c r="O513" s="95"/>
    </row>
    <row r="514" spans="1:15" ht="26.25" hidden="1">
      <c r="A514" s="82" t="s">
        <v>109</v>
      </c>
      <c r="B514" s="23" t="s">
        <v>241</v>
      </c>
      <c r="C514" s="23" t="s">
        <v>11</v>
      </c>
      <c r="D514" s="23" t="s">
        <v>14</v>
      </c>
      <c r="E514" s="23" t="s">
        <v>133</v>
      </c>
      <c r="F514" s="23" t="s">
        <v>108</v>
      </c>
      <c r="G514" s="37"/>
      <c r="H514" s="115">
        <v>774.87</v>
      </c>
      <c r="I514" s="115"/>
      <c r="J514" s="265"/>
      <c r="K514" s="265"/>
      <c r="L514" s="265">
        <f>J514+K514</f>
        <v>0</v>
      </c>
      <c r="M514" s="32">
        <f>-78.244</f>
        <v>-78.244</v>
      </c>
      <c r="N514" s="33">
        <f>L514+M514</f>
        <v>-78.244</v>
      </c>
      <c r="O514" s="95"/>
    </row>
    <row r="515" spans="1:14" s="173" customFormat="1" ht="14.25">
      <c r="A515" s="106" t="s">
        <v>46</v>
      </c>
      <c r="B515" s="29" t="s">
        <v>241</v>
      </c>
      <c r="C515" s="29" t="s">
        <v>19</v>
      </c>
      <c r="D515" s="29"/>
      <c r="E515" s="29"/>
      <c r="F515" s="29"/>
      <c r="G515" s="21" t="e">
        <f>G537+#REF!+#REF!</f>
        <v>#REF!</v>
      </c>
      <c r="H515" s="24" t="e">
        <f>H537+#REF!+H516</f>
        <v>#REF!</v>
      </c>
      <c r="I515" s="24" t="e">
        <f>I537+#REF!+I516</f>
        <v>#REF!</v>
      </c>
      <c r="J515" s="264">
        <f>J516</f>
        <v>257.30600000000004</v>
      </c>
      <c r="K515" s="264">
        <f>K516</f>
        <v>8.411</v>
      </c>
      <c r="L515" s="264">
        <f>L516</f>
        <v>265.717</v>
      </c>
      <c r="M515" s="35" t="e">
        <f>M516</f>
        <v>#REF!</v>
      </c>
      <c r="N515" s="36" t="e">
        <f>N516</f>
        <v>#REF!</v>
      </c>
    </row>
    <row r="516" spans="1:14" s="147" customFormat="1" ht="25.5">
      <c r="A516" s="82" t="s">
        <v>51</v>
      </c>
      <c r="B516" s="29" t="s">
        <v>241</v>
      </c>
      <c r="C516" s="29" t="s">
        <v>19</v>
      </c>
      <c r="D516" s="29" t="s">
        <v>19</v>
      </c>
      <c r="E516" s="29"/>
      <c r="F516" s="29"/>
      <c r="G516" s="21" t="e">
        <f>#REF!</f>
        <v>#REF!</v>
      </c>
      <c r="H516" s="21" t="e">
        <f>#REF!</f>
        <v>#REF!</v>
      </c>
      <c r="I516" s="21" t="e">
        <f>#REF!</f>
        <v>#REF!</v>
      </c>
      <c r="J516" s="264">
        <f>J517+J520</f>
        <v>257.30600000000004</v>
      </c>
      <c r="K516" s="264">
        <f>K517+K520</f>
        <v>8.411</v>
      </c>
      <c r="L516" s="264">
        <f>L517+L520</f>
        <v>265.717</v>
      </c>
      <c r="M516" s="46" t="e">
        <f>#REF!</f>
        <v>#REF!</v>
      </c>
      <c r="N516" s="96" t="e">
        <f>#REF!</f>
        <v>#REF!</v>
      </c>
    </row>
    <row r="517" spans="1:14" ht="26.25">
      <c r="A517" s="82" t="s">
        <v>113</v>
      </c>
      <c r="B517" s="23" t="s">
        <v>241</v>
      </c>
      <c r="C517" s="23" t="s">
        <v>19</v>
      </c>
      <c r="D517" s="23" t="s">
        <v>19</v>
      </c>
      <c r="E517" s="23" t="s">
        <v>381</v>
      </c>
      <c r="F517" s="23"/>
      <c r="G517" s="37"/>
      <c r="H517" s="37"/>
      <c r="I517" s="37"/>
      <c r="J517" s="265">
        <f>J518+J519</f>
        <v>131.306</v>
      </c>
      <c r="K517" s="265">
        <f>K518+K519</f>
        <v>8.411</v>
      </c>
      <c r="L517" s="265">
        <f>L518+L519</f>
        <v>139.717</v>
      </c>
      <c r="M517" s="32"/>
      <c r="N517" s="33"/>
    </row>
    <row r="518" spans="1:15" ht="26.25" hidden="1">
      <c r="A518" s="34" t="s">
        <v>115</v>
      </c>
      <c r="B518" s="23" t="s">
        <v>241</v>
      </c>
      <c r="C518" s="23" t="s">
        <v>19</v>
      </c>
      <c r="D518" s="23" t="s">
        <v>19</v>
      </c>
      <c r="E518" s="23" t="s">
        <v>381</v>
      </c>
      <c r="F518" s="23" t="s">
        <v>112</v>
      </c>
      <c r="G518" s="37"/>
      <c r="H518" s="37"/>
      <c r="I518" s="37"/>
      <c r="J518" s="265"/>
      <c r="K518" s="265"/>
      <c r="L518" s="265">
        <f>J518+K518</f>
        <v>0</v>
      </c>
      <c r="M518" s="32"/>
      <c r="N518" s="33"/>
      <c r="O518" s="95"/>
    </row>
    <row r="519" spans="1:15" ht="15">
      <c r="A519" s="71" t="s">
        <v>380</v>
      </c>
      <c r="B519" s="23" t="s">
        <v>241</v>
      </c>
      <c r="C519" s="23" t="s">
        <v>19</v>
      </c>
      <c r="D519" s="23" t="s">
        <v>19</v>
      </c>
      <c r="E519" s="23" t="s">
        <v>381</v>
      </c>
      <c r="F519" s="23" t="s">
        <v>170</v>
      </c>
      <c r="G519" s="37"/>
      <c r="H519" s="37"/>
      <c r="I519" s="37"/>
      <c r="J519" s="265">
        <v>131.306</v>
      </c>
      <c r="K519" s="265">
        <f>8.411</f>
        <v>8.411</v>
      </c>
      <c r="L519" s="265">
        <f>J519+K519</f>
        <v>139.717</v>
      </c>
      <c r="M519" s="32"/>
      <c r="N519" s="33"/>
      <c r="O519" s="95"/>
    </row>
    <row r="520" spans="1:14" ht="26.25">
      <c r="A520" s="82" t="s">
        <v>275</v>
      </c>
      <c r="B520" s="23" t="s">
        <v>241</v>
      </c>
      <c r="C520" s="23" t="s">
        <v>19</v>
      </c>
      <c r="D520" s="23" t="s">
        <v>19</v>
      </c>
      <c r="E520" s="23" t="s">
        <v>276</v>
      </c>
      <c r="F520" s="23"/>
      <c r="G520" s="37"/>
      <c r="H520" s="37"/>
      <c r="I520" s="37"/>
      <c r="J520" s="265">
        <f>J521</f>
        <v>126</v>
      </c>
      <c r="K520" s="265">
        <f>K521</f>
        <v>0</v>
      </c>
      <c r="L520" s="265">
        <f>L521</f>
        <v>126</v>
      </c>
      <c r="M520" s="32"/>
      <c r="N520" s="33"/>
    </row>
    <row r="521" spans="1:14" ht="39">
      <c r="A521" s="82" t="s">
        <v>464</v>
      </c>
      <c r="B521" s="23" t="s">
        <v>241</v>
      </c>
      <c r="C521" s="23" t="s">
        <v>19</v>
      </c>
      <c r="D521" s="23" t="s">
        <v>19</v>
      </c>
      <c r="E521" s="23" t="s">
        <v>376</v>
      </c>
      <c r="F521" s="23"/>
      <c r="G521" s="37"/>
      <c r="H521" s="37"/>
      <c r="I521" s="37"/>
      <c r="J521" s="265">
        <f>J522+J523</f>
        <v>126</v>
      </c>
      <c r="K521" s="265">
        <f>K522+K523</f>
        <v>0</v>
      </c>
      <c r="L521" s="265">
        <f>L522+L523</f>
        <v>126</v>
      </c>
      <c r="M521" s="32"/>
      <c r="N521" s="33"/>
    </row>
    <row r="522" spans="1:14" ht="38.25">
      <c r="A522" s="66" t="s">
        <v>172</v>
      </c>
      <c r="B522" s="23" t="s">
        <v>241</v>
      </c>
      <c r="C522" s="23" t="s">
        <v>19</v>
      </c>
      <c r="D522" s="23" t="s">
        <v>19</v>
      </c>
      <c r="E522" s="23" t="s">
        <v>376</v>
      </c>
      <c r="F522" s="23" t="s">
        <v>173</v>
      </c>
      <c r="G522" s="37"/>
      <c r="H522" s="37"/>
      <c r="I522" s="37"/>
      <c r="J522" s="265"/>
      <c r="K522" s="265">
        <v>4.1</v>
      </c>
      <c r="L522" s="265">
        <f>J522+K522</f>
        <v>4.1</v>
      </c>
      <c r="M522" s="32"/>
      <c r="N522" s="33"/>
    </row>
    <row r="523" spans="1:14" ht="27" customHeight="1">
      <c r="A523" s="66" t="s">
        <v>163</v>
      </c>
      <c r="B523" s="23" t="s">
        <v>241</v>
      </c>
      <c r="C523" s="23" t="s">
        <v>19</v>
      </c>
      <c r="D523" s="23" t="s">
        <v>19</v>
      </c>
      <c r="E523" s="23" t="s">
        <v>376</v>
      </c>
      <c r="F523" s="23" t="s">
        <v>165</v>
      </c>
      <c r="G523" s="37"/>
      <c r="H523" s="37"/>
      <c r="I523" s="37"/>
      <c r="J523" s="265">
        <v>126</v>
      </c>
      <c r="K523" s="265">
        <v>-4.1</v>
      </c>
      <c r="L523" s="265">
        <f>J523+K523</f>
        <v>121.9</v>
      </c>
      <c r="M523" s="38"/>
      <c r="N523" s="38"/>
    </row>
    <row r="524" spans="1:14" s="173" customFormat="1" ht="14.25">
      <c r="A524" s="81" t="s">
        <v>465</v>
      </c>
      <c r="B524" s="29" t="s">
        <v>241</v>
      </c>
      <c r="C524" s="29" t="s">
        <v>39</v>
      </c>
      <c r="D524" s="29"/>
      <c r="E524" s="29"/>
      <c r="F524" s="29"/>
      <c r="G524" s="21" t="e">
        <f>G525+#REF!</f>
        <v>#REF!</v>
      </c>
      <c r="H524" s="21" t="e">
        <f>H525+#REF!</f>
        <v>#REF!</v>
      </c>
      <c r="I524" s="21" t="e">
        <f>I525+#REF!</f>
        <v>#REF!</v>
      </c>
      <c r="J524" s="264">
        <f>J525+J551</f>
        <v>8904.47624</v>
      </c>
      <c r="K524" s="264">
        <f>K525+K551</f>
        <v>392.53</v>
      </c>
      <c r="L524" s="264">
        <f>L525+L551</f>
        <v>9297.00624</v>
      </c>
      <c r="M524" s="116" t="e">
        <f>M525+#REF!+M551</f>
        <v>#REF!</v>
      </c>
      <c r="N524" s="117" t="e">
        <f>N525+#REF!+N551</f>
        <v>#REF!</v>
      </c>
    </row>
    <row r="525" spans="1:14" s="147" customFormat="1" ht="14.25">
      <c r="A525" s="82" t="s">
        <v>55</v>
      </c>
      <c r="B525" s="29" t="s">
        <v>241</v>
      </c>
      <c r="C525" s="29" t="s">
        <v>39</v>
      </c>
      <c r="D525" s="29" t="s">
        <v>11</v>
      </c>
      <c r="E525" s="29"/>
      <c r="F525" s="29"/>
      <c r="G525" s="21">
        <f>G528+G535</f>
        <v>137.57999999999998</v>
      </c>
      <c r="H525" s="21">
        <f>H528+H535</f>
        <v>3820.25</v>
      </c>
      <c r="I525" s="21">
        <f>I528+I535</f>
        <v>0</v>
      </c>
      <c r="J525" s="264">
        <f>J528+J535+J547+J549+J526</f>
        <v>6094.62724</v>
      </c>
      <c r="K525" s="264">
        <f>K528+K535+K547+K549+K526</f>
        <v>392.53</v>
      </c>
      <c r="L525" s="264">
        <f>L528+L535+L547+L549+L526</f>
        <v>6487.1572400000005</v>
      </c>
      <c r="M525" s="46" t="e">
        <f>M528+M535</f>
        <v>#REF!</v>
      </c>
      <c r="N525" s="96" t="e">
        <f>N528+N535</f>
        <v>#REF!</v>
      </c>
    </row>
    <row r="526" spans="1:14" s="147" customFormat="1" ht="25.5">
      <c r="A526" s="82" t="s">
        <v>533</v>
      </c>
      <c r="B526" s="23" t="s">
        <v>241</v>
      </c>
      <c r="C526" s="23" t="s">
        <v>39</v>
      </c>
      <c r="D526" s="23" t="s">
        <v>11</v>
      </c>
      <c r="E526" s="23" t="s">
        <v>525</v>
      </c>
      <c r="F526" s="23"/>
      <c r="G526" s="21"/>
      <c r="H526" s="21"/>
      <c r="I526" s="21"/>
      <c r="J526" s="265">
        <f>J527</f>
        <v>37.6</v>
      </c>
      <c r="K526" s="265">
        <f>K527</f>
        <v>0</v>
      </c>
      <c r="L526" s="265">
        <f>L527</f>
        <v>37.6</v>
      </c>
      <c r="M526" s="46"/>
      <c r="N526" s="96"/>
    </row>
    <row r="527" spans="1:14" s="147" customFormat="1" ht="38.25">
      <c r="A527" s="66" t="s">
        <v>163</v>
      </c>
      <c r="B527" s="23" t="s">
        <v>241</v>
      </c>
      <c r="C527" s="23" t="s">
        <v>39</v>
      </c>
      <c r="D527" s="23" t="s">
        <v>11</v>
      </c>
      <c r="E527" s="23" t="s">
        <v>525</v>
      </c>
      <c r="F527" s="23" t="s">
        <v>165</v>
      </c>
      <c r="G527" s="21"/>
      <c r="H527" s="21"/>
      <c r="I527" s="21"/>
      <c r="J527" s="265">
        <v>37.6</v>
      </c>
      <c r="K527" s="265"/>
      <c r="L527" s="265">
        <f>J527+K527</f>
        <v>37.6</v>
      </c>
      <c r="M527" s="46"/>
      <c r="N527" s="96"/>
    </row>
    <row r="528" spans="1:14" ht="15">
      <c r="A528" s="82" t="s">
        <v>382</v>
      </c>
      <c r="B528" s="23" t="s">
        <v>241</v>
      </c>
      <c r="C528" s="23" t="s">
        <v>39</v>
      </c>
      <c r="D528" s="23" t="s">
        <v>11</v>
      </c>
      <c r="E528" s="23" t="s">
        <v>383</v>
      </c>
      <c r="F528" s="23"/>
      <c r="G528" s="37">
        <f aca="true" t="shared" si="74" ref="G528:N528">G529</f>
        <v>67.58</v>
      </c>
      <c r="H528" s="37">
        <f t="shared" si="74"/>
        <v>2510.85</v>
      </c>
      <c r="I528" s="37">
        <f t="shared" si="74"/>
        <v>0</v>
      </c>
      <c r="J528" s="265">
        <f t="shared" si="74"/>
        <v>1054.44</v>
      </c>
      <c r="K528" s="265">
        <f t="shared" si="74"/>
        <v>0</v>
      </c>
      <c r="L528" s="265">
        <f>L529</f>
        <v>1054.44</v>
      </c>
      <c r="M528" s="32" t="e">
        <f t="shared" si="74"/>
        <v>#REF!</v>
      </c>
      <c r="N528" s="33" t="e">
        <f t="shared" si="74"/>
        <v>#REF!</v>
      </c>
    </row>
    <row r="529" spans="1:14" ht="26.25">
      <c r="A529" s="82" t="s">
        <v>113</v>
      </c>
      <c r="B529" s="23" t="s">
        <v>241</v>
      </c>
      <c r="C529" s="23" t="s">
        <v>39</v>
      </c>
      <c r="D529" s="23" t="s">
        <v>11</v>
      </c>
      <c r="E529" s="23" t="s">
        <v>384</v>
      </c>
      <c r="F529" s="23"/>
      <c r="G529" s="37">
        <f>G530</f>
        <v>67.58</v>
      </c>
      <c r="H529" s="37">
        <f>H530</f>
        <v>2510.85</v>
      </c>
      <c r="I529" s="37">
        <f>I530</f>
        <v>0</v>
      </c>
      <c r="J529" s="265">
        <f>J530+J531+J532+J533+J534</f>
        <v>1054.44</v>
      </c>
      <c r="K529" s="265">
        <f>K530+K531+K532+K533+K534</f>
        <v>0</v>
      </c>
      <c r="L529" s="265">
        <f>L530+L531+L532+L533+L534</f>
        <v>1054.44</v>
      </c>
      <c r="M529" s="32" t="e">
        <f>M530+#REF!+#REF!+M531+M532+M534+M533</f>
        <v>#REF!</v>
      </c>
      <c r="N529" s="64" t="e">
        <f>N530+#REF!+#REF!+N531+N532+N534+N533</f>
        <v>#REF!</v>
      </c>
    </row>
    <row r="530" spans="1:15" ht="26.25" hidden="1">
      <c r="A530" s="82" t="s">
        <v>111</v>
      </c>
      <c r="B530" s="23" t="s">
        <v>241</v>
      </c>
      <c r="C530" s="23" t="s">
        <v>39</v>
      </c>
      <c r="D530" s="23" t="s">
        <v>11</v>
      </c>
      <c r="E530" s="23" t="s">
        <v>384</v>
      </c>
      <c r="F530" s="23" t="s">
        <v>112</v>
      </c>
      <c r="G530" s="37">
        <f>67.58</f>
        <v>67.58</v>
      </c>
      <c r="H530" s="30">
        <v>2510.85</v>
      </c>
      <c r="I530" s="37"/>
      <c r="J530" s="265"/>
      <c r="K530" s="265"/>
      <c r="L530" s="265">
        <f>J530+K530</f>
        <v>0</v>
      </c>
      <c r="M530" s="32">
        <f>-4-35</f>
        <v>-39</v>
      </c>
      <c r="N530" s="33">
        <f>L530+M530</f>
        <v>-39</v>
      </c>
      <c r="O530" s="166"/>
    </row>
    <row r="531" spans="1:15" ht="15.75" customHeight="1">
      <c r="A531" s="66" t="s">
        <v>169</v>
      </c>
      <c r="B531" s="23" t="s">
        <v>241</v>
      </c>
      <c r="C531" s="23" t="s">
        <v>39</v>
      </c>
      <c r="D531" s="23" t="s">
        <v>11</v>
      </c>
      <c r="E531" s="23" t="s">
        <v>384</v>
      </c>
      <c r="F531" s="23" t="s">
        <v>170</v>
      </c>
      <c r="G531" s="37"/>
      <c r="H531" s="30"/>
      <c r="I531" s="37"/>
      <c r="J531" s="265">
        <v>719.44</v>
      </c>
      <c r="K531" s="265"/>
      <c r="L531" s="265">
        <f>J531+K531</f>
        <v>719.44</v>
      </c>
      <c r="M531" s="32"/>
      <c r="N531" s="33"/>
      <c r="O531" s="166"/>
    </row>
    <row r="532" spans="1:15" ht="30" customHeight="1" hidden="1">
      <c r="A532" s="66" t="s">
        <v>172</v>
      </c>
      <c r="B532" s="23" t="s">
        <v>241</v>
      </c>
      <c r="C532" s="23" t="s">
        <v>39</v>
      </c>
      <c r="D532" s="23" t="s">
        <v>11</v>
      </c>
      <c r="E532" s="23" t="s">
        <v>384</v>
      </c>
      <c r="F532" s="23" t="s">
        <v>173</v>
      </c>
      <c r="G532" s="37"/>
      <c r="H532" s="30"/>
      <c r="I532" s="37"/>
      <c r="J532" s="265"/>
      <c r="K532" s="265"/>
      <c r="L532" s="265">
        <f>J532+K532</f>
        <v>0</v>
      </c>
      <c r="M532" s="32"/>
      <c r="N532" s="33"/>
      <c r="O532" s="166"/>
    </row>
    <row r="533" spans="1:15" ht="30" customHeight="1" hidden="1">
      <c r="A533" s="66" t="s">
        <v>176</v>
      </c>
      <c r="B533" s="23" t="s">
        <v>241</v>
      </c>
      <c r="C533" s="23" t="s">
        <v>39</v>
      </c>
      <c r="D533" s="23" t="s">
        <v>11</v>
      </c>
      <c r="E533" s="23" t="s">
        <v>384</v>
      </c>
      <c r="F533" s="23" t="s">
        <v>177</v>
      </c>
      <c r="G533" s="37"/>
      <c r="H533" s="30"/>
      <c r="I533" s="37"/>
      <c r="J533" s="265"/>
      <c r="K533" s="265"/>
      <c r="L533" s="265">
        <f>J533+K533</f>
        <v>0</v>
      </c>
      <c r="M533" s="32"/>
      <c r="N533" s="33"/>
      <c r="O533" s="166"/>
    </row>
    <row r="534" spans="1:15" ht="30" customHeight="1">
      <c r="A534" s="66" t="s">
        <v>163</v>
      </c>
      <c r="B534" s="23" t="s">
        <v>241</v>
      </c>
      <c r="C534" s="23" t="s">
        <v>39</v>
      </c>
      <c r="D534" s="23" t="s">
        <v>11</v>
      </c>
      <c r="E534" s="23" t="s">
        <v>384</v>
      </c>
      <c r="F534" s="23" t="s">
        <v>165</v>
      </c>
      <c r="G534" s="37"/>
      <c r="H534" s="30"/>
      <c r="I534" s="37"/>
      <c r="J534" s="265">
        <v>335</v>
      </c>
      <c r="K534" s="265"/>
      <c r="L534" s="265">
        <f>J534+K534</f>
        <v>335</v>
      </c>
      <c r="M534" s="32"/>
      <c r="N534" s="33"/>
      <c r="O534" s="166"/>
    </row>
    <row r="535" spans="1:14" ht="26.25">
      <c r="A535" s="82" t="s">
        <v>385</v>
      </c>
      <c r="B535" s="23" t="s">
        <v>241</v>
      </c>
      <c r="C535" s="23" t="s">
        <v>39</v>
      </c>
      <c r="D535" s="23" t="s">
        <v>11</v>
      </c>
      <c r="E535" s="23" t="s">
        <v>386</v>
      </c>
      <c r="F535" s="23"/>
      <c r="G535" s="37">
        <f aca="true" t="shared" si="75" ref="G535:M535">G536+G544</f>
        <v>70</v>
      </c>
      <c r="H535" s="37">
        <f t="shared" si="75"/>
        <v>1309.4</v>
      </c>
      <c r="I535" s="37">
        <f t="shared" si="75"/>
        <v>0</v>
      </c>
      <c r="J535" s="265">
        <f t="shared" si="75"/>
        <v>5002.58724</v>
      </c>
      <c r="K535" s="265">
        <f t="shared" si="75"/>
        <v>392.53</v>
      </c>
      <c r="L535" s="265">
        <f>L536+L544</f>
        <v>5395.11724</v>
      </c>
      <c r="M535" s="32">
        <f t="shared" si="75"/>
        <v>90</v>
      </c>
      <c r="N535" s="33">
        <f>N536+N544</f>
        <v>90</v>
      </c>
    </row>
    <row r="536" spans="1:14" ht="26.25">
      <c r="A536" s="82" t="s">
        <v>113</v>
      </c>
      <c r="B536" s="23" t="s">
        <v>241</v>
      </c>
      <c r="C536" s="23" t="s">
        <v>39</v>
      </c>
      <c r="D536" s="23" t="s">
        <v>11</v>
      </c>
      <c r="E536" s="23" t="s">
        <v>387</v>
      </c>
      <c r="F536" s="23"/>
      <c r="G536" s="37">
        <f>G537</f>
        <v>70</v>
      </c>
      <c r="H536" s="37">
        <f>H537</f>
        <v>1274.4</v>
      </c>
      <c r="I536" s="37">
        <f>I537</f>
        <v>0</v>
      </c>
      <c r="J536" s="265">
        <f>J537+J539+J541+J538+J540+J542+J543</f>
        <v>4964.58724</v>
      </c>
      <c r="K536" s="265">
        <f>K537+K539+K541+K538+K540+K542+K543</f>
        <v>392.53</v>
      </c>
      <c r="L536" s="265">
        <f>L537+L539+L541+L538+L540+L542+L543</f>
        <v>5357.11724</v>
      </c>
      <c r="M536" s="32">
        <f>M537+M539+M541+M538+M540</f>
        <v>90</v>
      </c>
      <c r="N536" s="32">
        <f>N537+N539+N541+N538+N540</f>
        <v>90</v>
      </c>
    </row>
    <row r="537" spans="1:15" ht="26.25" hidden="1">
      <c r="A537" s="82" t="s">
        <v>111</v>
      </c>
      <c r="B537" s="23" t="s">
        <v>241</v>
      </c>
      <c r="C537" s="23" t="s">
        <v>39</v>
      </c>
      <c r="D537" s="23" t="s">
        <v>11</v>
      </c>
      <c r="E537" s="23" t="s">
        <v>387</v>
      </c>
      <c r="F537" s="23" t="s">
        <v>112</v>
      </c>
      <c r="G537" s="37">
        <f>10+60</f>
        <v>70</v>
      </c>
      <c r="H537" s="30">
        <v>1274.4</v>
      </c>
      <c r="I537" s="37"/>
      <c r="J537" s="265"/>
      <c r="K537" s="265"/>
      <c r="L537" s="265">
        <f aca="true" t="shared" si="76" ref="L537:L543">J537+K537</f>
        <v>0</v>
      </c>
      <c r="M537" s="32">
        <v>90</v>
      </c>
      <c r="N537" s="33">
        <f>L537+M537</f>
        <v>90</v>
      </c>
      <c r="O537" s="124"/>
    </row>
    <row r="538" spans="1:15" ht="15">
      <c r="A538" s="66" t="s">
        <v>380</v>
      </c>
      <c r="B538" s="23" t="s">
        <v>241</v>
      </c>
      <c r="C538" s="23" t="s">
        <v>39</v>
      </c>
      <c r="D538" s="23" t="s">
        <v>11</v>
      </c>
      <c r="E538" s="23" t="s">
        <v>387</v>
      </c>
      <c r="F538" s="23" t="s">
        <v>170</v>
      </c>
      <c r="G538" s="37"/>
      <c r="H538" s="30"/>
      <c r="I538" s="37"/>
      <c r="J538" s="265">
        <v>2072.834</v>
      </c>
      <c r="K538" s="265">
        <f>330.941-8.411</f>
        <v>322.53</v>
      </c>
      <c r="L538" s="265">
        <f t="shared" si="76"/>
        <v>2395.3639999999996</v>
      </c>
      <c r="M538" s="32"/>
      <c r="N538" s="33"/>
      <c r="O538" s="124"/>
    </row>
    <row r="539" spans="1:15" ht="25.5">
      <c r="A539" s="66" t="s">
        <v>248</v>
      </c>
      <c r="B539" s="23" t="s">
        <v>241</v>
      </c>
      <c r="C539" s="23" t="s">
        <v>39</v>
      </c>
      <c r="D539" s="23" t="s">
        <v>11</v>
      </c>
      <c r="E539" s="23" t="s">
        <v>387</v>
      </c>
      <c r="F539" s="23" t="s">
        <v>173</v>
      </c>
      <c r="G539" s="37"/>
      <c r="H539" s="30"/>
      <c r="I539" s="37"/>
      <c r="J539" s="265">
        <v>151</v>
      </c>
      <c r="K539" s="265"/>
      <c r="L539" s="265">
        <f t="shared" si="76"/>
        <v>151</v>
      </c>
      <c r="M539" s="32"/>
      <c r="N539" s="33"/>
      <c r="O539" s="124"/>
    </row>
    <row r="540" spans="1:15" ht="39" customHeight="1">
      <c r="A540" s="66" t="s">
        <v>176</v>
      </c>
      <c r="B540" s="23" t="s">
        <v>241</v>
      </c>
      <c r="C540" s="23" t="s">
        <v>39</v>
      </c>
      <c r="D540" s="23" t="s">
        <v>11</v>
      </c>
      <c r="E540" s="23" t="s">
        <v>387</v>
      </c>
      <c r="F540" s="23" t="s">
        <v>177</v>
      </c>
      <c r="G540" s="37"/>
      <c r="H540" s="30"/>
      <c r="I540" s="37"/>
      <c r="J540" s="265"/>
      <c r="K540" s="265"/>
      <c r="L540" s="265">
        <f t="shared" si="76"/>
        <v>0</v>
      </c>
      <c r="M540" s="32"/>
      <c r="N540" s="33"/>
      <c r="O540" s="124"/>
    </row>
    <row r="541" spans="1:15" ht="25.5">
      <c r="A541" s="66" t="s">
        <v>249</v>
      </c>
      <c r="B541" s="23" t="s">
        <v>241</v>
      </c>
      <c r="C541" s="23" t="s">
        <v>39</v>
      </c>
      <c r="D541" s="23" t="s">
        <v>11</v>
      </c>
      <c r="E541" s="23" t="s">
        <v>387</v>
      </c>
      <c r="F541" s="23" t="s">
        <v>165</v>
      </c>
      <c r="G541" s="37"/>
      <c r="H541" s="30"/>
      <c r="I541" s="37"/>
      <c r="J541" s="265">
        <v>2685.75324</v>
      </c>
      <c r="K541" s="265">
        <f>30+40</f>
        <v>70</v>
      </c>
      <c r="L541" s="265">
        <f t="shared" si="76"/>
        <v>2755.75324</v>
      </c>
      <c r="M541" s="32"/>
      <c r="N541" s="33"/>
      <c r="O541" s="124"/>
    </row>
    <row r="542" spans="1:15" ht="38.25">
      <c r="A542" s="66" t="s">
        <v>295</v>
      </c>
      <c r="B542" s="23" t="s">
        <v>241</v>
      </c>
      <c r="C542" s="23" t="s">
        <v>39</v>
      </c>
      <c r="D542" s="23" t="s">
        <v>11</v>
      </c>
      <c r="E542" s="23" t="s">
        <v>387</v>
      </c>
      <c r="F542" s="23" t="s">
        <v>179</v>
      </c>
      <c r="G542" s="37"/>
      <c r="H542" s="30"/>
      <c r="I542" s="37"/>
      <c r="J542" s="265">
        <v>22</v>
      </c>
      <c r="K542" s="265"/>
      <c r="L542" s="265">
        <f t="shared" si="76"/>
        <v>22</v>
      </c>
      <c r="M542" s="32"/>
      <c r="N542" s="33"/>
      <c r="O542" s="124"/>
    </row>
    <row r="543" spans="1:15" ht="26.25">
      <c r="A543" s="71" t="s">
        <v>180</v>
      </c>
      <c r="B543" s="23" t="s">
        <v>241</v>
      </c>
      <c r="C543" s="23" t="s">
        <v>39</v>
      </c>
      <c r="D543" s="23" t="s">
        <v>11</v>
      </c>
      <c r="E543" s="23" t="s">
        <v>387</v>
      </c>
      <c r="F543" s="23" t="s">
        <v>181</v>
      </c>
      <c r="G543" s="37"/>
      <c r="H543" s="30"/>
      <c r="I543" s="37"/>
      <c r="J543" s="265">
        <v>33</v>
      </c>
      <c r="K543" s="265"/>
      <c r="L543" s="265">
        <f t="shared" si="76"/>
        <v>33</v>
      </c>
      <c r="M543" s="32"/>
      <c r="N543" s="33"/>
      <c r="O543" s="124"/>
    </row>
    <row r="544" spans="1:14" ht="26.25">
      <c r="A544" s="82" t="s">
        <v>113</v>
      </c>
      <c r="B544" s="23" t="s">
        <v>241</v>
      </c>
      <c r="C544" s="23" t="s">
        <v>39</v>
      </c>
      <c r="D544" s="23" t="s">
        <v>11</v>
      </c>
      <c r="E544" s="23" t="s">
        <v>388</v>
      </c>
      <c r="F544" s="23"/>
      <c r="G544" s="37">
        <f aca="true" t="shared" si="77" ref="G544:N544">G545</f>
        <v>0</v>
      </c>
      <c r="H544" s="30">
        <f t="shared" si="77"/>
        <v>35</v>
      </c>
      <c r="I544" s="37">
        <f t="shared" si="77"/>
        <v>0</v>
      </c>
      <c r="J544" s="265">
        <f>J545+J546</f>
        <v>38</v>
      </c>
      <c r="K544" s="265">
        <f>K545+K546</f>
        <v>0</v>
      </c>
      <c r="L544" s="265">
        <f>L545+L546</f>
        <v>38</v>
      </c>
      <c r="M544" s="32">
        <f t="shared" si="77"/>
        <v>0</v>
      </c>
      <c r="N544" s="33">
        <f t="shared" si="77"/>
        <v>0</v>
      </c>
    </row>
    <row r="545" spans="1:14" ht="26.25">
      <c r="A545" s="82" t="s">
        <v>111</v>
      </c>
      <c r="B545" s="23" t="s">
        <v>241</v>
      </c>
      <c r="C545" s="23" t="s">
        <v>39</v>
      </c>
      <c r="D545" s="23" t="s">
        <v>11</v>
      </c>
      <c r="E545" s="23" t="s">
        <v>388</v>
      </c>
      <c r="F545" s="23" t="s">
        <v>112</v>
      </c>
      <c r="G545" s="37"/>
      <c r="H545" s="30">
        <v>35</v>
      </c>
      <c r="I545" s="37"/>
      <c r="J545" s="265"/>
      <c r="K545" s="265"/>
      <c r="L545" s="265">
        <f>J545+K545</f>
        <v>0</v>
      </c>
      <c r="M545" s="32"/>
      <c r="N545" s="33">
        <f>L545+M545</f>
        <v>0</v>
      </c>
    </row>
    <row r="546" spans="1:14" ht="25.5">
      <c r="A546" s="66" t="s">
        <v>249</v>
      </c>
      <c r="B546" s="23" t="s">
        <v>241</v>
      </c>
      <c r="C546" s="23" t="s">
        <v>39</v>
      </c>
      <c r="D546" s="23" t="s">
        <v>11</v>
      </c>
      <c r="E546" s="23" t="s">
        <v>388</v>
      </c>
      <c r="F546" s="23" t="s">
        <v>165</v>
      </c>
      <c r="G546" s="37"/>
      <c r="H546" s="30"/>
      <c r="I546" s="37"/>
      <c r="J546" s="265">
        <v>38</v>
      </c>
      <c r="K546" s="265"/>
      <c r="L546" s="265">
        <f>J546+K546</f>
        <v>38</v>
      </c>
      <c r="M546" s="32"/>
      <c r="N546" s="33"/>
    </row>
    <row r="547" spans="1:14" ht="26.25" hidden="1">
      <c r="A547" s="82" t="s">
        <v>389</v>
      </c>
      <c r="B547" s="23" t="s">
        <v>241</v>
      </c>
      <c r="C547" s="23" t="s">
        <v>39</v>
      </c>
      <c r="D547" s="23" t="s">
        <v>11</v>
      </c>
      <c r="E547" s="23" t="s">
        <v>390</v>
      </c>
      <c r="F547" s="23"/>
      <c r="G547" s="37"/>
      <c r="H547" s="30"/>
      <c r="I547" s="37"/>
      <c r="J547" s="265">
        <f>J548</f>
        <v>0</v>
      </c>
      <c r="K547" s="265">
        <f>K548</f>
        <v>0</v>
      </c>
      <c r="L547" s="265">
        <f>L548</f>
        <v>0</v>
      </c>
      <c r="M547" s="32"/>
      <c r="N547" s="33"/>
    </row>
    <row r="548" spans="1:14" ht="26.25" hidden="1">
      <c r="A548" s="82" t="s">
        <v>111</v>
      </c>
      <c r="B548" s="23" t="s">
        <v>241</v>
      </c>
      <c r="C548" s="23" t="s">
        <v>39</v>
      </c>
      <c r="D548" s="23" t="s">
        <v>11</v>
      </c>
      <c r="E548" s="23" t="s">
        <v>390</v>
      </c>
      <c r="F548" s="23" t="s">
        <v>112</v>
      </c>
      <c r="G548" s="37"/>
      <c r="H548" s="30"/>
      <c r="I548" s="37"/>
      <c r="J548" s="265"/>
      <c r="K548" s="265"/>
      <c r="L548" s="265">
        <f>J548+K548</f>
        <v>0</v>
      </c>
      <c r="M548" s="32"/>
      <c r="N548" s="33"/>
    </row>
    <row r="549" spans="1:14" ht="26.25">
      <c r="A549" s="82" t="s">
        <v>462</v>
      </c>
      <c r="B549" s="23" t="s">
        <v>241</v>
      </c>
      <c r="C549" s="23" t="s">
        <v>39</v>
      </c>
      <c r="D549" s="23" t="s">
        <v>11</v>
      </c>
      <c r="E549" s="23" t="s">
        <v>463</v>
      </c>
      <c r="F549" s="23"/>
      <c r="G549" s="31">
        <f aca="true" t="shared" si="78" ref="G549:L549">G550</f>
        <v>0</v>
      </c>
      <c r="H549" s="31">
        <f t="shared" si="78"/>
        <v>0</v>
      </c>
      <c r="I549" s="31">
        <f t="shared" si="78"/>
        <v>0</v>
      </c>
      <c r="J549" s="265">
        <f t="shared" si="78"/>
        <v>0</v>
      </c>
      <c r="K549" s="265">
        <f t="shared" si="78"/>
        <v>0</v>
      </c>
      <c r="L549" s="265">
        <f t="shared" si="78"/>
        <v>0</v>
      </c>
      <c r="M549" s="32"/>
      <c r="N549" s="33"/>
    </row>
    <row r="550" spans="1:14" ht="25.5">
      <c r="A550" s="66" t="s">
        <v>249</v>
      </c>
      <c r="B550" s="23" t="s">
        <v>241</v>
      </c>
      <c r="C550" s="23" t="s">
        <v>39</v>
      </c>
      <c r="D550" s="23" t="s">
        <v>11</v>
      </c>
      <c r="E550" s="23" t="s">
        <v>463</v>
      </c>
      <c r="F550" s="23" t="s">
        <v>165</v>
      </c>
      <c r="G550" s="37"/>
      <c r="H550" s="30"/>
      <c r="I550" s="37"/>
      <c r="J550" s="265">
        <v>0</v>
      </c>
      <c r="K550" s="265"/>
      <c r="L550" s="265">
        <f>J550+K550</f>
        <v>0</v>
      </c>
      <c r="M550" s="32"/>
      <c r="N550" s="33"/>
    </row>
    <row r="551" spans="1:14" ht="26.25">
      <c r="A551" s="81" t="s">
        <v>391</v>
      </c>
      <c r="B551" s="29" t="s">
        <v>241</v>
      </c>
      <c r="C551" s="29" t="s">
        <v>39</v>
      </c>
      <c r="D551" s="29" t="s">
        <v>14</v>
      </c>
      <c r="E551" s="29"/>
      <c r="F551" s="29"/>
      <c r="G551" s="21">
        <f aca="true" t="shared" si="79" ref="G551:L553">G552</f>
        <v>0</v>
      </c>
      <c r="H551" s="21">
        <f t="shared" si="79"/>
        <v>1780.9</v>
      </c>
      <c r="I551" s="21">
        <f t="shared" si="79"/>
        <v>0</v>
      </c>
      <c r="J551" s="264">
        <f t="shared" si="79"/>
        <v>2809.8489999999997</v>
      </c>
      <c r="K551" s="264">
        <f t="shared" si="79"/>
        <v>0</v>
      </c>
      <c r="L551" s="264">
        <f t="shared" si="79"/>
        <v>2809.8489999999997</v>
      </c>
      <c r="M551" s="32"/>
      <c r="N551" s="33"/>
    </row>
    <row r="552" spans="1:14" ht="39">
      <c r="A552" s="82" t="s">
        <v>372</v>
      </c>
      <c r="B552" s="23" t="s">
        <v>241</v>
      </c>
      <c r="C552" s="23" t="s">
        <v>39</v>
      </c>
      <c r="D552" s="23" t="s">
        <v>14</v>
      </c>
      <c r="E552" s="23" t="s">
        <v>119</v>
      </c>
      <c r="F552" s="23"/>
      <c r="G552" s="37">
        <f t="shared" si="79"/>
        <v>0</v>
      </c>
      <c r="H552" s="37">
        <f t="shared" si="79"/>
        <v>1780.9</v>
      </c>
      <c r="I552" s="37">
        <f t="shared" si="79"/>
        <v>0</v>
      </c>
      <c r="J552" s="265">
        <f t="shared" si="79"/>
        <v>2809.8489999999997</v>
      </c>
      <c r="K552" s="265">
        <f t="shared" si="79"/>
        <v>0</v>
      </c>
      <c r="L552" s="265">
        <f>L553</f>
        <v>2809.8489999999997</v>
      </c>
      <c r="M552" s="32"/>
      <c r="N552" s="33"/>
    </row>
    <row r="553" spans="1:14" ht="26.25">
      <c r="A553" s="82" t="s">
        <v>113</v>
      </c>
      <c r="B553" s="23" t="s">
        <v>241</v>
      </c>
      <c r="C553" s="23" t="s">
        <v>39</v>
      </c>
      <c r="D553" s="23" t="s">
        <v>14</v>
      </c>
      <c r="E553" s="23" t="s">
        <v>120</v>
      </c>
      <c r="F553" s="23"/>
      <c r="G553" s="37">
        <f t="shared" si="79"/>
        <v>0</v>
      </c>
      <c r="H553" s="37">
        <f t="shared" si="79"/>
        <v>1780.9</v>
      </c>
      <c r="I553" s="37">
        <f t="shared" si="79"/>
        <v>0</v>
      </c>
      <c r="J553" s="265">
        <f>J554+J555+J556+J558+J557</f>
        <v>2809.8489999999997</v>
      </c>
      <c r="K553" s="265">
        <f>K554+K555+K556+K558+K557</f>
        <v>0</v>
      </c>
      <c r="L553" s="265">
        <f>L554+L555+L556+L558+L557</f>
        <v>2809.8489999999997</v>
      </c>
      <c r="M553" s="32"/>
      <c r="N553" s="33"/>
    </row>
    <row r="554" spans="1:14" ht="26.25" hidden="1">
      <c r="A554" s="82" t="s">
        <v>111</v>
      </c>
      <c r="B554" s="23" t="s">
        <v>241</v>
      </c>
      <c r="C554" s="23" t="s">
        <v>39</v>
      </c>
      <c r="D554" s="23" t="s">
        <v>14</v>
      </c>
      <c r="E554" s="23" t="s">
        <v>120</v>
      </c>
      <c r="F554" s="23" t="s">
        <v>112</v>
      </c>
      <c r="G554" s="37"/>
      <c r="H554" s="30">
        <v>1780.9</v>
      </c>
      <c r="I554" s="37"/>
      <c r="J554" s="265"/>
      <c r="K554" s="265"/>
      <c r="L554" s="265">
        <f>J554+K554</f>
        <v>0</v>
      </c>
      <c r="M554" s="32"/>
      <c r="N554" s="33"/>
    </row>
    <row r="555" spans="1:14" ht="15.75" thickBot="1">
      <c r="A555" s="66" t="s">
        <v>380</v>
      </c>
      <c r="B555" s="23" t="s">
        <v>241</v>
      </c>
      <c r="C555" s="23" t="s">
        <v>39</v>
      </c>
      <c r="D555" s="23" t="s">
        <v>14</v>
      </c>
      <c r="E555" s="23" t="s">
        <v>120</v>
      </c>
      <c r="F555" s="23" t="s">
        <v>170</v>
      </c>
      <c r="G555" s="37"/>
      <c r="H555" s="30"/>
      <c r="I555" s="37"/>
      <c r="J555" s="265">
        <v>1963.618</v>
      </c>
      <c r="K555" s="265"/>
      <c r="L555" s="265">
        <f>J555+K555</f>
        <v>1963.618</v>
      </c>
      <c r="M555" s="118"/>
      <c r="N555" s="109"/>
    </row>
    <row r="556" spans="1:14" ht="26.25" hidden="1" thickBot="1">
      <c r="A556" s="66" t="s">
        <v>248</v>
      </c>
      <c r="B556" s="23" t="s">
        <v>241</v>
      </c>
      <c r="C556" s="23" t="s">
        <v>39</v>
      </c>
      <c r="D556" s="23" t="s">
        <v>14</v>
      </c>
      <c r="E556" s="23" t="s">
        <v>120</v>
      </c>
      <c r="F556" s="23" t="s">
        <v>173</v>
      </c>
      <c r="G556" s="37"/>
      <c r="H556" s="30"/>
      <c r="I556" s="37"/>
      <c r="J556" s="265"/>
      <c r="K556" s="265"/>
      <c r="L556" s="265">
        <f>J556+K556</f>
        <v>0</v>
      </c>
      <c r="M556" s="118"/>
      <c r="N556" s="109"/>
    </row>
    <row r="557" spans="1:14" ht="39.75" customHeight="1" thickBot="1">
      <c r="A557" s="66" t="s">
        <v>176</v>
      </c>
      <c r="B557" s="23" t="s">
        <v>241</v>
      </c>
      <c r="C557" s="23" t="s">
        <v>39</v>
      </c>
      <c r="D557" s="23" t="s">
        <v>14</v>
      </c>
      <c r="E557" s="23" t="s">
        <v>120</v>
      </c>
      <c r="F557" s="23" t="s">
        <v>177</v>
      </c>
      <c r="G557" s="37"/>
      <c r="H557" s="30"/>
      <c r="I557" s="37"/>
      <c r="J557" s="265">
        <v>82.83</v>
      </c>
      <c r="K557" s="265"/>
      <c r="L557" s="265">
        <f>J557+K557</f>
        <v>82.83</v>
      </c>
      <c r="M557" s="118"/>
      <c r="N557" s="109"/>
    </row>
    <row r="558" spans="1:14" ht="26.25" thickBot="1">
      <c r="A558" s="66" t="s">
        <v>249</v>
      </c>
      <c r="B558" s="23" t="s">
        <v>241</v>
      </c>
      <c r="C558" s="23" t="s">
        <v>39</v>
      </c>
      <c r="D558" s="23" t="s">
        <v>14</v>
      </c>
      <c r="E558" s="23" t="s">
        <v>120</v>
      </c>
      <c r="F558" s="23" t="s">
        <v>165</v>
      </c>
      <c r="G558" s="37"/>
      <c r="H558" s="30"/>
      <c r="I558" s="37"/>
      <c r="J558" s="265">
        <v>763.401</v>
      </c>
      <c r="K558" s="265"/>
      <c r="L558" s="265">
        <f>J558+K558</f>
        <v>763.401</v>
      </c>
      <c r="M558" s="118"/>
      <c r="N558" s="109"/>
    </row>
    <row r="559" spans="1:14" s="147" customFormat="1" ht="14.25">
      <c r="A559" s="83" t="s">
        <v>67</v>
      </c>
      <c r="B559" s="29" t="s">
        <v>241</v>
      </c>
      <c r="C559" s="29" t="s">
        <v>66</v>
      </c>
      <c r="D559" s="29" t="s">
        <v>226</v>
      </c>
      <c r="E559" s="29"/>
      <c r="F559" s="29"/>
      <c r="G559" s="21"/>
      <c r="H559" s="25"/>
      <c r="I559" s="21"/>
      <c r="J559" s="264">
        <f aca="true" t="shared" si="80" ref="J559:L560">J560</f>
        <v>321</v>
      </c>
      <c r="K559" s="264">
        <f t="shared" si="80"/>
        <v>0</v>
      </c>
      <c r="L559" s="264">
        <f t="shared" si="80"/>
        <v>321</v>
      </c>
      <c r="M559" s="150"/>
      <c r="N559" s="182"/>
    </row>
    <row r="560" spans="1:14" s="147" customFormat="1" ht="25.5">
      <c r="A560" s="114" t="s">
        <v>73</v>
      </c>
      <c r="B560" s="29" t="s">
        <v>241</v>
      </c>
      <c r="C560" s="29" t="s">
        <v>66</v>
      </c>
      <c r="D560" s="29" t="s">
        <v>17</v>
      </c>
      <c r="E560" s="29"/>
      <c r="F560" s="29"/>
      <c r="G560" s="21"/>
      <c r="H560" s="25"/>
      <c r="I560" s="21"/>
      <c r="J560" s="264">
        <f t="shared" si="80"/>
        <v>321</v>
      </c>
      <c r="K560" s="264">
        <f t="shared" si="80"/>
        <v>0</v>
      </c>
      <c r="L560" s="264">
        <f t="shared" si="80"/>
        <v>321</v>
      </c>
      <c r="M560" s="150"/>
      <c r="N560" s="182"/>
    </row>
    <row r="561" spans="1:14" ht="15">
      <c r="A561" s="82" t="s">
        <v>347</v>
      </c>
      <c r="B561" s="23" t="s">
        <v>241</v>
      </c>
      <c r="C561" s="23" t="s">
        <v>66</v>
      </c>
      <c r="D561" s="23" t="s">
        <v>17</v>
      </c>
      <c r="E561" s="23" t="s">
        <v>276</v>
      </c>
      <c r="F561" s="23"/>
      <c r="G561" s="37">
        <f aca="true" t="shared" si="81" ref="G561:M561">G562+G564</f>
        <v>75</v>
      </c>
      <c r="H561" s="37">
        <f t="shared" si="81"/>
        <v>62.88</v>
      </c>
      <c r="I561" s="37">
        <f t="shared" si="81"/>
        <v>0</v>
      </c>
      <c r="J561" s="265">
        <f t="shared" si="81"/>
        <v>321</v>
      </c>
      <c r="K561" s="265">
        <f t="shared" si="81"/>
        <v>0</v>
      </c>
      <c r="L561" s="265">
        <f t="shared" si="81"/>
        <v>321</v>
      </c>
      <c r="M561" s="32">
        <f t="shared" si="81"/>
        <v>40</v>
      </c>
      <c r="N561" s="33">
        <f>N562+N564</f>
        <v>361</v>
      </c>
    </row>
    <row r="562" spans="1:14" ht="39">
      <c r="A562" s="34" t="s">
        <v>277</v>
      </c>
      <c r="B562" s="23" t="s">
        <v>241</v>
      </c>
      <c r="C562" s="23" t="s">
        <v>66</v>
      </c>
      <c r="D562" s="23" t="s">
        <v>17</v>
      </c>
      <c r="E562" s="23" t="s">
        <v>278</v>
      </c>
      <c r="F562" s="23"/>
      <c r="G562" s="37">
        <f aca="true" t="shared" si="82" ref="G562:N562">G563</f>
        <v>35</v>
      </c>
      <c r="H562" s="37">
        <f t="shared" si="82"/>
        <v>62.88</v>
      </c>
      <c r="I562" s="37">
        <f t="shared" si="82"/>
        <v>0</v>
      </c>
      <c r="J562" s="265">
        <f t="shared" si="82"/>
        <v>321</v>
      </c>
      <c r="K562" s="265">
        <f t="shared" si="82"/>
        <v>0</v>
      </c>
      <c r="L562" s="265">
        <f t="shared" si="82"/>
        <v>321</v>
      </c>
      <c r="M562" s="32">
        <f t="shared" si="82"/>
        <v>40</v>
      </c>
      <c r="N562" s="33">
        <f t="shared" si="82"/>
        <v>361</v>
      </c>
    </row>
    <row r="563" spans="1:14" ht="38.25">
      <c r="A563" s="66" t="s">
        <v>163</v>
      </c>
      <c r="B563" s="23" t="s">
        <v>241</v>
      </c>
      <c r="C563" s="23" t="s">
        <v>66</v>
      </c>
      <c r="D563" s="23" t="s">
        <v>17</v>
      </c>
      <c r="E563" s="23" t="s">
        <v>278</v>
      </c>
      <c r="F563" s="23" t="s">
        <v>165</v>
      </c>
      <c r="G563" s="37">
        <f>15.4+19.6</f>
        <v>35</v>
      </c>
      <c r="H563" s="30">
        <v>62.88</v>
      </c>
      <c r="I563" s="37"/>
      <c r="J563" s="265">
        <v>321</v>
      </c>
      <c r="K563" s="265"/>
      <c r="L563" s="265">
        <f>J563+K563</f>
        <v>321</v>
      </c>
      <c r="M563" s="32">
        <f>40</f>
        <v>40</v>
      </c>
      <c r="N563" s="33">
        <f>L563+M563</f>
        <v>361</v>
      </c>
    </row>
    <row r="564" spans="1:14" ht="30" customHeight="1" hidden="1">
      <c r="A564" s="82" t="s">
        <v>279</v>
      </c>
      <c r="B564" s="23" t="s">
        <v>241</v>
      </c>
      <c r="C564" s="23" t="s">
        <v>66</v>
      </c>
      <c r="D564" s="23" t="s">
        <v>17</v>
      </c>
      <c r="E564" s="23" t="s">
        <v>280</v>
      </c>
      <c r="F564" s="23"/>
      <c r="G564" s="37">
        <f aca="true" t="shared" si="83" ref="G564:N564">G565</f>
        <v>40</v>
      </c>
      <c r="H564" s="30">
        <f t="shared" si="83"/>
        <v>0</v>
      </c>
      <c r="I564" s="37">
        <f t="shared" si="83"/>
        <v>0</v>
      </c>
      <c r="J564" s="265">
        <f t="shared" si="83"/>
        <v>0</v>
      </c>
      <c r="K564" s="265">
        <f t="shared" si="83"/>
        <v>0</v>
      </c>
      <c r="L564" s="265">
        <f t="shared" si="83"/>
        <v>0</v>
      </c>
      <c r="M564" s="32">
        <f t="shared" si="83"/>
        <v>0</v>
      </c>
      <c r="N564" s="33">
        <f t="shared" si="83"/>
        <v>0</v>
      </c>
    </row>
    <row r="565" spans="1:14" ht="38.25" hidden="1">
      <c r="A565" s="66" t="s">
        <v>163</v>
      </c>
      <c r="B565" s="23" t="s">
        <v>286</v>
      </c>
      <c r="C565" s="23" t="s">
        <v>66</v>
      </c>
      <c r="D565" s="23" t="s">
        <v>17</v>
      </c>
      <c r="E565" s="23" t="s">
        <v>280</v>
      </c>
      <c r="F565" s="23" t="s">
        <v>165</v>
      </c>
      <c r="G565" s="37">
        <v>40</v>
      </c>
      <c r="H565" s="30"/>
      <c r="I565" s="37"/>
      <c r="J565" s="265"/>
      <c r="K565" s="265"/>
      <c r="L565" s="265">
        <f>J565+K565</f>
        <v>0</v>
      </c>
      <c r="M565" s="32"/>
      <c r="N565" s="33">
        <f>L565+M565</f>
        <v>0</v>
      </c>
    </row>
    <row r="566" spans="1:14" ht="15.75" thickBot="1">
      <c r="A566" s="28" t="s">
        <v>63</v>
      </c>
      <c r="B566" s="29" t="s">
        <v>241</v>
      </c>
      <c r="C566" s="29" t="s">
        <v>21</v>
      </c>
      <c r="D566" s="23"/>
      <c r="E566" s="23"/>
      <c r="F566" s="23"/>
      <c r="G566" s="37"/>
      <c r="H566" s="30">
        <f>H567</f>
        <v>0</v>
      </c>
      <c r="I566" s="30">
        <f>I567</f>
        <v>0</v>
      </c>
      <c r="J566" s="264">
        <f>J567</f>
        <v>1466.6</v>
      </c>
      <c r="K566" s="264">
        <f>K567</f>
        <v>0</v>
      </c>
      <c r="L566" s="264">
        <f>L567</f>
        <v>1466.6</v>
      </c>
      <c r="M566" s="118"/>
      <c r="N566" s="109"/>
    </row>
    <row r="567" spans="1:14" ht="15.75" thickBot="1">
      <c r="A567" s="81" t="s">
        <v>394</v>
      </c>
      <c r="B567" s="29" t="s">
        <v>241</v>
      </c>
      <c r="C567" s="29" t="s">
        <v>21</v>
      </c>
      <c r="D567" s="29" t="s">
        <v>11</v>
      </c>
      <c r="E567" s="29"/>
      <c r="F567" s="29"/>
      <c r="G567" s="21">
        <f aca="true" t="shared" si="84" ref="G567:L569">G568</f>
        <v>0</v>
      </c>
      <c r="H567" s="21">
        <f t="shared" si="84"/>
        <v>0</v>
      </c>
      <c r="I567" s="21">
        <f t="shared" si="84"/>
        <v>0</v>
      </c>
      <c r="J567" s="264">
        <f t="shared" si="84"/>
        <v>1466.6</v>
      </c>
      <c r="K567" s="264">
        <f t="shared" si="84"/>
        <v>0</v>
      </c>
      <c r="L567" s="264">
        <f t="shared" si="84"/>
        <v>1466.6</v>
      </c>
      <c r="M567" s="118"/>
      <c r="N567" s="109"/>
    </row>
    <row r="568" spans="1:14" ht="27" thickBot="1">
      <c r="A568" s="82" t="s">
        <v>373</v>
      </c>
      <c r="B568" s="23" t="s">
        <v>241</v>
      </c>
      <c r="C568" s="23" t="s">
        <v>21</v>
      </c>
      <c r="D568" s="23" t="s">
        <v>11</v>
      </c>
      <c r="E568" s="23" t="s">
        <v>392</v>
      </c>
      <c r="F568" s="23"/>
      <c r="G568" s="37">
        <f t="shared" si="84"/>
        <v>0</v>
      </c>
      <c r="H568" s="37">
        <f t="shared" si="84"/>
        <v>0</v>
      </c>
      <c r="I568" s="37">
        <f t="shared" si="84"/>
        <v>0</v>
      </c>
      <c r="J568" s="265">
        <f t="shared" si="84"/>
        <v>1466.6</v>
      </c>
      <c r="K568" s="265">
        <f t="shared" si="84"/>
        <v>0</v>
      </c>
      <c r="L568" s="265">
        <f t="shared" si="84"/>
        <v>1466.6</v>
      </c>
      <c r="M568" s="118"/>
      <c r="N568" s="109"/>
    </row>
    <row r="569" spans="1:14" ht="26.25">
      <c r="A569" s="82" t="s">
        <v>395</v>
      </c>
      <c r="B569" s="23" t="s">
        <v>241</v>
      </c>
      <c r="C569" s="23" t="s">
        <v>21</v>
      </c>
      <c r="D569" s="23" t="s">
        <v>11</v>
      </c>
      <c r="E569" s="23" t="s">
        <v>393</v>
      </c>
      <c r="F569" s="23"/>
      <c r="G569" s="37">
        <f t="shared" si="84"/>
        <v>0</v>
      </c>
      <c r="H569" s="37">
        <f t="shared" si="84"/>
        <v>0</v>
      </c>
      <c r="I569" s="37">
        <f t="shared" si="84"/>
        <v>0</v>
      </c>
      <c r="J569" s="265">
        <f>J570+J571+J572</f>
        <v>1466.6</v>
      </c>
      <c r="K569" s="265">
        <f>K570+K571+K572</f>
        <v>0</v>
      </c>
      <c r="L569" s="265">
        <f>L570+L571+L572</f>
        <v>1466.6</v>
      </c>
      <c r="M569" s="32">
        <f>M570+M571+M572</f>
        <v>0</v>
      </c>
      <c r="N569" s="32">
        <f>N570+N571+N572</f>
        <v>0</v>
      </c>
    </row>
    <row r="570" spans="1:14" ht="27" hidden="1" thickBot="1">
      <c r="A570" s="82" t="s">
        <v>109</v>
      </c>
      <c r="B570" s="23" t="s">
        <v>241</v>
      </c>
      <c r="C570" s="23" t="s">
        <v>21</v>
      </c>
      <c r="D570" s="23" t="s">
        <v>11</v>
      </c>
      <c r="E570" s="23" t="s">
        <v>393</v>
      </c>
      <c r="F570" s="23" t="s">
        <v>108</v>
      </c>
      <c r="G570" s="37"/>
      <c r="H570" s="30"/>
      <c r="I570" s="37"/>
      <c r="J570" s="265"/>
      <c r="K570" s="265"/>
      <c r="L570" s="265">
        <f>J570+K570</f>
        <v>0</v>
      </c>
      <c r="M570" s="118"/>
      <c r="N570" s="118"/>
    </row>
    <row r="571" spans="1:14" ht="26.25" thickBot="1">
      <c r="A571" s="66" t="s">
        <v>248</v>
      </c>
      <c r="B571" s="23" t="s">
        <v>241</v>
      </c>
      <c r="C571" s="23" t="s">
        <v>21</v>
      </c>
      <c r="D571" s="23" t="s">
        <v>11</v>
      </c>
      <c r="E571" s="23" t="s">
        <v>393</v>
      </c>
      <c r="F571" s="23" t="s">
        <v>173</v>
      </c>
      <c r="G571" s="37"/>
      <c r="H571" s="30"/>
      <c r="I571" s="37"/>
      <c r="J571" s="265">
        <v>97</v>
      </c>
      <c r="K571" s="265">
        <v>51.2</v>
      </c>
      <c r="L571" s="265">
        <f>J571+K571</f>
        <v>148.2</v>
      </c>
      <c r="M571" s="118"/>
      <c r="N571" s="118"/>
    </row>
    <row r="572" spans="1:14" ht="26.25" thickBot="1">
      <c r="A572" s="66" t="s">
        <v>249</v>
      </c>
      <c r="B572" s="23" t="s">
        <v>241</v>
      </c>
      <c r="C572" s="23" t="s">
        <v>21</v>
      </c>
      <c r="D572" s="23" t="s">
        <v>11</v>
      </c>
      <c r="E572" s="23" t="s">
        <v>393</v>
      </c>
      <c r="F572" s="23" t="s">
        <v>165</v>
      </c>
      <c r="G572" s="37"/>
      <c r="H572" s="30"/>
      <c r="I572" s="37"/>
      <c r="J572" s="265">
        <v>1369.6</v>
      </c>
      <c r="K572" s="265">
        <v>-51.2</v>
      </c>
      <c r="L572" s="265">
        <f>J572+K572</f>
        <v>1318.3999999999999</v>
      </c>
      <c r="M572" s="118"/>
      <c r="N572" s="118"/>
    </row>
    <row r="573" spans="1:18" s="188" customFormat="1" ht="13.5" customHeight="1" thickBot="1">
      <c r="A573" s="183" t="s">
        <v>396</v>
      </c>
      <c r="B573" s="184"/>
      <c r="C573" s="184"/>
      <c r="D573" s="184"/>
      <c r="E573" s="184"/>
      <c r="F573" s="184"/>
      <c r="G573" s="185" t="e">
        <f>#REF!+G24+G144+#REF!+G253+G262+G508</f>
        <v>#REF!</v>
      </c>
      <c r="H573" s="186" t="e">
        <f>#REF!+H24+H144+#REF!+H253+H262+H508</f>
        <v>#REF!</v>
      </c>
      <c r="I573" s="185" t="e">
        <f>#REF!+I24+I144+#REF!+I253+I262+I508</f>
        <v>#REF!</v>
      </c>
      <c r="J573" s="270">
        <f>J24+J144+J253+J262+J508</f>
        <v>448168.89848</v>
      </c>
      <c r="K573" s="270">
        <f>K24+K144+K253+K262+K508</f>
        <v>11819.561210000002</v>
      </c>
      <c r="L573" s="270">
        <f>L24+L144+L253+L262+L508</f>
        <v>459988.45969000005</v>
      </c>
      <c r="M573" s="119" t="e">
        <f>#REF!+M24+M144+#REF!+M253+M262+M508</f>
        <v>#REF!</v>
      </c>
      <c r="N573" s="120" t="e">
        <f>#REF!+N24+N144+#REF!+N253+N262+N508</f>
        <v>#REF!</v>
      </c>
      <c r="O573" s="187"/>
      <c r="P573" s="188">
        <v>349447.45</v>
      </c>
      <c r="Q573" s="189"/>
      <c r="R573" s="189"/>
    </row>
    <row r="574" spans="1:18" s="188" customFormat="1" ht="13.5" customHeight="1">
      <c r="A574" s="190"/>
      <c r="B574" s="191"/>
      <c r="C574" s="191"/>
      <c r="D574" s="191"/>
      <c r="E574" s="191"/>
      <c r="F574" s="191"/>
      <c r="G574" s="192"/>
      <c r="H574" s="121"/>
      <c r="I574" s="192"/>
      <c r="J574" s="271">
        <v>448168.89848</v>
      </c>
      <c r="K574" s="271"/>
      <c r="L574" s="271"/>
      <c r="M574" s="121"/>
      <c r="N574" s="121"/>
      <c r="O574" s="187"/>
      <c r="Q574" s="189"/>
      <c r="R574" s="189"/>
    </row>
    <row r="575" spans="1:18" ht="15">
      <c r="A575" s="193"/>
      <c r="B575" s="123"/>
      <c r="C575" s="123"/>
      <c r="D575" s="123"/>
      <c r="E575" s="123"/>
      <c r="F575" s="123"/>
      <c r="G575" s="123"/>
      <c r="H575" s="122"/>
      <c r="I575" s="123"/>
      <c r="J575" s="272"/>
      <c r="K575" s="272"/>
      <c r="L575" s="272"/>
      <c r="N575" s="124"/>
      <c r="P575" s="162"/>
      <c r="Q575" s="124"/>
      <c r="R575" s="124"/>
    </row>
    <row r="576" spans="1:18" ht="25.5" customHeight="1">
      <c r="A576" s="194"/>
      <c r="B576" s="123"/>
      <c r="C576" s="123"/>
      <c r="D576" s="123"/>
      <c r="E576" s="123"/>
      <c r="F576" s="123"/>
      <c r="G576" s="123"/>
      <c r="H576" s="122"/>
      <c r="I576" s="123"/>
      <c r="J576" s="272"/>
      <c r="K576" s="272"/>
      <c r="L576" s="273"/>
      <c r="N576" s="124"/>
      <c r="P576" s="162"/>
      <c r="Q576" s="124"/>
      <c r="R576" s="124"/>
    </row>
    <row r="577" spans="1:18" ht="15.75" customHeight="1">
      <c r="A577" s="194"/>
      <c r="B577" s="123"/>
      <c r="C577" s="123"/>
      <c r="D577" s="123"/>
      <c r="E577" s="123"/>
      <c r="F577" s="123"/>
      <c r="G577" s="123"/>
      <c r="H577" s="122"/>
      <c r="I577" s="123"/>
      <c r="J577" s="272"/>
      <c r="K577" s="272"/>
      <c r="L577" s="272"/>
      <c r="N577" s="124"/>
      <c r="P577" s="162"/>
      <c r="Q577" s="124"/>
      <c r="R577" s="124"/>
    </row>
    <row r="578" spans="1:16" ht="15">
      <c r="A578" s="195"/>
      <c r="B578" s="123"/>
      <c r="C578" s="123"/>
      <c r="D578" s="123"/>
      <c r="E578" s="123"/>
      <c r="F578" s="123"/>
      <c r="G578" s="123"/>
      <c r="H578" s="122"/>
      <c r="I578" s="123"/>
      <c r="J578" s="272"/>
      <c r="K578" s="272"/>
      <c r="L578" s="272"/>
      <c r="N578" s="124"/>
      <c r="P578" s="162"/>
    </row>
    <row r="579" spans="1:16" ht="15.75" thickBot="1">
      <c r="A579" s="124"/>
      <c r="H579" s="124"/>
      <c r="N579" s="124"/>
      <c r="P579" s="162"/>
    </row>
    <row r="580" spans="1:15" ht="15.75" thickBot="1">
      <c r="A580" s="124"/>
      <c r="E580" s="216">
        <f>SUM(J581:J591)</f>
        <v>26217.07409</v>
      </c>
      <c r="F580" s="141" t="s">
        <v>11</v>
      </c>
      <c r="G580" s="126" t="e">
        <f>#REF!+G145+G263+G509</f>
        <v>#REF!</v>
      </c>
      <c r="H580" s="126" t="e">
        <f>#REF!+H145+H263+H509</f>
        <v>#REF!</v>
      </c>
      <c r="I580" s="125" t="e">
        <f>#REF!+I145+I263+I509</f>
        <v>#REF!</v>
      </c>
      <c r="J580" s="274">
        <f>J581+J582+J583+J584+J585+J586+J587+J588+J589+J590+J591</f>
        <v>26217.07409</v>
      </c>
      <c r="K580" s="274">
        <f>K581+K582+K583+K584+K585+K586+K587+K588+K589+K590+K591</f>
        <v>24.144020000000012</v>
      </c>
      <c r="L580" s="274">
        <f>L581+L582+L583+L584+L585+L586+L587+L588+L589+L590+L591</f>
        <v>26241.21811</v>
      </c>
      <c r="M580" s="125" t="e">
        <f>#REF!+M145+M263+M509</f>
        <v>#REF!</v>
      </c>
      <c r="N580" s="126" t="e">
        <f>#REF!+N145+N263+N509</f>
        <v>#REF!</v>
      </c>
      <c r="O580" s="152">
        <f>SUM(L581:L591)</f>
        <v>26241.21811</v>
      </c>
    </row>
    <row r="581" spans="1:18" ht="15">
      <c r="A581" s="124"/>
      <c r="E581" s="161"/>
      <c r="F581" s="196" t="s">
        <v>397</v>
      </c>
      <c r="G581" s="127" t="e">
        <f aca="true" t="shared" si="85" ref="G581:N581">G264</f>
        <v>#REF!</v>
      </c>
      <c r="H581" s="127" t="e">
        <f t="shared" si="85"/>
        <v>#REF!</v>
      </c>
      <c r="I581" s="127" t="e">
        <f t="shared" si="85"/>
        <v>#REF!</v>
      </c>
      <c r="J581" s="275">
        <f t="shared" si="85"/>
        <v>1109.992</v>
      </c>
      <c r="K581" s="275">
        <f t="shared" si="85"/>
        <v>60.01</v>
      </c>
      <c r="L581" s="275">
        <f>L264</f>
        <v>1170.002</v>
      </c>
      <c r="M581" s="127" t="e">
        <f t="shared" si="85"/>
        <v>#REF!</v>
      </c>
      <c r="N581" s="127" t="e">
        <f t="shared" si="85"/>
        <v>#REF!</v>
      </c>
      <c r="O581" s="19">
        <f>J581+K581</f>
        <v>1170.002</v>
      </c>
      <c r="Q581" s="152"/>
      <c r="R581" s="152"/>
    </row>
    <row r="582" spans="1:15" ht="15">
      <c r="A582" s="124"/>
      <c r="E582" s="161"/>
      <c r="F582" s="197" t="s">
        <v>398</v>
      </c>
      <c r="G582" s="128" t="e">
        <f>G270</f>
        <v>#REF!</v>
      </c>
      <c r="H582" s="128" t="e">
        <f aca="true" t="shared" si="86" ref="H582:N582">H269</f>
        <v>#REF!</v>
      </c>
      <c r="I582" s="128" t="e">
        <f t="shared" si="86"/>
        <v>#REF!</v>
      </c>
      <c r="J582" s="273">
        <f t="shared" si="86"/>
        <v>1382.1100000000001</v>
      </c>
      <c r="K582" s="273">
        <f t="shared" si="86"/>
        <v>164.573</v>
      </c>
      <c r="L582" s="273">
        <f>L269</f>
        <v>1546.683</v>
      </c>
      <c r="M582" s="128" t="e">
        <f t="shared" si="86"/>
        <v>#REF!</v>
      </c>
      <c r="N582" s="128" t="e">
        <f t="shared" si="86"/>
        <v>#REF!</v>
      </c>
      <c r="O582" s="19">
        <f>J582+K582</f>
        <v>1546.6830000000002</v>
      </c>
    </row>
    <row r="583" spans="5:15" ht="15">
      <c r="E583" s="161"/>
      <c r="F583" s="197" t="s">
        <v>399</v>
      </c>
      <c r="G583" s="128" t="e">
        <f>G279+G510+#REF!+G146</f>
        <v>#REF!</v>
      </c>
      <c r="H583" s="70" t="e">
        <f>H279+H510+#REF!+H146</f>
        <v>#REF!</v>
      </c>
      <c r="I583" s="70" t="e">
        <f>I279+I510+#REF!+I146</f>
        <v>#REF!</v>
      </c>
      <c r="J583" s="273">
        <f>J279+J510+J146</f>
        <v>17566.47328</v>
      </c>
      <c r="K583" s="273">
        <f>K279+K510+K146</f>
        <v>-239.03448999999998</v>
      </c>
      <c r="L583" s="273">
        <f>L279+L510+L146</f>
        <v>17327.43879</v>
      </c>
      <c r="M583" s="70" t="e">
        <f>M279+M510+#REF!+M146</f>
        <v>#REF!</v>
      </c>
      <c r="N583" s="70" t="e">
        <f>N279+N510+#REF!+N146</f>
        <v>#REF!</v>
      </c>
      <c r="O583" s="19">
        <f aca="true" t="shared" si="87" ref="O583:O646">J583+K583</f>
        <v>17327.43879</v>
      </c>
    </row>
    <row r="584" spans="5:15" ht="15">
      <c r="E584" s="161"/>
      <c r="F584" s="197" t="s">
        <v>400</v>
      </c>
      <c r="G584" s="128" t="e">
        <f>#REF!</f>
        <v>#REF!</v>
      </c>
      <c r="H584" s="129">
        <f aca="true" t="shared" si="88" ref="H584:N584">H299</f>
        <v>0</v>
      </c>
      <c r="I584" s="129">
        <f t="shared" si="88"/>
        <v>0</v>
      </c>
      <c r="J584" s="273">
        <f t="shared" si="88"/>
        <v>11.7</v>
      </c>
      <c r="K584" s="273">
        <f t="shared" si="88"/>
        <v>0</v>
      </c>
      <c r="L584" s="273">
        <f>L299</f>
        <v>11.7</v>
      </c>
      <c r="M584" s="129">
        <f t="shared" si="88"/>
        <v>0</v>
      </c>
      <c r="N584" s="129">
        <f t="shared" si="88"/>
        <v>0</v>
      </c>
      <c r="O584" s="19">
        <f t="shared" si="87"/>
        <v>11.7</v>
      </c>
    </row>
    <row r="585" spans="5:15" ht="15">
      <c r="E585" s="161"/>
      <c r="F585" s="197" t="s">
        <v>401</v>
      </c>
      <c r="G585" s="128" t="e">
        <f>G152</f>
        <v>#REF!</v>
      </c>
      <c r="H585" s="128" t="e">
        <f>H152</f>
        <v>#REF!</v>
      </c>
      <c r="I585" s="128" t="e">
        <f>I152</f>
        <v>#REF!</v>
      </c>
      <c r="J585" s="273">
        <f>J152+J303</f>
        <v>4556.81881</v>
      </c>
      <c r="K585" s="273">
        <f>K152+K303</f>
        <v>54.09551</v>
      </c>
      <c r="L585" s="273">
        <f>L152+L303</f>
        <v>4610.91432</v>
      </c>
      <c r="M585" s="128" t="e">
        <f>M152</f>
        <v>#REF!</v>
      </c>
      <c r="N585" s="70" t="e">
        <f>N152</f>
        <v>#REF!</v>
      </c>
      <c r="O585" s="19">
        <f t="shared" si="87"/>
        <v>4610.91432</v>
      </c>
    </row>
    <row r="586" spans="5:15" ht="15">
      <c r="E586" s="161"/>
      <c r="F586" s="197" t="s">
        <v>402</v>
      </c>
      <c r="G586" s="128">
        <f aca="true" t="shared" si="89" ref="G586:N586">G309</f>
        <v>0</v>
      </c>
      <c r="H586" s="128">
        <f t="shared" si="89"/>
        <v>20</v>
      </c>
      <c r="I586" s="128">
        <f t="shared" si="89"/>
        <v>0</v>
      </c>
      <c r="J586" s="273">
        <f t="shared" si="89"/>
        <v>0</v>
      </c>
      <c r="K586" s="273">
        <f t="shared" si="89"/>
        <v>0</v>
      </c>
      <c r="L586" s="273">
        <f>L309</f>
        <v>0</v>
      </c>
      <c r="M586" s="128">
        <f t="shared" si="89"/>
        <v>0</v>
      </c>
      <c r="N586" s="70">
        <f t="shared" si="89"/>
        <v>0</v>
      </c>
      <c r="O586" s="19">
        <f t="shared" si="87"/>
        <v>0</v>
      </c>
    </row>
    <row r="587" spans="5:15" ht="15" hidden="1">
      <c r="E587" s="161"/>
      <c r="F587" s="198" t="s">
        <v>403</v>
      </c>
      <c r="G587" s="199" t="e">
        <f>#REF!</f>
        <v>#REF!</v>
      </c>
      <c r="H587" s="199" t="e">
        <f>#REF!</f>
        <v>#REF!</v>
      </c>
      <c r="I587" s="199" t="e">
        <f>#REF!</f>
        <v>#REF!</v>
      </c>
      <c r="J587" s="276"/>
      <c r="K587" s="276"/>
      <c r="L587" s="276"/>
      <c r="M587" s="128" t="e">
        <f>#REF!</f>
        <v>#REF!</v>
      </c>
      <c r="N587" s="70" t="e">
        <f>#REF!</f>
        <v>#REF!</v>
      </c>
      <c r="O587" s="19">
        <f t="shared" si="87"/>
        <v>0</v>
      </c>
    </row>
    <row r="588" spans="5:15" ht="15">
      <c r="E588" s="161"/>
      <c r="F588" s="198" t="s">
        <v>403</v>
      </c>
      <c r="G588" s="199"/>
      <c r="H588" s="199"/>
      <c r="I588" s="199"/>
      <c r="J588" s="276">
        <f>J163</f>
        <v>225.18</v>
      </c>
      <c r="K588" s="276">
        <f>K163</f>
        <v>-105</v>
      </c>
      <c r="L588" s="276">
        <f>L163</f>
        <v>120.18</v>
      </c>
      <c r="M588" s="130">
        <f>M163</f>
        <v>0</v>
      </c>
      <c r="N588" s="130">
        <f>N163</f>
        <v>0</v>
      </c>
      <c r="O588" s="19">
        <f t="shared" si="87"/>
        <v>120.18</v>
      </c>
    </row>
    <row r="589" spans="5:15" ht="15" hidden="1">
      <c r="E589" s="161"/>
      <c r="F589" s="197" t="s">
        <v>404</v>
      </c>
      <c r="G589" s="128" t="e">
        <f>#REF!</f>
        <v>#REF!</v>
      </c>
      <c r="H589" s="128" t="e">
        <f>#REF!</f>
        <v>#REF!</v>
      </c>
      <c r="I589" s="128" t="e">
        <f>#REF!</f>
        <v>#REF!</v>
      </c>
      <c r="J589" s="273"/>
      <c r="K589" s="273"/>
      <c r="L589" s="273"/>
      <c r="M589" s="128" t="e">
        <f>#REF!</f>
        <v>#REF!</v>
      </c>
      <c r="N589" s="70" t="e">
        <f>#REF!</f>
        <v>#REF!</v>
      </c>
      <c r="O589" s="19">
        <f t="shared" si="87"/>
        <v>0</v>
      </c>
    </row>
    <row r="590" spans="5:15" ht="15.75" thickBot="1">
      <c r="E590" s="161"/>
      <c r="F590" s="197" t="s">
        <v>405</v>
      </c>
      <c r="G590" s="128"/>
      <c r="H590" s="128"/>
      <c r="I590" s="128"/>
      <c r="J590" s="273">
        <f>J314+J172+J170</f>
        <v>1364.8</v>
      </c>
      <c r="K590" s="273">
        <f>K314+K172+K170</f>
        <v>89.5</v>
      </c>
      <c r="L590" s="273">
        <f>L314+L172+L170</f>
        <v>1454.3</v>
      </c>
      <c r="M590" s="70">
        <f>M314+M172</f>
        <v>0</v>
      </c>
      <c r="N590" s="70">
        <f>N314+N172</f>
        <v>0</v>
      </c>
      <c r="O590" s="19">
        <f t="shared" si="87"/>
        <v>1454.3</v>
      </c>
    </row>
    <row r="591" spans="5:15" ht="15.75" hidden="1" thickBot="1">
      <c r="E591" s="161"/>
      <c r="F591" s="200" t="s">
        <v>406</v>
      </c>
      <c r="G591" s="132" t="e">
        <f>G174+#REF!</f>
        <v>#REF!</v>
      </c>
      <c r="H591" s="132" t="e">
        <f>H174+#REF!</f>
        <v>#REF!</v>
      </c>
      <c r="I591" s="132" t="e">
        <f>I174+#REF!</f>
        <v>#REF!</v>
      </c>
      <c r="J591" s="277"/>
      <c r="K591" s="277"/>
      <c r="L591" s="277"/>
      <c r="M591" s="132" t="e">
        <f>M174+#REF!</f>
        <v>#REF!</v>
      </c>
      <c r="N591" s="131" t="e">
        <f>N174+#REF!</f>
        <v>#REF!</v>
      </c>
      <c r="O591" s="19">
        <f t="shared" si="87"/>
        <v>0</v>
      </c>
    </row>
    <row r="592" spans="5:15" ht="15.75" thickBot="1">
      <c r="E592" s="216">
        <f>J593</f>
        <v>562.6</v>
      </c>
      <c r="F592" s="201" t="s">
        <v>12</v>
      </c>
      <c r="G592" s="202"/>
      <c r="H592" s="202"/>
      <c r="I592" s="202"/>
      <c r="J592" s="278">
        <f>J593</f>
        <v>562.6</v>
      </c>
      <c r="K592" s="278">
        <f>K593</f>
        <v>0</v>
      </c>
      <c r="L592" s="279">
        <f>L593</f>
        <v>562.6</v>
      </c>
      <c r="M592" s="134"/>
      <c r="N592" s="135"/>
      <c r="O592" s="19">
        <f t="shared" si="87"/>
        <v>562.6</v>
      </c>
    </row>
    <row r="593" spans="5:15" ht="15.75" thickBot="1">
      <c r="E593" s="161"/>
      <c r="F593" s="203" t="s">
        <v>407</v>
      </c>
      <c r="G593" s="136"/>
      <c r="H593" s="136"/>
      <c r="I593" s="136"/>
      <c r="J593" s="280">
        <f>J175</f>
        <v>562.6</v>
      </c>
      <c r="K593" s="280">
        <f>K175</f>
        <v>0</v>
      </c>
      <c r="L593" s="280">
        <f>L175</f>
        <v>562.6</v>
      </c>
      <c r="M593" s="136"/>
      <c r="N593" s="135"/>
      <c r="O593" s="19">
        <f t="shared" si="87"/>
        <v>562.6</v>
      </c>
    </row>
    <row r="594" spans="5:15" ht="15.75" thickBot="1">
      <c r="E594" s="216">
        <f>SUM(J595:J597)</f>
        <v>200</v>
      </c>
      <c r="F594" s="141" t="s">
        <v>13</v>
      </c>
      <c r="G594" s="138">
        <f>G332+G254</f>
        <v>0</v>
      </c>
      <c r="H594" s="138">
        <f>H332+H254</f>
        <v>583.7</v>
      </c>
      <c r="I594" s="138">
        <f>I332+I254</f>
        <v>0</v>
      </c>
      <c r="J594" s="278">
        <f>J595+J596+J597</f>
        <v>200</v>
      </c>
      <c r="K594" s="278">
        <f>K595+K596+K597</f>
        <v>371.8</v>
      </c>
      <c r="L594" s="278">
        <f>L595+L596+L597</f>
        <v>571.8</v>
      </c>
      <c r="M594" s="133">
        <f>M595+M596+M597</f>
        <v>0</v>
      </c>
      <c r="N594" s="133">
        <f>N595+N596+N597</f>
        <v>0</v>
      </c>
      <c r="O594" s="19">
        <f t="shared" si="87"/>
        <v>571.8</v>
      </c>
    </row>
    <row r="595" spans="5:15" ht="15">
      <c r="E595" s="161"/>
      <c r="F595" s="196" t="s">
        <v>408</v>
      </c>
      <c r="G595" s="127">
        <f>G255</f>
        <v>0</v>
      </c>
      <c r="H595" s="127">
        <f>H255</f>
        <v>526.1</v>
      </c>
      <c r="I595" s="127">
        <f>I255</f>
        <v>0</v>
      </c>
      <c r="J595" s="275">
        <f>J255+J180</f>
        <v>0</v>
      </c>
      <c r="K595" s="275">
        <f>K255+K180</f>
        <v>0</v>
      </c>
      <c r="L595" s="275">
        <f>L255+L180</f>
        <v>0</v>
      </c>
      <c r="M595" s="137">
        <f>M255+M180</f>
        <v>0</v>
      </c>
      <c r="N595" s="137">
        <f>N255+N180</f>
        <v>0</v>
      </c>
      <c r="O595" s="19">
        <f t="shared" si="87"/>
        <v>0</v>
      </c>
    </row>
    <row r="596" spans="5:15" ht="15">
      <c r="E596" s="161"/>
      <c r="F596" s="197" t="s">
        <v>409</v>
      </c>
      <c r="G596" s="128">
        <f>G333</f>
        <v>0</v>
      </c>
      <c r="H596" s="128">
        <f>H333</f>
        <v>57.6</v>
      </c>
      <c r="I596" s="128">
        <f>I333</f>
        <v>0</v>
      </c>
      <c r="J596" s="273">
        <f>J333+J188</f>
        <v>175</v>
      </c>
      <c r="K596" s="273">
        <f>K333+K188</f>
        <v>352.8</v>
      </c>
      <c r="L596" s="273">
        <f>L333+L188</f>
        <v>527.8</v>
      </c>
      <c r="M596" s="128">
        <f>M333</f>
        <v>0</v>
      </c>
      <c r="N596" s="70">
        <f>N333</f>
        <v>0</v>
      </c>
      <c r="O596" s="19">
        <f t="shared" si="87"/>
        <v>527.8</v>
      </c>
    </row>
    <row r="597" spans="5:15" ht="15.75" thickBot="1">
      <c r="E597" s="161"/>
      <c r="F597" s="204" t="s">
        <v>410</v>
      </c>
      <c r="G597" s="136"/>
      <c r="H597" s="136"/>
      <c r="I597" s="136"/>
      <c r="J597" s="280">
        <f>J339</f>
        <v>25</v>
      </c>
      <c r="K597" s="280">
        <f>K339</f>
        <v>19</v>
      </c>
      <c r="L597" s="280">
        <f>L339</f>
        <v>44</v>
      </c>
      <c r="M597" s="135">
        <f>M339</f>
        <v>0</v>
      </c>
      <c r="N597" s="135">
        <f>N339</f>
        <v>0</v>
      </c>
      <c r="O597" s="19">
        <f t="shared" si="87"/>
        <v>44</v>
      </c>
    </row>
    <row r="598" spans="5:15" ht="15.75" thickBot="1">
      <c r="E598" s="216">
        <f>SUM(J599:J602)</f>
        <v>14550.72</v>
      </c>
      <c r="F598" s="205" t="s">
        <v>14</v>
      </c>
      <c r="G598" s="138" t="e">
        <f>G191+G348</f>
        <v>#REF!</v>
      </c>
      <c r="H598" s="138" t="e">
        <f>H191+H348</f>
        <v>#REF!</v>
      </c>
      <c r="I598" s="138" t="e">
        <f>I191+I348</f>
        <v>#REF!</v>
      </c>
      <c r="J598" s="278">
        <f>J599+J600+J601+J602</f>
        <v>14550.72</v>
      </c>
      <c r="K598" s="278">
        <f>K599+K600+K601+K602</f>
        <v>5499.996</v>
      </c>
      <c r="L598" s="278">
        <f>L599+L600+L601+L602</f>
        <v>20050.716</v>
      </c>
      <c r="M598" s="138" t="e">
        <f>M191+M348</f>
        <v>#REF!</v>
      </c>
      <c r="N598" s="139" t="e">
        <f>N191+N348</f>
        <v>#REF!</v>
      </c>
      <c r="O598" s="19">
        <f t="shared" si="87"/>
        <v>20050.716</v>
      </c>
    </row>
    <row r="599" spans="5:15" ht="15">
      <c r="E599" s="161"/>
      <c r="F599" s="196" t="s">
        <v>411</v>
      </c>
      <c r="G599" s="127" t="e">
        <f>#REF!+G349</f>
        <v>#REF!</v>
      </c>
      <c r="H599" s="206" t="e">
        <f>#REF!+H349</f>
        <v>#REF!</v>
      </c>
      <c r="I599" s="127" t="e">
        <f>#REF!+I349</f>
        <v>#REF!</v>
      </c>
      <c r="J599" s="275">
        <f>J349</f>
        <v>445</v>
      </c>
      <c r="K599" s="275">
        <f>K349</f>
        <v>0</v>
      </c>
      <c r="L599" s="275">
        <f>L349</f>
        <v>445</v>
      </c>
      <c r="M599" s="127" t="e">
        <f>#REF!+M349</f>
        <v>#REF!</v>
      </c>
      <c r="N599" s="137" t="e">
        <f>#REF!+N349</f>
        <v>#REF!</v>
      </c>
      <c r="O599" s="19">
        <f t="shared" si="87"/>
        <v>445</v>
      </c>
    </row>
    <row r="600" spans="5:15" ht="15">
      <c r="E600" s="161"/>
      <c r="F600" s="197" t="s">
        <v>412</v>
      </c>
      <c r="G600" s="136" t="e">
        <f>#REF!</f>
        <v>#REF!</v>
      </c>
      <c r="H600" s="136" t="e">
        <f>#REF!</f>
        <v>#REF!</v>
      </c>
      <c r="I600" s="136" t="e">
        <f>#REF!</f>
        <v>#REF!</v>
      </c>
      <c r="J600" s="273">
        <f>J192</f>
        <v>3949.65</v>
      </c>
      <c r="K600" s="273">
        <f>K192</f>
        <v>0</v>
      </c>
      <c r="L600" s="273">
        <f>L192</f>
        <v>3949.65</v>
      </c>
      <c r="M600" s="136" t="e">
        <f>#REF!</f>
        <v>#REF!</v>
      </c>
      <c r="N600" s="135" t="e">
        <f>#REF!</f>
        <v>#REF!</v>
      </c>
      <c r="O600" s="19">
        <f t="shared" si="87"/>
        <v>3949.65</v>
      </c>
    </row>
    <row r="601" spans="5:15" ht="15" hidden="1">
      <c r="E601" s="161"/>
      <c r="F601" s="203" t="s">
        <v>413</v>
      </c>
      <c r="G601" s="136"/>
      <c r="H601" s="140" t="e">
        <f>#REF!</f>
        <v>#REF!</v>
      </c>
      <c r="I601" s="140" t="e">
        <f>#REF!</f>
        <v>#REF!</v>
      </c>
      <c r="J601" s="280"/>
      <c r="K601" s="280"/>
      <c r="L601" s="280"/>
      <c r="M601" s="140" t="e">
        <f>#REF!</f>
        <v>#REF!</v>
      </c>
      <c r="N601" s="135" t="e">
        <f>#REF!</f>
        <v>#REF!</v>
      </c>
      <c r="O601" s="19">
        <f t="shared" si="87"/>
        <v>0</v>
      </c>
    </row>
    <row r="602" spans="5:15" ht="15.75" thickBot="1">
      <c r="E602" s="161"/>
      <c r="F602" s="200" t="s">
        <v>414</v>
      </c>
      <c r="G602" s="132" t="e">
        <f aca="true" t="shared" si="90" ref="G602:N602">G354+G197</f>
        <v>#REF!</v>
      </c>
      <c r="H602" s="132" t="e">
        <f t="shared" si="90"/>
        <v>#REF!</v>
      </c>
      <c r="I602" s="132" t="e">
        <f t="shared" si="90"/>
        <v>#REF!</v>
      </c>
      <c r="J602" s="277">
        <f t="shared" si="90"/>
        <v>10156.07</v>
      </c>
      <c r="K602" s="277">
        <f>K354+K197</f>
        <v>5499.996</v>
      </c>
      <c r="L602" s="277">
        <f t="shared" si="90"/>
        <v>15656.065999999999</v>
      </c>
      <c r="M602" s="132" t="e">
        <f t="shared" si="90"/>
        <v>#REF!</v>
      </c>
      <c r="N602" s="131" t="e">
        <f t="shared" si="90"/>
        <v>#REF!</v>
      </c>
      <c r="O602" s="19">
        <f t="shared" si="87"/>
        <v>15656.065999999999</v>
      </c>
    </row>
    <row r="603" spans="5:15" ht="15.75" thickBot="1">
      <c r="E603" s="214">
        <f>SUM(J604:J607)</f>
        <v>30804.5113</v>
      </c>
      <c r="F603" s="141" t="s">
        <v>16</v>
      </c>
      <c r="G603" s="138" t="e">
        <f>G372</f>
        <v>#REF!</v>
      </c>
      <c r="H603" s="142" t="e">
        <f>H372+H208</f>
        <v>#REF!</v>
      </c>
      <c r="I603" s="142" t="e">
        <f>I372+I208</f>
        <v>#REF!</v>
      </c>
      <c r="J603" s="278">
        <f>J604+J605+J606+J607</f>
        <v>30804.5113</v>
      </c>
      <c r="K603" s="278">
        <f>K604+K605+K606+K607</f>
        <v>135.159</v>
      </c>
      <c r="L603" s="278">
        <f>L604+L605+L606+L607</f>
        <v>30939.670299999998</v>
      </c>
      <c r="M603" s="142" t="e">
        <f>M372+M208</f>
        <v>#REF!</v>
      </c>
      <c r="N603" s="142" t="e">
        <f>N372+N208</f>
        <v>#REF!</v>
      </c>
      <c r="O603" s="152">
        <f>J603+K603</f>
        <v>30939.670299999998</v>
      </c>
    </row>
    <row r="604" spans="5:15" ht="15">
      <c r="E604" s="161"/>
      <c r="F604" s="196" t="s">
        <v>415</v>
      </c>
      <c r="G604" s="127">
        <f>G381</f>
        <v>-40</v>
      </c>
      <c r="H604" s="143">
        <f>H381+H209</f>
        <v>0</v>
      </c>
      <c r="I604" s="143">
        <f>I381+I209</f>
        <v>31353.699999999997</v>
      </c>
      <c r="J604" s="275">
        <f>J209+J373</f>
        <v>14347.462</v>
      </c>
      <c r="K604" s="275">
        <f>K209+K373</f>
        <v>0</v>
      </c>
      <c r="L604" s="275">
        <f>L209+L373</f>
        <v>14347.462</v>
      </c>
      <c r="M604" s="143" t="e">
        <f>M209+M373</f>
        <v>#REF!</v>
      </c>
      <c r="N604" s="143" t="e">
        <f>N209+N373</f>
        <v>#REF!</v>
      </c>
      <c r="O604" s="19">
        <f t="shared" si="87"/>
        <v>14347.462</v>
      </c>
    </row>
    <row r="605" spans="5:15" ht="15">
      <c r="E605" s="161"/>
      <c r="F605" s="197" t="s">
        <v>416</v>
      </c>
      <c r="G605" s="128" t="e">
        <f aca="true" t="shared" si="91" ref="G605:N605">G385</f>
        <v>#REF!</v>
      </c>
      <c r="H605" s="128" t="e">
        <f t="shared" si="91"/>
        <v>#REF!</v>
      </c>
      <c r="I605" s="129" t="e">
        <f t="shared" si="91"/>
        <v>#REF!</v>
      </c>
      <c r="J605" s="273">
        <f>J385+J217</f>
        <v>15417.0493</v>
      </c>
      <c r="K605" s="273">
        <f>K385+K217</f>
        <v>-79.131</v>
      </c>
      <c r="L605" s="273">
        <f>L385+L217</f>
        <v>15337.9183</v>
      </c>
      <c r="M605" s="129" t="e">
        <f t="shared" si="91"/>
        <v>#REF!</v>
      </c>
      <c r="N605" s="70" t="e">
        <f t="shared" si="91"/>
        <v>#REF!</v>
      </c>
      <c r="O605" s="19">
        <f t="shared" si="87"/>
        <v>15337.918300000001</v>
      </c>
    </row>
    <row r="606" spans="5:15" ht="15.75" thickBot="1">
      <c r="E606" s="161"/>
      <c r="F606" s="197" t="s">
        <v>417</v>
      </c>
      <c r="G606" s="128">
        <f aca="true" t="shared" si="92" ref="G606:N606">G406</f>
        <v>-786.5</v>
      </c>
      <c r="H606" s="128">
        <f t="shared" si="92"/>
        <v>0</v>
      </c>
      <c r="I606" s="128">
        <f t="shared" si="92"/>
        <v>0</v>
      </c>
      <c r="J606" s="273">
        <f>J406+J224</f>
        <v>1040</v>
      </c>
      <c r="K606" s="273">
        <f>K406+K224</f>
        <v>214.29</v>
      </c>
      <c r="L606" s="273">
        <f>L406+L224</f>
        <v>1254.29</v>
      </c>
      <c r="M606" s="128">
        <f t="shared" si="92"/>
        <v>0</v>
      </c>
      <c r="N606" s="70">
        <f t="shared" si="92"/>
        <v>100</v>
      </c>
      <c r="O606" s="19">
        <f t="shared" si="87"/>
        <v>1254.29</v>
      </c>
    </row>
    <row r="607" spans="5:15" ht="15.75" hidden="1" thickBot="1">
      <c r="E607" s="161"/>
      <c r="F607" s="200" t="s">
        <v>418</v>
      </c>
      <c r="G607" s="132" t="e">
        <f>#REF!</f>
        <v>#REF!</v>
      </c>
      <c r="H607" s="132" t="e">
        <f>#REF!</f>
        <v>#REF!</v>
      </c>
      <c r="I607" s="132" t="e">
        <f>#REF!</f>
        <v>#REF!</v>
      </c>
      <c r="J607" s="277"/>
      <c r="K607" s="277"/>
      <c r="L607" s="277"/>
      <c r="M607" s="132" t="e">
        <f>#REF!</f>
        <v>#REF!</v>
      </c>
      <c r="N607" s="131" t="e">
        <f>#REF!</f>
        <v>#REF!</v>
      </c>
      <c r="O607" s="19">
        <f t="shared" si="87"/>
        <v>0</v>
      </c>
    </row>
    <row r="608" spans="5:15" ht="15.75" thickBot="1">
      <c r="E608" s="214">
        <f>SUM(J609:J613)</f>
        <v>296497.94894000003</v>
      </c>
      <c r="F608" s="141" t="s">
        <v>19</v>
      </c>
      <c r="G608" s="145" t="e">
        <f>#REF!+G25+#REF!+#REF!+G414</f>
        <v>#REF!</v>
      </c>
      <c r="H608" s="145" t="e">
        <f>#REF!+H25+#REF!+#REF!+H414</f>
        <v>#REF!</v>
      </c>
      <c r="I608" s="145" t="e">
        <f>#REF!+I25+#REF!+#REF!+I414</f>
        <v>#REF!</v>
      </c>
      <c r="J608" s="278">
        <f>J609+J610+J611+J612+J613</f>
        <v>296497.94894000003</v>
      </c>
      <c r="K608" s="278">
        <f>K609+K610+K611+K612+K613</f>
        <v>3592.411</v>
      </c>
      <c r="L608" s="278">
        <f>L609+L610+L611+L612+L613</f>
        <v>300090.35994000005</v>
      </c>
      <c r="M608" s="139" t="e">
        <f>#REF!+M25+#REF!+#REF!+M414+M515</f>
        <v>#REF!</v>
      </c>
      <c r="N608" s="139" t="e">
        <f>#REF!+N25+#REF!+#REF!+N414+N515</f>
        <v>#REF!</v>
      </c>
      <c r="O608" s="19">
        <f t="shared" si="87"/>
        <v>300090.35994000005</v>
      </c>
    </row>
    <row r="609" spans="5:15" ht="15">
      <c r="E609" s="161"/>
      <c r="F609" s="196" t="s">
        <v>419</v>
      </c>
      <c r="G609" s="127">
        <f>G26</f>
        <v>-926.36</v>
      </c>
      <c r="H609" s="143">
        <f aca="true" t="shared" si="93" ref="H609:N609">H26+H415</f>
        <v>4401</v>
      </c>
      <c r="I609" s="143">
        <f t="shared" si="93"/>
        <v>0</v>
      </c>
      <c r="J609" s="275">
        <f t="shared" si="93"/>
        <v>11202.2</v>
      </c>
      <c r="K609" s="275">
        <f t="shared" si="93"/>
        <v>1000</v>
      </c>
      <c r="L609" s="275">
        <f t="shared" si="93"/>
        <v>12202.2</v>
      </c>
      <c r="M609" s="143">
        <f t="shared" si="93"/>
        <v>870.6</v>
      </c>
      <c r="N609" s="143">
        <f t="shared" si="93"/>
        <v>4530.38</v>
      </c>
      <c r="O609" s="19">
        <f t="shared" si="87"/>
        <v>12202.2</v>
      </c>
    </row>
    <row r="610" spans="5:15" ht="15">
      <c r="E610" s="161"/>
      <c r="F610" s="197" t="s">
        <v>420</v>
      </c>
      <c r="G610" s="70" t="e">
        <f>G36+#REF!</f>
        <v>#REF!</v>
      </c>
      <c r="H610" s="70" t="e">
        <f>H36</f>
        <v>#REF!</v>
      </c>
      <c r="I610" s="70" t="e">
        <f>I36</f>
        <v>#REF!</v>
      </c>
      <c r="J610" s="273">
        <f>J36+J419</f>
        <v>274814.90994000004</v>
      </c>
      <c r="K610" s="273">
        <f>K36+K419</f>
        <v>2564</v>
      </c>
      <c r="L610" s="273">
        <f>L36+L419</f>
        <v>277378.90994000004</v>
      </c>
      <c r="M610" s="70" t="e">
        <f>M36+M419</f>
        <v>#REF!</v>
      </c>
      <c r="N610" s="70" t="e">
        <f>N36+N419</f>
        <v>#REF!</v>
      </c>
      <c r="O610" s="19">
        <f t="shared" si="87"/>
        <v>277378.90994000004</v>
      </c>
    </row>
    <row r="611" spans="5:15" ht="15">
      <c r="E611" s="161"/>
      <c r="F611" s="197" t="s">
        <v>421</v>
      </c>
      <c r="G611" s="129" t="e">
        <f>#REF!+G90+#REF!+G442+#REF!</f>
        <v>#REF!</v>
      </c>
      <c r="H611" s="70" t="e">
        <f>#REF!+H90+#REF!+H442+#REF!</f>
        <v>#REF!</v>
      </c>
      <c r="I611" s="70" t="e">
        <f>#REF!+I90+#REF!+I442+#REF!</f>
        <v>#REF!</v>
      </c>
      <c r="J611" s="273">
        <f>J90+J442</f>
        <v>400</v>
      </c>
      <c r="K611" s="273">
        <f>K90+K442</f>
        <v>0</v>
      </c>
      <c r="L611" s="273">
        <f>L90+L442</f>
        <v>400</v>
      </c>
      <c r="M611" s="156" t="e">
        <f>M90+M442+#REF!</f>
        <v>#REF!</v>
      </c>
      <c r="N611" s="156" t="e">
        <f>N90+N442+#REF!</f>
        <v>#REF!</v>
      </c>
      <c r="O611" s="19">
        <f t="shared" si="87"/>
        <v>400</v>
      </c>
    </row>
    <row r="612" spans="5:17" ht="15">
      <c r="E612" s="161"/>
      <c r="F612" s="197" t="s">
        <v>422</v>
      </c>
      <c r="G612" s="128" t="e">
        <f>G95+#REF!</f>
        <v>#REF!</v>
      </c>
      <c r="H612" s="128" t="e">
        <f>H95+#REF!+#REF!</f>
        <v>#REF!</v>
      </c>
      <c r="I612" s="128" t="e">
        <f>I95+#REF!+#REF!</f>
        <v>#REF!</v>
      </c>
      <c r="J612" s="273">
        <f>J95+J516+J448</f>
        <v>2169.261</v>
      </c>
      <c r="K612" s="273">
        <f>K95+K516+K448</f>
        <v>8.411</v>
      </c>
      <c r="L612" s="273">
        <f>L95+L516+L448</f>
        <v>2177.672</v>
      </c>
      <c r="M612" s="70" t="e">
        <f>M95+#REF!+#REF!+M516+M448</f>
        <v>#REF!</v>
      </c>
      <c r="N612" s="70" t="e">
        <f>N95+#REF!+#REF!+N516+N448</f>
        <v>#REF!</v>
      </c>
      <c r="O612" s="19">
        <f t="shared" si="87"/>
        <v>2177.672</v>
      </c>
      <c r="Q612" s="162">
        <f>L612-O612</f>
        <v>0</v>
      </c>
    </row>
    <row r="613" spans="5:15" ht="15.75" thickBot="1">
      <c r="E613" s="161"/>
      <c r="F613" s="200" t="s">
        <v>423</v>
      </c>
      <c r="G613" s="132" t="e">
        <f aca="true" t="shared" si="94" ref="G613:N613">G104</f>
        <v>#REF!</v>
      </c>
      <c r="H613" s="132" t="e">
        <f t="shared" si="94"/>
        <v>#REF!</v>
      </c>
      <c r="I613" s="132" t="e">
        <f t="shared" si="94"/>
        <v>#REF!</v>
      </c>
      <c r="J613" s="277">
        <f t="shared" si="94"/>
        <v>7911.578</v>
      </c>
      <c r="K613" s="277">
        <f t="shared" si="94"/>
        <v>20</v>
      </c>
      <c r="L613" s="277">
        <f>L104</f>
        <v>7931.578</v>
      </c>
      <c r="M613" s="132" t="e">
        <f t="shared" si="94"/>
        <v>#REF!</v>
      </c>
      <c r="N613" s="131" t="e">
        <f t="shared" si="94"/>
        <v>#REF!</v>
      </c>
      <c r="O613" s="19">
        <f t="shared" si="87"/>
        <v>7931.578</v>
      </c>
    </row>
    <row r="614" spans="5:15" ht="15.75" thickBot="1">
      <c r="E614" s="215">
        <f>SUM(J615:J618)</f>
        <v>10531.57624</v>
      </c>
      <c r="F614" s="141" t="s">
        <v>39</v>
      </c>
      <c r="G614" s="138" t="e">
        <f>G452+G524</f>
        <v>#REF!</v>
      </c>
      <c r="H614" s="138" t="e">
        <f>H452+H524</f>
        <v>#REF!</v>
      </c>
      <c r="I614" s="138" t="e">
        <f>I452+I524</f>
        <v>#REF!</v>
      </c>
      <c r="J614" s="278">
        <f>J615+J616+J618+J617</f>
        <v>10531.57624</v>
      </c>
      <c r="K614" s="278">
        <f>K615+K616+K618+K617</f>
        <v>1227.106</v>
      </c>
      <c r="L614" s="278">
        <f>L615+L616+L618+L617</f>
        <v>11758.68224</v>
      </c>
      <c r="M614" s="138" t="e">
        <f>M452+M524</f>
        <v>#REF!</v>
      </c>
      <c r="N614" s="139" t="e">
        <f>N452+N524</f>
        <v>#REF!</v>
      </c>
      <c r="O614" s="19">
        <f t="shared" si="87"/>
        <v>11758.68224</v>
      </c>
    </row>
    <row r="615" spans="5:15" ht="15">
      <c r="E615" s="161"/>
      <c r="F615" s="196" t="s">
        <v>424</v>
      </c>
      <c r="G615" s="127">
        <f>G525</f>
        <v>137.57999999999998</v>
      </c>
      <c r="H615" s="127">
        <f>H525</f>
        <v>3820.25</v>
      </c>
      <c r="I615" s="137">
        <f>I525</f>
        <v>0</v>
      </c>
      <c r="J615" s="275">
        <f>J525+J453+J228</f>
        <v>7646.72724</v>
      </c>
      <c r="K615" s="275">
        <f>K525+K453+K228</f>
        <v>892.53</v>
      </c>
      <c r="L615" s="275">
        <f>L525+L453+L228</f>
        <v>8539.25724</v>
      </c>
      <c r="M615" s="137" t="e">
        <f>M525+M453</f>
        <v>#REF!</v>
      </c>
      <c r="N615" s="137" t="e">
        <f>N525+N453</f>
        <v>#REF!</v>
      </c>
      <c r="O615" s="19">
        <f t="shared" si="87"/>
        <v>8539.25724</v>
      </c>
    </row>
    <row r="616" spans="5:15" ht="15" hidden="1">
      <c r="E616" s="161"/>
      <c r="F616" s="198" t="s">
        <v>425</v>
      </c>
      <c r="G616" s="199" t="e">
        <f>#REF!</f>
        <v>#REF!</v>
      </c>
      <c r="H616" s="130" t="e">
        <f>#REF!</f>
        <v>#REF!</v>
      </c>
      <c r="I616" s="130" t="e">
        <f>#REF!</f>
        <v>#REF!</v>
      </c>
      <c r="J616" s="276"/>
      <c r="K616" s="276"/>
      <c r="L616" s="276"/>
      <c r="M616" s="70" t="e">
        <f>#REF!</f>
        <v>#REF!</v>
      </c>
      <c r="N616" s="70" t="e">
        <f>#REF!</f>
        <v>#REF!</v>
      </c>
      <c r="O616" s="19">
        <f t="shared" si="87"/>
        <v>0</v>
      </c>
    </row>
    <row r="617" spans="5:15" ht="15.75" thickBot="1">
      <c r="E617" s="161"/>
      <c r="F617" s="207" t="s">
        <v>425</v>
      </c>
      <c r="G617" s="208"/>
      <c r="H617" s="144"/>
      <c r="I617" s="144"/>
      <c r="J617" s="281">
        <f>J551+J456</f>
        <v>2884.8489999999997</v>
      </c>
      <c r="K617" s="281">
        <f>K551+K456</f>
        <v>334.57599999999996</v>
      </c>
      <c r="L617" s="281">
        <f>L551+L456</f>
        <v>3219.4249999999997</v>
      </c>
      <c r="M617" s="131"/>
      <c r="N617" s="131"/>
      <c r="O617" s="19">
        <f t="shared" si="87"/>
        <v>3219.4249999999997</v>
      </c>
    </row>
    <row r="618" spans="5:15" ht="15.75" hidden="1" thickBot="1">
      <c r="E618" s="161"/>
      <c r="F618" s="200" t="s">
        <v>426</v>
      </c>
      <c r="G618" s="132" t="e">
        <f>#REF!+#REF!</f>
        <v>#REF!</v>
      </c>
      <c r="H618" s="131" t="e">
        <f>#REF!+#REF!</f>
        <v>#REF!</v>
      </c>
      <c r="I618" s="131" t="e">
        <f>#REF!+#REF!</f>
        <v>#REF!</v>
      </c>
      <c r="J618" s="277"/>
      <c r="K618" s="277"/>
      <c r="L618" s="277"/>
      <c r="M618" s="131" t="e">
        <f>#REF!+#REF!</f>
        <v>#REF!</v>
      </c>
      <c r="N618" s="131" t="e">
        <f>#REF!+#REF!</f>
        <v>#REF!</v>
      </c>
      <c r="O618" s="19">
        <f t="shared" si="87"/>
        <v>0</v>
      </c>
    </row>
    <row r="619" spans="5:15" ht="15.75" thickBot="1">
      <c r="E619" s="161" t="e">
        <f>SUM(H620:H625)</f>
        <v>#REF!</v>
      </c>
      <c r="F619" s="141" t="s">
        <v>33</v>
      </c>
      <c r="G619" s="138" t="e">
        <f>#REF!+#REF!</f>
        <v>#REF!</v>
      </c>
      <c r="H619" s="145" t="e">
        <f>#REF!+#REF!+#REF!</f>
        <v>#REF!</v>
      </c>
      <c r="I619" s="145" t="e">
        <f>#REF!+#REF!+#REF!</f>
        <v>#REF!</v>
      </c>
      <c r="J619" s="278">
        <f>J620+J621+J622+J623+J624+J625</f>
        <v>490</v>
      </c>
      <c r="K619" s="278">
        <f>K620+K621+K622+K623+K624+K625</f>
        <v>0</v>
      </c>
      <c r="L619" s="278">
        <f>L620+L621+L622+L623+L624+L625</f>
        <v>490</v>
      </c>
      <c r="M619" s="145" t="e">
        <f>#REF!+#REF!+#REF!</f>
        <v>#REF!</v>
      </c>
      <c r="N619" s="139" t="e">
        <f>#REF!+#REF!+#REF!</f>
        <v>#REF!</v>
      </c>
      <c r="O619" s="19">
        <f t="shared" si="87"/>
        <v>490</v>
      </c>
    </row>
    <row r="620" spans="5:15" ht="15" hidden="1">
      <c r="E620" s="161"/>
      <c r="F620" s="196" t="s">
        <v>427</v>
      </c>
      <c r="G620" s="127" t="e">
        <f>#REF!</f>
        <v>#REF!</v>
      </c>
      <c r="H620" s="127" t="e">
        <f>#REF!</f>
        <v>#REF!</v>
      </c>
      <c r="I620" s="127" t="e">
        <f>#REF!</f>
        <v>#REF!</v>
      </c>
      <c r="J620" s="275"/>
      <c r="K620" s="275"/>
      <c r="L620" s="275"/>
      <c r="M620" s="137" t="e">
        <f>#REF!+#REF!</f>
        <v>#REF!</v>
      </c>
      <c r="N620" s="137" t="e">
        <f>#REF!+#REF!</f>
        <v>#REF!</v>
      </c>
      <c r="O620" s="19">
        <f t="shared" si="87"/>
        <v>0</v>
      </c>
    </row>
    <row r="621" spans="5:15" ht="15" hidden="1">
      <c r="E621" s="161"/>
      <c r="F621" s="197" t="s">
        <v>428</v>
      </c>
      <c r="G621" s="128" t="e">
        <f>#REF!+#REF!</f>
        <v>#REF!</v>
      </c>
      <c r="H621" s="128" t="e">
        <f>#REF!+#REF!</f>
        <v>#REF!</v>
      </c>
      <c r="I621" s="128" t="e">
        <f>#REF!+#REF!</f>
        <v>#REF!</v>
      </c>
      <c r="J621" s="273"/>
      <c r="K621" s="273"/>
      <c r="L621" s="273"/>
      <c r="M621" s="156" t="e">
        <f>#REF!</f>
        <v>#REF!</v>
      </c>
      <c r="N621" s="156" t="e">
        <f>#REF!</f>
        <v>#REF!</v>
      </c>
      <c r="O621" s="19">
        <f t="shared" si="87"/>
        <v>0</v>
      </c>
    </row>
    <row r="622" spans="5:15" ht="15" hidden="1">
      <c r="E622" s="161"/>
      <c r="F622" s="197" t="s">
        <v>429</v>
      </c>
      <c r="G622" s="128" t="e">
        <f>#REF!</f>
        <v>#REF!</v>
      </c>
      <c r="H622" s="128" t="e">
        <f>#REF!</f>
        <v>#REF!</v>
      </c>
      <c r="I622" s="128" t="e">
        <f>#REF!</f>
        <v>#REF!</v>
      </c>
      <c r="J622" s="273"/>
      <c r="K622" s="273"/>
      <c r="L622" s="273"/>
      <c r="M622" s="128" t="e">
        <f>#REF!</f>
        <v>#REF!</v>
      </c>
      <c r="N622" s="70" t="e">
        <f>#REF!</f>
        <v>#REF!</v>
      </c>
      <c r="O622" s="19">
        <f t="shared" si="87"/>
        <v>0</v>
      </c>
    </row>
    <row r="623" spans="3:15" ht="15" hidden="1">
      <c r="C623" s="19" t="s">
        <v>430</v>
      </c>
      <c r="E623" s="161"/>
      <c r="F623" s="198" t="s">
        <v>431</v>
      </c>
      <c r="G623" s="199" t="e">
        <f>#REF!</f>
        <v>#REF!</v>
      </c>
      <c r="H623" s="199" t="e">
        <f>#REF!+#REF!</f>
        <v>#REF!</v>
      </c>
      <c r="I623" s="199" t="e">
        <f>#REF!+#REF!</f>
        <v>#REF!</v>
      </c>
      <c r="J623" s="276"/>
      <c r="K623" s="276"/>
      <c r="L623" s="276"/>
      <c r="M623" s="128" t="e">
        <f>#REF!+#REF!</f>
        <v>#REF!</v>
      </c>
      <c r="N623" s="70" t="e">
        <f>#REF!+#REF!</f>
        <v>#REF!</v>
      </c>
      <c r="O623" s="19">
        <f t="shared" si="87"/>
        <v>0</v>
      </c>
    </row>
    <row r="624" spans="5:15" ht="15.75" thickBot="1">
      <c r="E624" s="161"/>
      <c r="F624" s="207" t="s">
        <v>432</v>
      </c>
      <c r="G624" s="208"/>
      <c r="H624" s="208"/>
      <c r="I624" s="208"/>
      <c r="J624" s="281">
        <f>J462</f>
        <v>490</v>
      </c>
      <c r="K624" s="281">
        <f>K462</f>
        <v>0</v>
      </c>
      <c r="L624" s="281">
        <f>L462</f>
        <v>490</v>
      </c>
      <c r="M624" s="158">
        <f>M462</f>
        <v>0</v>
      </c>
      <c r="N624" s="158">
        <f>N462</f>
        <v>0</v>
      </c>
      <c r="O624" s="19">
        <f t="shared" si="87"/>
        <v>490</v>
      </c>
    </row>
    <row r="625" spans="5:15" ht="15.75" hidden="1" thickBot="1">
      <c r="E625" s="161"/>
      <c r="F625" s="200" t="s">
        <v>433</v>
      </c>
      <c r="G625" s="132">
        <f aca="true" t="shared" si="95" ref="G625:N625">G10</f>
        <v>0</v>
      </c>
      <c r="H625" s="132">
        <f t="shared" si="95"/>
        <v>1049.66</v>
      </c>
      <c r="I625" s="132">
        <f t="shared" si="95"/>
        <v>0</v>
      </c>
      <c r="J625" s="277">
        <f t="shared" si="95"/>
        <v>0</v>
      </c>
      <c r="K625" s="277">
        <f t="shared" si="95"/>
        <v>0</v>
      </c>
      <c r="L625" s="277">
        <f>L10</f>
        <v>0</v>
      </c>
      <c r="M625" s="132">
        <f t="shared" si="95"/>
        <v>33</v>
      </c>
      <c r="N625" s="131">
        <f t="shared" si="95"/>
        <v>33</v>
      </c>
      <c r="O625" s="19">
        <f t="shared" si="87"/>
        <v>0</v>
      </c>
    </row>
    <row r="626" spans="5:15" ht="15.75" thickBot="1">
      <c r="E626" s="161" t="e">
        <f>SUM(H627:H631)</f>
        <v>#REF!</v>
      </c>
      <c r="F626" s="141" t="s">
        <v>66</v>
      </c>
      <c r="G626" s="138" t="e">
        <f>G125+#REF!+#REF!</f>
        <v>#REF!</v>
      </c>
      <c r="H626" s="139" t="e">
        <f>H125+#REF!+#REF!</f>
        <v>#REF!</v>
      </c>
      <c r="I626" s="139" t="e">
        <f>I125+#REF!+#REF!</f>
        <v>#REF!</v>
      </c>
      <c r="J626" s="278">
        <f>J627+J628+J629+J630+J631</f>
        <v>28514.026</v>
      </c>
      <c r="K626" s="278">
        <f>K627+K628+K629+K630+K631</f>
        <v>858.1</v>
      </c>
      <c r="L626" s="278">
        <f>L627+L628+L629+L630+L631</f>
        <v>29372.126000000004</v>
      </c>
      <c r="M626" s="139" t="e">
        <f>M125+#REF!+#REF!</f>
        <v>#REF!</v>
      </c>
      <c r="N626" s="139" t="e">
        <f>N125+#REF!+#REF!</f>
        <v>#REF!</v>
      </c>
      <c r="O626" s="19">
        <f t="shared" si="87"/>
        <v>29372.126</v>
      </c>
    </row>
    <row r="627" spans="5:15" ht="15">
      <c r="E627" s="161"/>
      <c r="F627" s="196" t="s">
        <v>434</v>
      </c>
      <c r="G627" s="127" t="e">
        <f>#REF!</f>
        <v>#REF!</v>
      </c>
      <c r="H627" s="127" t="e">
        <f>#REF!</f>
        <v>#REF!</v>
      </c>
      <c r="I627" s="127" t="e">
        <f>#REF!</f>
        <v>#REF!</v>
      </c>
      <c r="J627" s="275">
        <f>J468</f>
        <v>117.8</v>
      </c>
      <c r="K627" s="275">
        <f>K468</f>
        <v>0</v>
      </c>
      <c r="L627" s="275">
        <f>L468</f>
        <v>117.8</v>
      </c>
      <c r="M627" s="155">
        <f>M468</f>
        <v>0</v>
      </c>
      <c r="N627" s="155">
        <f>N468</f>
        <v>0</v>
      </c>
      <c r="O627" s="19">
        <f t="shared" si="87"/>
        <v>117.8</v>
      </c>
    </row>
    <row r="628" spans="5:15" ht="15">
      <c r="E628" s="161"/>
      <c r="F628" s="197" t="s">
        <v>435</v>
      </c>
      <c r="G628" s="128" t="e">
        <f>#REF!</f>
        <v>#REF!</v>
      </c>
      <c r="H628" s="128" t="e">
        <f>#REF!</f>
        <v>#REF!</v>
      </c>
      <c r="I628" s="128" t="e">
        <f>#REF!</f>
        <v>#REF!</v>
      </c>
      <c r="J628" s="273">
        <f>J471</f>
        <v>306.54</v>
      </c>
      <c r="K628" s="273">
        <f>K471</f>
        <v>0</v>
      </c>
      <c r="L628" s="273">
        <f>L471</f>
        <v>306.54</v>
      </c>
      <c r="M628" s="156">
        <f>M471</f>
        <v>0</v>
      </c>
      <c r="N628" s="156">
        <f>N471</f>
        <v>0</v>
      </c>
      <c r="O628" s="19">
        <f t="shared" si="87"/>
        <v>306.54</v>
      </c>
    </row>
    <row r="629" spans="5:15" ht="15">
      <c r="E629" s="161"/>
      <c r="F629" s="197" t="s">
        <v>436</v>
      </c>
      <c r="G629" s="128" t="e">
        <f>#REF!+#REF!+G126</f>
        <v>#REF!</v>
      </c>
      <c r="H629" s="128" t="e">
        <f>#REF!+#REF!+H126</f>
        <v>#REF!</v>
      </c>
      <c r="I629" s="128" t="e">
        <f>#REF!+#REF!+I126</f>
        <v>#REF!</v>
      </c>
      <c r="J629" s="273">
        <f>J126+J477</f>
        <v>9917.986</v>
      </c>
      <c r="K629" s="273">
        <f>K126+K477</f>
        <v>0</v>
      </c>
      <c r="L629" s="273">
        <f>L126+L477</f>
        <v>9917.986</v>
      </c>
      <c r="M629" s="156" t="e">
        <f>M126+M477</f>
        <v>#REF!</v>
      </c>
      <c r="N629" s="156" t="e">
        <f>N126+N477</f>
        <v>#REF!</v>
      </c>
      <c r="O629" s="19">
        <f t="shared" si="87"/>
        <v>9917.986</v>
      </c>
    </row>
    <row r="630" spans="5:15" ht="15">
      <c r="E630" s="161"/>
      <c r="F630" s="200" t="s">
        <v>437</v>
      </c>
      <c r="G630" s="132" t="e">
        <f aca="true" t="shared" si="96" ref="G630:N630">G129</f>
        <v>#REF!</v>
      </c>
      <c r="H630" s="132" t="e">
        <f t="shared" si="96"/>
        <v>#REF!</v>
      </c>
      <c r="I630" s="132" t="e">
        <f t="shared" si="96"/>
        <v>#REF!</v>
      </c>
      <c r="J630" s="277">
        <f t="shared" si="96"/>
        <v>17830.7</v>
      </c>
      <c r="K630" s="277">
        <f t="shared" si="96"/>
        <v>858.1</v>
      </c>
      <c r="L630" s="277">
        <f>L129</f>
        <v>18688.800000000003</v>
      </c>
      <c r="M630" s="157" t="e">
        <f t="shared" si="96"/>
        <v>#REF!</v>
      </c>
      <c r="N630" s="157" t="e">
        <f t="shared" si="96"/>
        <v>#REF!</v>
      </c>
      <c r="O630" s="19">
        <f t="shared" si="87"/>
        <v>18688.8</v>
      </c>
    </row>
    <row r="631" spans="5:15" ht="15.75" thickBot="1">
      <c r="E631" s="161"/>
      <c r="F631" s="200" t="s">
        <v>438</v>
      </c>
      <c r="G631" s="132" t="e">
        <f>#REF!</f>
        <v>#REF!</v>
      </c>
      <c r="H631" s="132" t="e">
        <f>#REF!</f>
        <v>#REF!</v>
      </c>
      <c r="I631" s="132" t="e">
        <f>#REF!</f>
        <v>#REF!</v>
      </c>
      <c r="J631" s="277">
        <f>J494+J560</f>
        <v>341</v>
      </c>
      <c r="K631" s="277">
        <f>K494+K560</f>
        <v>0</v>
      </c>
      <c r="L631" s="277">
        <f>L494+L560</f>
        <v>341</v>
      </c>
      <c r="M631" s="157">
        <f>M494+M560</f>
        <v>0</v>
      </c>
      <c r="N631" s="157">
        <f>N494+N560</f>
        <v>0</v>
      </c>
      <c r="O631" s="19">
        <f t="shared" si="87"/>
        <v>341</v>
      </c>
    </row>
    <row r="632" spans="5:15" ht="15.75" hidden="1" thickBot="1">
      <c r="E632" s="161" t="e">
        <f>SUM(H633:H636)</f>
        <v>#REF!</v>
      </c>
      <c r="F632" s="141" t="s">
        <v>21</v>
      </c>
      <c r="G632" s="138" t="e">
        <f>#REF!</f>
        <v>#REF!</v>
      </c>
      <c r="H632" s="138" t="e">
        <f>#REF!</f>
        <v>#REF!</v>
      </c>
      <c r="I632" s="138" t="e">
        <f>#REF!</f>
        <v>#REF!</v>
      </c>
      <c r="J632" s="278">
        <f>J633+J634+J635+J636</f>
        <v>0</v>
      </c>
      <c r="K632" s="278">
        <f>K633+K634+K635+K636</f>
        <v>0</v>
      </c>
      <c r="L632" s="278">
        <f>L633+L634+L635+L636</f>
        <v>0</v>
      </c>
      <c r="M632" s="138" t="e">
        <f>#REF!</f>
        <v>#REF!</v>
      </c>
      <c r="N632" s="139" t="e">
        <f>#REF!</f>
        <v>#REF!</v>
      </c>
      <c r="O632" s="19">
        <f t="shared" si="87"/>
        <v>0</v>
      </c>
    </row>
    <row r="633" spans="5:15" ht="15" hidden="1">
      <c r="E633" s="161"/>
      <c r="F633" s="196" t="s">
        <v>439</v>
      </c>
      <c r="G633" s="127" t="e">
        <f>#REF!</f>
        <v>#REF!</v>
      </c>
      <c r="H633" s="127" t="e">
        <f>#REF!</f>
        <v>#REF!</v>
      </c>
      <c r="I633" s="127" t="e">
        <f>#REF!</f>
        <v>#REF!</v>
      </c>
      <c r="J633" s="275"/>
      <c r="K633" s="275"/>
      <c r="L633" s="275"/>
      <c r="M633" s="127" t="e">
        <f>#REF!</f>
        <v>#REF!</v>
      </c>
      <c r="N633" s="137" t="e">
        <f>#REF!</f>
        <v>#REF!</v>
      </c>
      <c r="O633" s="19">
        <f t="shared" si="87"/>
        <v>0</v>
      </c>
    </row>
    <row r="634" spans="5:15" ht="15" hidden="1">
      <c r="E634" s="161"/>
      <c r="F634" s="197" t="s">
        <v>440</v>
      </c>
      <c r="G634" s="128" t="e">
        <f>#REF!</f>
        <v>#REF!</v>
      </c>
      <c r="H634" s="128" t="e">
        <f>#REF!</f>
        <v>#REF!</v>
      </c>
      <c r="I634" s="128" t="e">
        <f>#REF!</f>
        <v>#REF!</v>
      </c>
      <c r="J634" s="273"/>
      <c r="K634" s="273"/>
      <c r="L634" s="273"/>
      <c r="M634" s="128" t="e">
        <f>#REF!</f>
        <v>#REF!</v>
      </c>
      <c r="N634" s="70" t="e">
        <f>#REF!</f>
        <v>#REF!</v>
      </c>
      <c r="O634" s="19">
        <f t="shared" si="87"/>
        <v>0</v>
      </c>
    </row>
    <row r="635" spans="5:15" ht="15" hidden="1">
      <c r="E635" s="161"/>
      <c r="F635" s="197" t="s">
        <v>441</v>
      </c>
      <c r="G635" s="128" t="e">
        <f>#REF!</f>
        <v>#REF!</v>
      </c>
      <c r="H635" s="128" t="e">
        <f>#REF!</f>
        <v>#REF!</v>
      </c>
      <c r="I635" s="128" t="e">
        <f>#REF!</f>
        <v>#REF!</v>
      </c>
      <c r="J635" s="273"/>
      <c r="K635" s="273"/>
      <c r="L635" s="273"/>
      <c r="M635" s="128" t="e">
        <f>#REF!</f>
        <v>#REF!</v>
      </c>
      <c r="N635" s="70" t="e">
        <f>#REF!</f>
        <v>#REF!</v>
      </c>
      <c r="O635" s="19">
        <f t="shared" si="87"/>
        <v>0</v>
      </c>
    </row>
    <row r="636" spans="5:15" ht="15.75" hidden="1" thickBot="1">
      <c r="E636" s="161"/>
      <c r="F636" s="136">
        <v>1104</v>
      </c>
      <c r="G636" s="136" t="e">
        <f>G237</f>
        <v>#REF!</v>
      </c>
      <c r="H636" s="136" t="e">
        <f>H237</f>
        <v>#REF!</v>
      </c>
      <c r="I636" s="136" t="e">
        <f>I237</f>
        <v>#REF!</v>
      </c>
      <c r="J636" s="280"/>
      <c r="K636" s="280"/>
      <c r="L636" s="280"/>
      <c r="M636" s="136" t="e">
        <f>M237</f>
        <v>#REF!</v>
      </c>
      <c r="N636" s="135" t="e">
        <f>N237</f>
        <v>#REF!</v>
      </c>
      <c r="O636" s="19">
        <f t="shared" si="87"/>
        <v>0</v>
      </c>
    </row>
    <row r="637" spans="5:15" ht="15.75" thickBot="1">
      <c r="E637" s="161"/>
      <c r="F637" s="209">
        <v>11</v>
      </c>
      <c r="G637" s="138"/>
      <c r="H637" s="138"/>
      <c r="I637" s="138"/>
      <c r="J637" s="278">
        <f>J638</f>
        <v>1676.6</v>
      </c>
      <c r="K637" s="278">
        <f>K638</f>
        <v>0</v>
      </c>
      <c r="L637" s="279">
        <f>L638</f>
        <v>1676.6</v>
      </c>
      <c r="M637" s="134"/>
      <c r="N637" s="135"/>
      <c r="O637" s="19">
        <f t="shared" si="87"/>
        <v>1676.6</v>
      </c>
    </row>
    <row r="638" spans="5:15" ht="15.75" thickBot="1">
      <c r="E638" s="161"/>
      <c r="F638" s="136">
        <v>1101</v>
      </c>
      <c r="G638" s="136"/>
      <c r="H638" s="136"/>
      <c r="I638" s="136"/>
      <c r="J638" s="280">
        <f>J567+J232</f>
        <v>1676.6</v>
      </c>
      <c r="K638" s="280">
        <f>K567+K232</f>
        <v>0</v>
      </c>
      <c r="L638" s="280">
        <f>L567+L232</f>
        <v>1676.6</v>
      </c>
      <c r="M638" s="134"/>
      <c r="N638" s="135"/>
      <c r="O638" s="19">
        <f t="shared" si="87"/>
        <v>1676.6</v>
      </c>
    </row>
    <row r="639" spans="5:15" ht="15.75" thickBot="1">
      <c r="E639" s="161"/>
      <c r="F639" s="210">
        <v>12</v>
      </c>
      <c r="G639" s="138"/>
      <c r="H639" s="138"/>
      <c r="I639" s="138"/>
      <c r="J639" s="278">
        <f>J640+J641+J642+J643</f>
        <v>963.8352100000001</v>
      </c>
      <c r="K639" s="278">
        <f>K640+K641+K642+K643</f>
        <v>5.84519</v>
      </c>
      <c r="L639" s="279">
        <f>L640+L641+L642+L643</f>
        <v>969.6804000000001</v>
      </c>
      <c r="M639" s="134"/>
      <c r="N639" s="135"/>
      <c r="O639" s="19">
        <f t="shared" si="87"/>
        <v>969.6804000000001</v>
      </c>
    </row>
    <row r="640" spans="5:15" ht="15" hidden="1">
      <c r="E640" s="161"/>
      <c r="F640" s="127">
        <v>1201</v>
      </c>
      <c r="G640" s="127"/>
      <c r="H640" s="127"/>
      <c r="I640" s="127"/>
      <c r="J640" s="275"/>
      <c r="K640" s="275"/>
      <c r="L640" s="275"/>
      <c r="M640" s="136"/>
      <c r="N640" s="135"/>
      <c r="O640" s="19">
        <f t="shared" si="87"/>
        <v>0</v>
      </c>
    </row>
    <row r="641" spans="5:15" ht="15.75" thickBot="1">
      <c r="E641" s="161"/>
      <c r="F641" s="128">
        <v>1202</v>
      </c>
      <c r="G641" s="128"/>
      <c r="H641" s="128"/>
      <c r="I641" s="128"/>
      <c r="J641" s="273">
        <f>J501</f>
        <v>963.8352100000001</v>
      </c>
      <c r="K641" s="273">
        <f>K501</f>
        <v>5.84519</v>
      </c>
      <c r="L641" s="273">
        <f>L501</f>
        <v>969.6804000000001</v>
      </c>
      <c r="M641" s="136"/>
      <c r="N641" s="135"/>
      <c r="O641" s="19">
        <f t="shared" si="87"/>
        <v>969.6804000000001</v>
      </c>
    </row>
    <row r="642" spans="5:15" ht="15" hidden="1">
      <c r="E642" s="161"/>
      <c r="F642" s="128">
        <v>1203</v>
      </c>
      <c r="G642" s="128"/>
      <c r="H642" s="128"/>
      <c r="I642" s="128"/>
      <c r="J642" s="273"/>
      <c r="K642" s="273"/>
      <c r="L642" s="273"/>
      <c r="M642" s="136"/>
      <c r="N642" s="135"/>
      <c r="O642" s="19">
        <f t="shared" si="87"/>
        <v>0</v>
      </c>
    </row>
    <row r="643" spans="5:15" ht="15.75" hidden="1" thickBot="1">
      <c r="E643" s="161"/>
      <c r="F643" s="132">
        <v>1204</v>
      </c>
      <c r="G643" s="132"/>
      <c r="H643" s="132"/>
      <c r="I643" s="132"/>
      <c r="J643" s="277"/>
      <c r="K643" s="277"/>
      <c r="L643" s="277"/>
      <c r="M643" s="136"/>
      <c r="N643" s="135"/>
      <c r="O643" s="19">
        <f t="shared" si="87"/>
        <v>0</v>
      </c>
    </row>
    <row r="644" spans="5:15" ht="15.75" thickBot="1">
      <c r="E644" s="161"/>
      <c r="F644" s="210">
        <v>13</v>
      </c>
      <c r="G644" s="138"/>
      <c r="H644" s="138"/>
      <c r="I644" s="138"/>
      <c r="J644" s="278">
        <f>J645+J646</f>
        <v>279.1</v>
      </c>
      <c r="K644" s="278">
        <f>K645+K646</f>
        <v>0</v>
      </c>
      <c r="L644" s="278">
        <f>L645+L646</f>
        <v>279.1</v>
      </c>
      <c r="M644" s="134"/>
      <c r="N644" s="135"/>
      <c r="O644" s="19">
        <f t="shared" si="87"/>
        <v>279.1</v>
      </c>
    </row>
    <row r="645" spans="5:15" ht="15.75" thickBot="1">
      <c r="E645" s="161"/>
      <c r="F645" s="127">
        <v>1301</v>
      </c>
      <c r="G645" s="127"/>
      <c r="H645" s="127"/>
      <c r="I645" s="127"/>
      <c r="J645" s="275">
        <f>J237</f>
        <v>279.1</v>
      </c>
      <c r="K645" s="275">
        <f>K237</f>
        <v>0</v>
      </c>
      <c r="L645" s="275">
        <f>L237</f>
        <v>279.1</v>
      </c>
      <c r="M645" s="136"/>
      <c r="N645" s="135"/>
      <c r="O645" s="19">
        <f t="shared" si="87"/>
        <v>279.1</v>
      </c>
    </row>
    <row r="646" spans="5:15" ht="15.75" hidden="1" thickBot="1">
      <c r="E646" s="161"/>
      <c r="F646" s="132">
        <v>1302</v>
      </c>
      <c r="G646" s="132"/>
      <c r="H646" s="132"/>
      <c r="I646" s="132"/>
      <c r="J646" s="277"/>
      <c r="K646" s="277"/>
      <c r="L646" s="277"/>
      <c r="M646" s="136"/>
      <c r="N646" s="135"/>
      <c r="O646" s="19">
        <f t="shared" si="87"/>
        <v>0</v>
      </c>
    </row>
    <row r="647" spans="5:15" ht="15.75" thickBot="1">
      <c r="E647" s="161"/>
      <c r="F647" s="210">
        <v>14</v>
      </c>
      <c r="G647" s="138"/>
      <c r="H647" s="138"/>
      <c r="I647" s="138"/>
      <c r="J647" s="278">
        <f>J648+J649+J650</f>
        <v>36880.9067</v>
      </c>
      <c r="K647" s="278">
        <f>K648+K649+K650</f>
        <v>105</v>
      </c>
      <c r="L647" s="278">
        <f>L648+L649+L650</f>
        <v>36985.9067</v>
      </c>
      <c r="M647" s="134"/>
      <c r="N647" s="135"/>
      <c r="O647" s="19">
        <f aca="true" t="shared" si="97" ref="O647:O652">J647+K647</f>
        <v>36985.9067</v>
      </c>
    </row>
    <row r="648" spans="5:15" ht="15">
      <c r="E648" s="161"/>
      <c r="F648" s="127">
        <v>1401</v>
      </c>
      <c r="G648" s="127"/>
      <c r="H648" s="127"/>
      <c r="I648" s="127"/>
      <c r="J648" s="275">
        <f>J242</f>
        <v>30877.1</v>
      </c>
      <c r="K648" s="275">
        <f>K242</f>
        <v>0</v>
      </c>
      <c r="L648" s="275">
        <f>L242</f>
        <v>30877.1</v>
      </c>
      <c r="M648" s="136"/>
      <c r="N648" s="135"/>
      <c r="O648" s="19">
        <f t="shared" si="97"/>
        <v>30877.1</v>
      </c>
    </row>
    <row r="649" spans="5:15" ht="15" hidden="1">
      <c r="E649" s="161"/>
      <c r="F649" s="128">
        <v>1402</v>
      </c>
      <c r="G649" s="128"/>
      <c r="H649" s="128"/>
      <c r="I649" s="128"/>
      <c r="J649" s="273"/>
      <c r="K649" s="273"/>
      <c r="L649" s="273"/>
      <c r="M649" s="136"/>
      <c r="N649" s="135"/>
      <c r="O649" s="19">
        <f t="shared" si="97"/>
        <v>0</v>
      </c>
    </row>
    <row r="650" spans="5:15" ht="15">
      <c r="E650" s="161"/>
      <c r="F650" s="132">
        <v>1403</v>
      </c>
      <c r="G650" s="132"/>
      <c r="H650" s="132"/>
      <c r="I650" s="132"/>
      <c r="J650" s="277">
        <f>J250</f>
        <v>6003.806699999999</v>
      </c>
      <c r="K650" s="277">
        <f>K250</f>
        <v>105</v>
      </c>
      <c r="L650" s="277">
        <f>L250</f>
        <v>6108.806699999999</v>
      </c>
      <c r="M650" s="136"/>
      <c r="N650" s="135"/>
      <c r="O650" s="19">
        <f t="shared" si="97"/>
        <v>6108.806699999999</v>
      </c>
    </row>
    <row r="651" spans="5:15" ht="15">
      <c r="E651" s="161"/>
      <c r="F651" s="128">
        <v>9999</v>
      </c>
      <c r="G651" s="128"/>
      <c r="H651" s="128"/>
      <c r="I651" s="128"/>
      <c r="J651" s="273"/>
      <c r="K651" s="273"/>
      <c r="L651" s="273"/>
      <c r="M651" s="128"/>
      <c r="N651" s="70"/>
      <c r="O651" s="19">
        <f t="shared" si="97"/>
        <v>0</v>
      </c>
    </row>
    <row r="652" spans="5:15" ht="15.75" thickBot="1">
      <c r="E652" s="161"/>
      <c r="F652" s="211" t="s">
        <v>442</v>
      </c>
      <c r="G652" s="212" t="e">
        <f>G580+G594+G598+G603+G608+G614+G619+G626+G632</f>
        <v>#REF!</v>
      </c>
      <c r="H652" s="212" t="e">
        <f>H580+H594+H598+H603+H608+H614+H619+H626+H632</f>
        <v>#REF!</v>
      </c>
      <c r="I652" s="212" t="e">
        <f>I580+I594+I598+I603+I608+I614+I619+I626+I632</f>
        <v>#REF!</v>
      </c>
      <c r="J652" s="282">
        <f>J580+J594+J598+J603+J608+J614+J619+J626+J632+J639+J644+J647+J637+J592</f>
        <v>448168.89848</v>
      </c>
      <c r="K652" s="282">
        <f>K580+K594+K598+K603+K608+K614+K619+K626+K632+K639+K644+K647+K637+K592</f>
        <v>11819.56121</v>
      </c>
      <c r="L652" s="282">
        <f>L580+L594+L598+L603+L608+L614+L619+L626+L632+L639+L644+L647+L637+L592</f>
        <v>459988.45969</v>
      </c>
      <c r="M652" s="146" t="e">
        <f>M580+M594+M598+M603+M608+M614+M619+M626+M632+M639+M644+M647+M637+M592</f>
        <v>#REF!</v>
      </c>
      <c r="N652" s="146" t="e">
        <f>N580+N594+N598+N603+N608+N614+N619+N626+N632+N639+N644+N647+N637+N592</f>
        <v>#REF!</v>
      </c>
      <c r="O652" s="19">
        <f t="shared" si="97"/>
        <v>459988.45969</v>
      </c>
    </row>
    <row r="653" spans="6:13" ht="15">
      <c r="F653" s="213"/>
      <c r="G653" s="147"/>
      <c r="I653" s="147"/>
      <c r="K653" s="283"/>
      <c r="L653" s="272">
        <v>408529.82753</v>
      </c>
      <c r="M653" s="147"/>
    </row>
    <row r="654" spans="6:13" ht="15">
      <c r="F654" s="213"/>
      <c r="G654" s="147"/>
      <c r="I654" s="147"/>
      <c r="K654" s="283"/>
      <c r="L654" s="261">
        <f>L652-L653</f>
        <v>51458.63215999998</v>
      </c>
      <c r="M654" s="147"/>
    </row>
    <row r="655" spans="6:13" ht="15">
      <c r="F655" s="213"/>
      <c r="G655" s="147"/>
      <c r="I655" s="147"/>
      <c r="K655" s="283"/>
      <c r="M655" s="147"/>
    </row>
    <row r="656" spans="6:13" ht="15">
      <c r="F656" s="213"/>
      <c r="G656" s="147"/>
      <c r="I656" s="147"/>
      <c r="K656" s="283"/>
      <c r="M656" s="147"/>
    </row>
    <row r="657" spans="6:13" ht="15">
      <c r="F657" s="213"/>
      <c r="G657" s="147"/>
      <c r="I657" s="147"/>
      <c r="K657" s="283"/>
      <c r="L657" s="261">
        <f>L35+L85+L123+L181+L205+L330+L342+L350+L367+L380+L400+L449+L463+L490+L498+L520+L561</f>
        <v>6536.580000000001</v>
      </c>
      <c r="M657" s="147"/>
    </row>
    <row r="658" spans="6:13" ht="15">
      <c r="F658" s="213"/>
      <c r="G658" s="147"/>
      <c r="I658" s="147"/>
      <c r="K658" s="283"/>
      <c r="M658" s="147"/>
    </row>
    <row r="659" spans="6:13" ht="15">
      <c r="F659" s="213"/>
      <c r="G659" s="147"/>
      <c r="I659" s="147"/>
      <c r="K659" s="283"/>
      <c r="M659" s="147"/>
    </row>
    <row r="660" spans="7:13" ht="15">
      <c r="G660" s="147"/>
      <c r="I660" s="147"/>
      <c r="K660" s="283"/>
      <c r="M660" s="147"/>
    </row>
    <row r="661" spans="7:13" ht="15">
      <c r="G661" s="147"/>
      <c r="I661" s="147"/>
      <c r="K661" s="283"/>
      <c r="M661" s="147"/>
    </row>
    <row r="662" spans="7:13" ht="15">
      <c r="G662" s="147"/>
      <c r="I662" s="147"/>
      <c r="K662" s="283"/>
      <c r="M662" s="147"/>
    </row>
    <row r="663" spans="7:13" ht="15">
      <c r="G663" s="147"/>
      <c r="I663" s="147"/>
      <c r="K663" s="283"/>
      <c r="M663" s="147"/>
    </row>
    <row r="664" spans="7:13" ht="15">
      <c r="G664" s="147"/>
      <c r="I664" s="147"/>
      <c r="K664" s="283"/>
      <c r="M664" s="147"/>
    </row>
    <row r="665" spans="7:13" ht="15">
      <c r="G665" s="147"/>
      <c r="I665" s="147"/>
      <c r="K665" s="283"/>
      <c r="M665" s="147"/>
    </row>
    <row r="666" spans="7:13" ht="15">
      <c r="G666" s="147"/>
      <c r="I666" s="147"/>
      <c r="K666" s="283"/>
      <c r="M666" s="147"/>
    </row>
    <row r="667" spans="7:13" ht="15">
      <c r="G667" s="147"/>
      <c r="I667" s="147"/>
      <c r="K667" s="283"/>
      <c r="M667" s="147"/>
    </row>
    <row r="668" spans="7:13" ht="15">
      <c r="G668" s="147"/>
      <c r="I668" s="147"/>
      <c r="K668" s="283"/>
      <c r="M668" s="147"/>
    </row>
    <row r="669" spans="7:13" ht="15">
      <c r="G669" s="147"/>
      <c r="I669" s="147"/>
      <c r="K669" s="283"/>
      <c r="M669" s="147"/>
    </row>
    <row r="670" spans="7:13" ht="15">
      <c r="G670" s="147"/>
      <c r="I670" s="147"/>
      <c r="K670" s="283"/>
      <c r="M670" s="147"/>
    </row>
    <row r="671" spans="7:13" ht="15">
      <c r="G671" s="147"/>
      <c r="I671" s="147"/>
      <c r="K671" s="283"/>
      <c r="M671" s="147"/>
    </row>
    <row r="672" spans="7:13" ht="15">
      <c r="G672" s="147"/>
      <c r="I672" s="147"/>
      <c r="K672" s="283"/>
      <c r="M672" s="147"/>
    </row>
    <row r="673" spans="7:13" ht="15">
      <c r="G673" s="147"/>
      <c r="I673" s="147"/>
      <c r="K673" s="283"/>
      <c r="M673" s="147"/>
    </row>
    <row r="674" spans="7:13" ht="15">
      <c r="G674" s="147"/>
      <c r="I674" s="147"/>
      <c r="K674" s="283"/>
      <c r="M674" s="147"/>
    </row>
    <row r="675" spans="7:13" ht="15">
      <c r="G675" s="147"/>
      <c r="I675" s="147"/>
      <c r="K675" s="283"/>
      <c r="M675" s="147"/>
    </row>
    <row r="676" spans="7:13" ht="15">
      <c r="G676" s="147"/>
      <c r="I676" s="147"/>
      <c r="K676" s="283"/>
      <c r="M676" s="147"/>
    </row>
    <row r="677" spans="7:13" ht="15">
      <c r="G677" s="147"/>
      <c r="I677" s="147"/>
      <c r="K677" s="283"/>
      <c r="M677" s="147"/>
    </row>
    <row r="678" spans="7:13" ht="15">
      <c r="G678" s="147"/>
      <c r="I678" s="147"/>
      <c r="K678" s="283"/>
      <c r="M678" s="147"/>
    </row>
    <row r="679" spans="7:13" ht="15">
      <c r="G679" s="147"/>
      <c r="I679" s="147"/>
      <c r="K679" s="283"/>
      <c r="M679" s="147"/>
    </row>
    <row r="680" spans="7:13" ht="15">
      <c r="G680" s="147"/>
      <c r="I680" s="147"/>
      <c r="K680" s="283"/>
      <c r="M680" s="147"/>
    </row>
    <row r="681" spans="7:13" ht="15">
      <c r="G681" s="147"/>
      <c r="I681" s="147"/>
      <c r="K681" s="283"/>
      <c r="M681" s="147"/>
    </row>
    <row r="682" spans="7:13" ht="15">
      <c r="G682" s="147"/>
      <c r="I682" s="147"/>
      <c r="K682" s="283"/>
      <c r="M682" s="147"/>
    </row>
    <row r="683" spans="7:13" ht="15">
      <c r="G683" s="147"/>
      <c r="I683" s="147"/>
      <c r="K683" s="283"/>
      <c r="M683" s="147"/>
    </row>
    <row r="684" spans="7:13" ht="15">
      <c r="G684" s="147"/>
      <c r="I684" s="147"/>
      <c r="K684" s="283"/>
      <c r="M684" s="147"/>
    </row>
    <row r="685" spans="7:13" ht="15">
      <c r="G685" s="147"/>
      <c r="I685" s="147"/>
      <c r="K685" s="283"/>
      <c r="M685" s="147"/>
    </row>
    <row r="686" spans="7:13" ht="15">
      <c r="G686" s="147"/>
      <c r="I686" s="147"/>
      <c r="K686" s="283"/>
      <c r="M686" s="147"/>
    </row>
    <row r="687" spans="7:13" ht="15">
      <c r="G687" s="147"/>
      <c r="I687" s="147"/>
      <c r="K687" s="283"/>
      <c r="M687" s="147"/>
    </row>
    <row r="688" spans="7:13" ht="15">
      <c r="G688" s="147"/>
      <c r="I688" s="147"/>
      <c r="K688" s="283"/>
      <c r="M688" s="147"/>
    </row>
    <row r="689" spans="7:13" ht="15">
      <c r="G689" s="147"/>
      <c r="I689" s="147"/>
      <c r="K689" s="283"/>
      <c r="M689" s="147"/>
    </row>
    <row r="690" spans="7:13" ht="15">
      <c r="G690" s="147"/>
      <c r="I690" s="147"/>
      <c r="K690" s="283"/>
      <c r="M690" s="147"/>
    </row>
    <row r="691" spans="7:13" ht="15">
      <c r="G691" s="147"/>
      <c r="I691" s="147"/>
      <c r="K691" s="283"/>
      <c r="M691" s="147"/>
    </row>
    <row r="692" spans="7:13" ht="15">
      <c r="G692" s="147"/>
      <c r="I692" s="147"/>
      <c r="K692" s="283"/>
      <c r="M692" s="147"/>
    </row>
    <row r="693" spans="7:13" ht="15">
      <c r="G693" s="147"/>
      <c r="I693" s="147"/>
      <c r="K693" s="283"/>
      <c r="M693" s="147"/>
    </row>
    <row r="694" spans="7:13" ht="15">
      <c r="G694" s="147"/>
      <c r="I694" s="147"/>
      <c r="K694" s="283"/>
      <c r="M694" s="147"/>
    </row>
    <row r="695" spans="7:13" ht="15">
      <c r="G695" s="147"/>
      <c r="I695" s="147"/>
      <c r="K695" s="283"/>
      <c r="M695" s="147"/>
    </row>
    <row r="696" spans="7:13" ht="15">
      <c r="G696" s="147"/>
      <c r="I696" s="147"/>
      <c r="K696" s="283"/>
      <c r="M696" s="147"/>
    </row>
    <row r="697" spans="7:13" ht="15">
      <c r="G697" s="147"/>
      <c r="I697" s="147"/>
      <c r="K697" s="283"/>
      <c r="M697" s="147"/>
    </row>
    <row r="698" spans="7:13" ht="15">
      <c r="G698" s="147"/>
      <c r="I698" s="147"/>
      <c r="K698" s="283"/>
      <c r="M698" s="147"/>
    </row>
    <row r="699" spans="7:13" ht="15">
      <c r="G699" s="147"/>
      <c r="I699" s="147"/>
      <c r="K699" s="283"/>
      <c r="M699" s="147"/>
    </row>
    <row r="700" spans="7:13" ht="15">
      <c r="G700" s="147"/>
      <c r="I700" s="147"/>
      <c r="K700" s="283"/>
      <c r="M700" s="147"/>
    </row>
    <row r="701" spans="7:13" ht="15">
      <c r="G701" s="147"/>
      <c r="I701" s="147"/>
      <c r="K701" s="283"/>
      <c r="M701" s="147"/>
    </row>
    <row r="702" spans="7:13" ht="15">
      <c r="G702" s="147"/>
      <c r="I702" s="147"/>
      <c r="K702" s="283"/>
      <c r="M702" s="147"/>
    </row>
    <row r="703" spans="7:13" ht="15">
      <c r="G703" s="147"/>
      <c r="I703" s="147"/>
      <c r="K703" s="283"/>
      <c r="M703" s="147"/>
    </row>
    <row r="704" spans="7:13" ht="15">
      <c r="G704" s="147"/>
      <c r="I704" s="147"/>
      <c r="K704" s="283"/>
      <c r="M704" s="147"/>
    </row>
    <row r="705" spans="7:13" ht="15">
      <c r="G705" s="147"/>
      <c r="I705" s="147"/>
      <c r="K705" s="283"/>
      <c r="M705" s="147"/>
    </row>
    <row r="706" spans="7:13" ht="15">
      <c r="G706" s="147"/>
      <c r="I706" s="147"/>
      <c r="K706" s="283"/>
      <c r="M706" s="147"/>
    </row>
    <row r="707" spans="7:13" ht="15">
      <c r="G707" s="147"/>
      <c r="I707" s="147"/>
      <c r="K707" s="283"/>
      <c r="M707" s="147"/>
    </row>
    <row r="708" spans="7:13" ht="15">
      <c r="G708" s="147"/>
      <c r="I708" s="147"/>
      <c r="K708" s="283"/>
      <c r="M708" s="147"/>
    </row>
    <row r="709" spans="7:13" ht="15">
      <c r="G709" s="147"/>
      <c r="I709" s="147"/>
      <c r="K709" s="283"/>
      <c r="M709" s="147"/>
    </row>
    <row r="710" spans="7:13" ht="15">
      <c r="G710" s="147"/>
      <c r="I710" s="147"/>
      <c r="K710" s="283"/>
      <c r="M710" s="147"/>
    </row>
    <row r="711" spans="7:13" ht="15">
      <c r="G711" s="147"/>
      <c r="I711" s="147"/>
      <c r="K711" s="283"/>
      <c r="M711" s="147"/>
    </row>
    <row r="712" spans="7:13" ht="15">
      <c r="G712" s="147"/>
      <c r="I712" s="147"/>
      <c r="K712" s="283"/>
      <c r="M712" s="147"/>
    </row>
    <row r="713" spans="7:13" ht="15">
      <c r="G713" s="147"/>
      <c r="I713" s="147"/>
      <c r="K713" s="283"/>
      <c r="M713" s="147"/>
    </row>
    <row r="714" spans="7:13" ht="15">
      <c r="G714" s="147"/>
      <c r="I714" s="147"/>
      <c r="K714" s="283"/>
      <c r="M714" s="147"/>
    </row>
    <row r="715" spans="7:13" ht="15">
      <c r="G715" s="147"/>
      <c r="I715" s="147"/>
      <c r="K715" s="283"/>
      <c r="M715" s="147"/>
    </row>
    <row r="716" spans="7:13" ht="15">
      <c r="G716" s="147"/>
      <c r="I716" s="147"/>
      <c r="K716" s="283"/>
      <c r="M716" s="147"/>
    </row>
    <row r="717" spans="7:13" ht="15">
      <c r="G717" s="147"/>
      <c r="I717" s="147"/>
      <c r="K717" s="283"/>
      <c r="M717" s="147"/>
    </row>
    <row r="718" spans="7:13" ht="15">
      <c r="G718" s="147"/>
      <c r="I718" s="147"/>
      <c r="K718" s="283"/>
      <c r="M718" s="147"/>
    </row>
    <row r="719" spans="7:13" ht="15">
      <c r="G719" s="147"/>
      <c r="I719" s="147"/>
      <c r="K719" s="283"/>
      <c r="M719" s="147"/>
    </row>
    <row r="720" spans="7:13" ht="15">
      <c r="G720" s="147"/>
      <c r="I720" s="147"/>
      <c r="K720" s="283"/>
      <c r="M720" s="147"/>
    </row>
    <row r="721" spans="7:13" ht="15">
      <c r="G721" s="147"/>
      <c r="I721" s="147"/>
      <c r="K721" s="283"/>
      <c r="M721" s="147"/>
    </row>
    <row r="722" spans="7:13" ht="15">
      <c r="G722" s="147"/>
      <c r="I722" s="147"/>
      <c r="K722" s="283"/>
      <c r="M722" s="147"/>
    </row>
    <row r="723" spans="7:13" ht="15">
      <c r="G723" s="147"/>
      <c r="I723" s="147"/>
      <c r="K723" s="283"/>
      <c r="M723" s="147"/>
    </row>
    <row r="724" spans="7:13" ht="15">
      <c r="G724" s="147"/>
      <c r="I724" s="147"/>
      <c r="K724" s="283"/>
      <c r="M724" s="147"/>
    </row>
    <row r="725" spans="7:13" ht="15">
      <c r="G725" s="147"/>
      <c r="I725" s="147"/>
      <c r="K725" s="283"/>
      <c r="M725" s="147"/>
    </row>
    <row r="726" spans="7:13" ht="15">
      <c r="G726" s="147"/>
      <c r="I726" s="147"/>
      <c r="K726" s="283"/>
      <c r="M726" s="147"/>
    </row>
    <row r="727" spans="7:13" ht="15">
      <c r="G727" s="147"/>
      <c r="I727" s="147"/>
      <c r="K727" s="283"/>
      <c r="M727" s="147"/>
    </row>
    <row r="728" spans="7:13" ht="15">
      <c r="G728" s="147"/>
      <c r="I728" s="147"/>
      <c r="K728" s="283"/>
      <c r="M728" s="147"/>
    </row>
    <row r="729" spans="7:13" ht="15">
      <c r="G729" s="147"/>
      <c r="I729" s="147"/>
      <c r="K729" s="283"/>
      <c r="M729" s="147"/>
    </row>
    <row r="730" spans="7:13" ht="15">
      <c r="G730" s="147"/>
      <c r="I730" s="147"/>
      <c r="K730" s="283"/>
      <c r="M730" s="147"/>
    </row>
    <row r="731" spans="7:13" ht="15">
      <c r="G731" s="147"/>
      <c r="I731" s="147"/>
      <c r="K731" s="283"/>
      <c r="M731" s="147"/>
    </row>
    <row r="732" spans="7:13" ht="15">
      <c r="G732" s="147"/>
      <c r="I732" s="147"/>
      <c r="K732" s="283"/>
      <c r="M732" s="147"/>
    </row>
    <row r="733" spans="7:13" ht="15">
      <c r="G733" s="147"/>
      <c r="I733" s="147"/>
      <c r="K733" s="283"/>
      <c r="M733" s="147"/>
    </row>
    <row r="734" spans="7:13" ht="15">
      <c r="G734" s="147"/>
      <c r="I734" s="147"/>
      <c r="K734" s="283"/>
      <c r="M734" s="147"/>
    </row>
    <row r="735" spans="7:13" ht="15">
      <c r="G735" s="147"/>
      <c r="I735" s="147"/>
      <c r="K735" s="283"/>
      <c r="M735" s="147"/>
    </row>
    <row r="736" spans="7:13" ht="15">
      <c r="G736" s="147"/>
      <c r="I736" s="147"/>
      <c r="K736" s="283"/>
      <c r="M736" s="147"/>
    </row>
    <row r="737" spans="7:13" ht="15">
      <c r="G737" s="147"/>
      <c r="I737" s="147"/>
      <c r="K737" s="283"/>
      <c r="M737" s="147"/>
    </row>
    <row r="738" spans="7:13" ht="15">
      <c r="G738" s="147"/>
      <c r="I738" s="147"/>
      <c r="K738" s="283"/>
      <c r="M738" s="147"/>
    </row>
    <row r="739" spans="7:13" ht="15">
      <c r="G739" s="147"/>
      <c r="I739" s="147"/>
      <c r="K739" s="283"/>
      <c r="M739" s="147"/>
    </row>
    <row r="740" spans="7:13" ht="15">
      <c r="G740" s="147"/>
      <c r="I740" s="147"/>
      <c r="K740" s="283"/>
      <c r="M740" s="147"/>
    </row>
    <row r="741" spans="7:13" ht="15">
      <c r="G741" s="147"/>
      <c r="I741" s="147"/>
      <c r="K741" s="283"/>
      <c r="M741" s="147"/>
    </row>
    <row r="742" spans="7:13" ht="15">
      <c r="G742" s="147"/>
      <c r="I742" s="147"/>
      <c r="K742" s="283"/>
      <c r="M742" s="147"/>
    </row>
    <row r="743" spans="7:13" ht="15">
      <c r="G743" s="147"/>
      <c r="I743" s="147"/>
      <c r="K743" s="283"/>
      <c r="M743" s="147"/>
    </row>
    <row r="744" spans="7:13" ht="15">
      <c r="G744" s="147"/>
      <c r="I744" s="147"/>
      <c r="K744" s="283"/>
      <c r="M744" s="147"/>
    </row>
    <row r="745" spans="7:13" ht="15">
      <c r="G745" s="147"/>
      <c r="I745" s="147"/>
      <c r="K745" s="283"/>
      <c r="M745" s="147"/>
    </row>
    <row r="746" spans="7:13" ht="15">
      <c r="G746" s="147"/>
      <c r="I746" s="147"/>
      <c r="K746" s="283"/>
      <c r="M746" s="147"/>
    </row>
    <row r="747" spans="7:13" ht="15">
      <c r="G747" s="147"/>
      <c r="I747" s="147"/>
      <c r="K747" s="283"/>
      <c r="M747" s="147"/>
    </row>
    <row r="748" spans="7:13" ht="15">
      <c r="G748" s="147"/>
      <c r="I748" s="147"/>
      <c r="K748" s="283"/>
      <c r="M748" s="147"/>
    </row>
    <row r="749" spans="7:13" ht="15">
      <c r="G749" s="147"/>
      <c r="I749" s="147"/>
      <c r="K749" s="283"/>
      <c r="M749" s="147"/>
    </row>
    <row r="750" spans="7:13" ht="15">
      <c r="G750" s="147"/>
      <c r="I750" s="147"/>
      <c r="K750" s="283"/>
      <c r="M750" s="147"/>
    </row>
    <row r="751" spans="7:13" ht="15">
      <c r="G751" s="147"/>
      <c r="I751" s="147"/>
      <c r="K751" s="283"/>
      <c r="M751" s="147"/>
    </row>
    <row r="752" spans="7:13" ht="15">
      <c r="G752" s="147"/>
      <c r="I752" s="147"/>
      <c r="K752" s="283"/>
      <c r="M752" s="147"/>
    </row>
    <row r="753" spans="7:13" ht="15">
      <c r="G753" s="147"/>
      <c r="I753" s="147"/>
      <c r="K753" s="283"/>
      <c r="M753" s="147"/>
    </row>
    <row r="754" spans="7:13" ht="15">
      <c r="G754" s="147"/>
      <c r="I754" s="147"/>
      <c r="K754" s="283"/>
      <c r="M754" s="147"/>
    </row>
    <row r="755" spans="7:13" ht="15">
      <c r="G755" s="147"/>
      <c r="I755" s="147"/>
      <c r="K755" s="283"/>
      <c r="M755" s="147"/>
    </row>
    <row r="756" spans="7:13" ht="15">
      <c r="G756" s="147"/>
      <c r="I756" s="147"/>
      <c r="K756" s="283"/>
      <c r="M756" s="147"/>
    </row>
    <row r="757" spans="7:13" ht="15">
      <c r="G757" s="147"/>
      <c r="I757" s="147"/>
      <c r="K757" s="283"/>
      <c r="M757" s="147"/>
    </row>
    <row r="758" spans="7:13" ht="15">
      <c r="G758" s="147"/>
      <c r="I758" s="147"/>
      <c r="K758" s="283"/>
      <c r="M758" s="147"/>
    </row>
    <row r="759" spans="7:13" ht="15">
      <c r="G759" s="147"/>
      <c r="I759" s="147"/>
      <c r="K759" s="283"/>
      <c r="M759" s="147"/>
    </row>
    <row r="760" spans="7:13" ht="15">
      <c r="G760" s="147"/>
      <c r="I760" s="147"/>
      <c r="K760" s="283"/>
      <c r="M760" s="147"/>
    </row>
    <row r="761" spans="7:13" ht="15">
      <c r="G761" s="147"/>
      <c r="I761" s="147"/>
      <c r="K761" s="283"/>
      <c r="M761" s="147"/>
    </row>
    <row r="762" spans="7:13" ht="15">
      <c r="G762" s="147"/>
      <c r="I762" s="147"/>
      <c r="K762" s="283"/>
      <c r="M762" s="147"/>
    </row>
    <row r="763" spans="7:13" ht="15">
      <c r="G763" s="147"/>
      <c r="I763" s="147"/>
      <c r="K763" s="283"/>
      <c r="M763" s="147"/>
    </row>
    <row r="764" spans="7:13" ht="15">
      <c r="G764" s="147"/>
      <c r="I764" s="147"/>
      <c r="K764" s="283"/>
      <c r="M764" s="147"/>
    </row>
    <row r="765" spans="7:13" ht="15">
      <c r="G765" s="147"/>
      <c r="I765" s="147"/>
      <c r="K765" s="283"/>
      <c r="M765" s="147"/>
    </row>
    <row r="766" spans="7:13" ht="15">
      <c r="G766" s="147"/>
      <c r="I766" s="147"/>
      <c r="K766" s="283"/>
      <c r="M766" s="147"/>
    </row>
    <row r="767" spans="7:13" ht="15">
      <c r="G767" s="147"/>
      <c r="I767" s="147"/>
      <c r="K767" s="283"/>
      <c r="M767" s="147"/>
    </row>
    <row r="768" spans="7:13" ht="15">
      <c r="G768" s="147"/>
      <c r="I768" s="147"/>
      <c r="K768" s="283"/>
      <c r="M768" s="147"/>
    </row>
    <row r="769" spans="7:13" ht="15">
      <c r="G769" s="147"/>
      <c r="I769" s="147"/>
      <c r="K769" s="283"/>
      <c r="M769" s="147"/>
    </row>
    <row r="770" spans="7:13" ht="15">
      <c r="G770" s="147"/>
      <c r="I770" s="147"/>
      <c r="K770" s="283"/>
      <c r="M770" s="147"/>
    </row>
    <row r="771" spans="7:13" ht="15">
      <c r="G771" s="147"/>
      <c r="I771" s="147"/>
      <c r="K771" s="283"/>
      <c r="M771" s="147"/>
    </row>
    <row r="772" spans="7:13" ht="15">
      <c r="G772" s="147"/>
      <c r="I772" s="147"/>
      <c r="K772" s="283"/>
      <c r="M772" s="147"/>
    </row>
    <row r="773" spans="7:13" ht="15">
      <c r="G773" s="147"/>
      <c r="I773" s="147"/>
      <c r="K773" s="283"/>
      <c r="M773" s="147"/>
    </row>
    <row r="774" spans="7:13" ht="15">
      <c r="G774" s="147"/>
      <c r="I774" s="147"/>
      <c r="K774" s="283"/>
      <c r="M774" s="147"/>
    </row>
    <row r="775" spans="7:13" ht="15">
      <c r="G775" s="147"/>
      <c r="I775" s="147"/>
      <c r="K775" s="283"/>
      <c r="M775" s="147"/>
    </row>
    <row r="776" spans="7:13" ht="15">
      <c r="G776" s="147"/>
      <c r="I776" s="147"/>
      <c r="K776" s="283"/>
      <c r="M776" s="147"/>
    </row>
    <row r="777" spans="7:13" ht="15">
      <c r="G777" s="147"/>
      <c r="I777" s="147"/>
      <c r="K777" s="283"/>
      <c r="M777" s="147"/>
    </row>
    <row r="778" spans="7:13" ht="15">
      <c r="G778" s="147"/>
      <c r="I778" s="147"/>
      <c r="K778" s="283"/>
      <c r="M778" s="147"/>
    </row>
    <row r="779" spans="7:13" ht="15">
      <c r="G779" s="147"/>
      <c r="I779" s="147"/>
      <c r="K779" s="283"/>
      <c r="M779" s="147"/>
    </row>
    <row r="780" spans="7:13" ht="15">
      <c r="G780" s="147"/>
      <c r="I780" s="147"/>
      <c r="K780" s="283"/>
      <c r="M780" s="147"/>
    </row>
    <row r="781" spans="7:13" ht="15">
      <c r="G781" s="147"/>
      <c r="I781" s="147"/>
      <c r="K781" s="283"/>
      <c r="M781" s="147"/>
    </row>
    <row r="782" spans="7:13" ht="15">
      <c r="G782" s="147"/>
      <c r="I782" s="147"/>
      <c r="K782" s="283"/>
      <c r="M782" s="147"/>
    </row>
    <row r="783" spans="7:13" ht="15">
      <c r="G783" s="147"/>
      <c r="I783" s="147"/>
      <c r="K783" s="283"/>
      <c r="M783" s="147"/>
    </row>
    <row r="784" spans="7:13" ht="15">
      <c r="G784" s="147"/>
      <c r="I784" s="147"/>
      <c r="K784" s="283"/>
      <c r="M784" s="147"/>
    </row>
    <row r="785" spans="7:13" ht="15">
      <c r="G785" s="147"/>
      <c r="I785" s="147"/>
      <c r="K785" s="283"/>
      <c r="M785" s="147"/>
    </row>
    <row r="786" spans="7:13" ht="15">
      <c r="G786" s="147"/>
      <c r="I786" s="147"/>
      <c r="K786" s="283"/>
      <c r="M786" s="147"/>
    </row>
    <row r="787" spans="7:13" ht="15">
      <c r="G787" s="147"/>
      <c r="I787" s="147"/>
      <c r="K787" s="283"/>
      <c r="M787" s="147"/>
    </row>
    <row r="788" spans="7:13" ht="15">
      <c r="G788" s="147"/>
      <c r="I788" s="147"/>
      <c r="K788" s="283"/>
      <c r="M788" s="147"/>
    </row>
    <row r="789" spans="7:13" ht="15">
      <c r="G789" s="147"/>
      <c r="I789" s="147"/>
      <c r="K789" s="283"/>
      <c r="M789" s="147"/>
    </row>
    <row r="790" spans="7:13" ht="15">
      <c r="G790" s="147"/>
      <c r="I790" s="147"/>
      <c r="K790" s="283"/>
      <c r="M790" s="147"/>
    </row>
    <row r="791" spans="7:13" ht="15">
      <c r="G791" s="147"/>
      <c r="I791" s="147"/>
      <c r="K791" s="283"/>
      <c r="M791" s="147"/>
    </row>
    <row r="792" spans="7:13" ht="15">
      <c r="G792" s="147"/>
      <c r="I792" s="147"/>
      <c r="K792" s="283"/>
      <c r="M792" s="147"/>
    </row>
    <row r="793" spans="7:13" ht="15">
      <c r="G793" s="147"/>
      <c r="I793" s="147"/>
      <c r="K793" s="283"/>
      <c r="M793" s="147"/>
    </row>
    <row r="794" spans="7:13" ht="15">
      <c r="G794" s="147"/>
      <c r="I794" s="147"/>
      <c r="K794" s="283"/>
      <c r="M794" s="147"/>
    </row>
    <row r="795" spans="7:13" ht="15">
      <c r="G795" s="147"/>
      <c r="I795" s="147"/>
      <c r="K795" s="283"/>
      <c r="M795" s="147"/>
    </row>
    <row r="796" spans="7:13" ht="15">
      <c r="G796" s="147"/>
      <c r="I796" s="147"/>
      <c r="K796" s="283"/>
      <c r="M796" s="147"/>
    </row>
    <row r="797" spans="7:13" ht="15">
      <c r="G797" s="147"/>
      <c r="I797" s="147"/>
      <c r="K797" s="283"/>
      <c r="M797" s="147"/>
    </row>
    <row r="798" spans="7:13" ht="15">
      <c r="G798" s="147"/>
      <c r="I798" s="147"/>
      <c r="K798" s="283"/>
      <c r="M798" s="147"/>
    </row>
    <row r="799" spans="7:13" ht="15">
      <c r="G799" s="147"/>
      <c r="I799" s="147"/>
      <c r="K799" s="283"/>
      <c r="M799" s="147"/>
    </row>
    <row r="800" spans="7:13" ht="15">
      <c r="G800" s="147"/>
      <c r="I800" s="147"/>
      <c r="K800" s="283"/>
      <c r="M800" s="147"/>
    </row>
    <row r="801" spans="7:13" ht="15">
      <c r="G801" s="147"/>
      <c r="I801" s="147"/>
      <c r="K801" s="283"/>
      <c r="M801" s="147"/>
    </row>
    <row r="802" spans="7:13" ht="15">
      <c r="G802" s="147"/>
      <c r="I802" s="147"/>
      <c r="K802" s="283"/>
      <c r="M802" s="147"/>
    </row>
    <row r="803" spans="7:13" ht="15">
      <c r="G803" s="147"/>
      <c r="I803" s="147"/>
      <c r="K803" s="283"/>
      <c r="M803" s="147"/>
    </row>
    <row r="804" spans="7:13" ht="15">
      <c r="G804" s="147"/>
      <c r="I804" s="147"/>
      <c r="K804" s="283"/>
      <c r="M804" s="147"/>
    </row>
    <row r="805" spans="7:13" ht="15">
      <c r="G805" s="147"/>
      <c r="I805" s="147"/>
      <c r="K805" s="283"/>
      <c r="M805" s="147"/>
    </row>
    <row r="806" spans="7:13" ht="15">
      <c r="G806" s="147"/>
      <c r="I806" s="147"/>
      <c r="K806" s="283"/>
      <c r="M806" s="147"/>
    </row>
    <row r="807" spans="7:13" ht="15">
      <c r="G807" s="147"/>
      <c r="I807" s="147"/>
      <c r="K807" s="283"/>
      <c r="M807" s="147"/>
    </row>
    <row r="808" spans="7:13" ht="15">
      <c r="G808" s="147"/>
      <c r="I808" s="147"/>
      <c r="K808" s="283"/>
      <c r="M808" s="147"/>
    </row>
    <row r="809" spans="7:13" ht="15">
      <c r="G809" s="147"/>
      <c r="I809" s="147"/>
      <c r="K809" s="283"/>
      <c r="M809" s="147"/>
    </row>
    <row r="810" spans="7:13" ht="15">
      <c r="G810" s="147"/>
      <c r="I810" s="147"/>
      <c r="K810" s="283"/>
      <c r="M810" s="147"/>
    </row>
    <row r="811" spans="7:13" ht="15">
      <c r="G811" s="147"/>
      <c r="I811" s="147"/>
      <c r="K811" s="283"/>
      <c r="M811" s="147"/>
    </row>
    <row r="812" spans="7:13" ht="15">
      <c r="G812" s="147"/>
      <c r="I812" s="147"/>
      <c r="K812" s="283"/>
      <c r="M812" s="147"/>
    </row>
    <row r="813" spans="7:13" ht="15">
      <c r="G813" s="147"/>
      <c r="I813" s="147"/>
      <c r="K813" s="283"/>
      <c r="M813" s="147"/>
    </row>
    <row r="814" spans="7:13" ht="15">
      <c r="G814" s="147"/>
      <c r="I814" s="147"/>
      <c r="K814" s="283"/>
      <c r="M814" s="147"/>
    </row>
    <row r="815" spans="7:13" ht="15">
      <c r="G815" s="147"/>
      <c r="I815" s="147"/>
      <c r="K815" s="283"/>
      <c r="M815" s="147"/>
    </row>
    <row r="816" spans="7:13" ht="15">
      <c r="G816" s="147"/>
      <c r="I816" s="147"/>
      <c r="K816" s="283"/>
      <c r="M816" s="147"/>
    </row>
    <row r="817" spans="7:13" ht="15">
      <c r="G817" s="147"/>
      <c r="I817" s="147"/>
      <c r="K817" s="283"/>
      <c r="M817" s="147"/>
    </row>
    <row r="818" spans="7:13" ht="15">
      <c r="G818" s="147"/>
      <c r="I818" s="147"/>
      <c r="K818" s="283"/>
      <c r="M818" s="147"/>
    </row>
    <row r="819" spans="7:13" ht="15">
      <c r="G819" s="147"/>
      <c r="I819" s="147"/>
      <c r="K819" s="283"/>
      <c r="M819" s="147"/>
    </row>
    <row r="820" spans="7:13" ht="15">
      <c r="G820" s="147"/>
      <c r="I820" s="147"/>
      <c r="K820" s="283"/>
      <c r="M820" s="147"/>
    </row>
    <row r="821" spans="7:13" ht="15">
      <c r="G821" s="147"/>
      <c r="I821" s="147"/>
      <c r="K821" s="283"/>
      <c r="M821" s="147"/>
    </row>
    <row r="822" spans="7:13" ht="15">
      <c r="G822" s="147"/>
      <c r="I822" s="147"/>
      <c r="K822" s="283"/>
      <c r="M822" s="147"/>
    </row>
    <row r="823" spans="7:13" ht="15">
      <c r="G823" s="147"/>
      <c r="I823" s="147"/>
      <c r="K823" s="283"/>
      <c r="M823" s="147"/>
    </row>
    <row r="824" spans="7:13" ht="15">
      <c r="G824" s="147"/>
      <c r="I824" s="147"/>
      <c r="K824" s="283"/>
      <c r="M824" s="147"/>
    </row>
    <row r="825" spans="7:13" ht="15">
      <c r="G825" s="147"/>
      <c r="I825" s="147"/>
      <c r="K825" s="283"/>
      <c r="M825" s="147"/>
    </row>
    <row r="826" spans="7:13" ht="15">
      <c r="G826" s="147"/>
      <c r="I826" s="147"/>
      <c r="K826" s="283"/>
      <c r="M826" s="147"/>
    </row>
    <row r="827" spans="7:13" ht="15">
      <c r="G827" s="147"/>
      <c r="I827" s="147"/>
      <c r="K827" s="283"/>
      <c r="M827" s="147"/>
    </row>
    <row r="828" spans="7:13" ht="15">
      <c r="G828" s="147"/>
      <c r="I828" s="147"/>
      <c r="K828" s="283"/>
      <c r="M828" s="147"/>
    </row>
    <row r="829" spans="7:13" ht="15">
      <c r="G829" s="147"/>
      <c r="I829" s="147"/>
      <c r="K829" s="283"/>
      <c r="M829" s="147"/>
    </row>
    <row r="830" spans="7:13" ht="15">
      <c r="G830" s="147"/>
      <c r="I830" s="147"/>
      <c r="K830" s="283"/>
      <c r="M830" s="147"/>
    </row>
    <row r="831" spans="7:13" ht="15">
      <c r="G831" s="147"/>
      <c r="I831" s="147"/>
      <c r="K831" s="283"/>
      <c r="M831" s="147"/>
    </row>
    <row r="832" spans="7:13" ht="15">
      <c r="G832" s="147"/>
      <c r="I832" s="147"/>
      <c r="K832" s="283"/>
      <c r="M832" s="147"/>
    </row>
    <row r="833" spans="7:13" ht="15">
      <c r="G833" s="147"/>
      <c r="I833" s="147"/>
      <c r="K833" s="283"/>
      <c r="M833" s="147"/>
    </row>
    <row r="834" spans="7:13" ht="15">
      <c r="G834" s="147"/>
      <c r="I834" s="147"/>
      <c r="K834" s="283"/>
      <c r="M834" s="147"/>
    </row>
    <row r="835" spans="7:13" ht="15">
      <c r="G835" s="147"/>
      <c r="I835" s="147"/>
      <c r="K835" s="283"/>
      <c r="M835" s="147"/>
    </row>
    <row r="836" spans="7:13" ht="15">
      <c r="G836" s="147"/>
      <c r="I836" s="147"/>
      <c r="K836" s="283"/>
      <c r="M836" s="147"/>
    </row>
    <row r="837" spans="7:13" ht="15">
      <c r="G837" s="147"/>
      <c r="I837" s="147"/>
      <c r="K837" s="283"/>
      <c r="M837" s="147"/>
    </row>
    <row r="838" spans="7:13" ht="15">
      <c r="G838" s="147"/>
      <c r="I838" s="147"/>
      <c r="K838" s="283"/>
      <c r="M838" s="147"/>
    </row>
    <row r="839" spans="7:13" ht="15">
      <c r="G839" s="147"/>
      <c r="I839" s="147"/>
      <c r="K839" s="283"/>
      <c r="M839" s="147"/>
    </row>
    <row r="840" spans="7:13" ht="15">
      <c r="G840" s="147"/>
      <c r="I840" s="147"/>
      <c r="K840" s="283"/>
      <c r="M840" s="147"/>
    </row>
    <row r="841" spans="7:13" ht="15">
      <c r="G841" s="147"/>
      <c r="I841" s="147"/>
      <c r="K841" s="283"/>
      <c r="M841" s="147"/>
    </row>
    <row r="842" spans="7:13" ht="15">
      <c r="G842" s="147"/>
      <c r="I842" s="147"/>
      <c r="K842" s="283"/>
      <c r="M842" s="147"/>
    </row>
    <row r="843" spans="7:13" ht="15">
      <c r="G843" s="147"/>
      <c r="I843" s="147"/>
      <c r="K843" s="283"/>
      <c r="M843" s="147"/>
    </row>
    <row r="844" spans="7:13" ht="15">
      <c r="G844" s="147"/>
      <c r="I844" s="147"/>
      <c r="K844" s="283"/>
      <c r="M844" s="147"/>
    </row>
    <row r="845" spans="7:13" ht="15">
      <c r="G845" s="147"/>
      <c r="I845" s="147"/>
      <c r="K845" s="283"/>
      <c r="M845" s="147"/>
    </row>
    <row r="846" spans="7:13" ht="15">
      <c r="G846" s="147"/>
      <c r="I846" s="147"/>
      <c r="K846" s="283"/>
      <c r="M846" s="147"/>
    </row>
    <row r="847" spans="7:13" ht="15">
      <c r="G847" s="147"/>
      <c r="I847" s="147"/>
      <c r="K847" s="283"/>
      <c r="M847" s="147"/>
    </row>
    <row r="848" spans="7:13" ht="15">
      <c r="G848" s="147"/>
      <c r="I848" s="147"/>
      <c r="K848" s="283"/>
      <c r="M848" s="147"/>
    </row>
    <row r="849" spans="7:13" ht="15">
      <c r="G849" s="147"/>
      <c r="I849" s="147"/>
      <c r="K849" s="283"/>
      <c r="M849" s="147"/>
    </row>
    <row r="850" spans="7:13" ht="15">
      <c r="G850" s="147"/>
      <c r="I850" s="147"/>
      <c r="K850" s="283"/>
      <c r="M850" s="147"/>
    </row>
    <row r="851" spans="7:13" ht="15">
      <c r="G851" s="147"/>
      <c r="I851" s="147"/>
      <c r="K851" s="283"/>
      <c r="M851" s="147"/>
    </row>
    <row r="852" spans="7:13" ht="15">
      <c r="G852" s="147"/>
      <c r="I852" s="147"/>
      <c r="K852" s="283"/>
      <c r="M852" s="147"/>
    </row>
    <row r="853" spans="7:13" ht="15">
      <c r="G853" s="147"/>
      <c r="I853" s="147"/>
      <c r="K853" s="283"/>
      <c r="M853" s="147"/>
    </row>
    <row r="854" spans="7:13" ht="15">
      <c r="G854" s="147"/>
      <c r="I854" s="147"/>
      <c r="K854" s="283"/>
      <c r="M854" s="147"/>
    </row>
    <row r="855" spans="7:13" ht="15">
      <c r="G855" s="147"/>
      <c r="I855" s="147"/>
      <c r="K855" s="283"/>
      <c r="M855" s="147"/>
    </row>
    <row r="856" spans="7:13" ht="15">
      <c r="G856" s="147"/>
      <c r="I856" s="147"/>
      <c r="K856" s="283"/>
      <c r="M856" s="147"/>
    </row>
    <row r="857" spans="7:13" ht="15">
      <c r="G857" s="147"/>
      <c r="I857" s="147"/>
      <c r="K857" s="283"/>
      <c r="M857" s="147"/>
    </row>
    <row r="858" spans="7:13" ht="15">
      <c r="G858" s="147"/>
      <c r="I858" s="147"/>
      <c r="K858" s="283"/>
      <c r="M858" s="147"/>
    </row>
    <row r="859" spans="7:13" ht="15">
      <c r="G859" s="147"/>
      <c r="I859" s="147"/>
      <c r="K859" s="283"/>
      <c r="M859" s="147"/>
    </row>
    <row r="860" spans="7:13" ht="15">
      <c r="G860" s="147"/>
      <c r="I860" s="147"/>
      <c r="K860" s="283"/>
      <c r="M860" s="147"/>
    </row>
    <row r="861" spans="7:13" ht="15">
      <c r="G861" s="147"/>
      <c r="I861" s="147"/>
      <c r="K861" s="283"/>
      <c r="M861" s="147"/>
    </row>
  </sheetData>
  <sheetProtection/>
  <mergeCells count="16">
    <mergeCell ref="J6:J8"/>
    <mergeCell ref="K6:K8"/>
    <mergeCell ref="L6:L8"/>
    <mergeCell ref="M6:M8"/>
    <mergeCell ref="N6:N8"/>
    <mergeCell ref="B7:F7"/>
    <mergeCell ref="E1:I1"/>
    <mergeCell ref="E2:I2"/>
    <mergeCell ref="M2:Q2"/>
    <mergeCell ref="J3:L3"/>
    <mergeCell ref="A4:L4"/>
    <mergeCell ref="A6:A8"/>
    <mergeCell ref="B6:F6"/>
    <mergeCell ref="G6:G8"/>
    <mergeCell ref="H6:H8"/>
    <mergeCell ref="I6:I8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2012-11-30T08:20:12Z</cp:lastPrinted>
  <dcterms:created xsi:type="dcterms:W3CDTF">1996-10-08T23:32:33Z</dcterms:created>
  <dcterms:modified xsi:type="dcterms:W3CDTF">2012-11-30T08:28:06Z</dcterms:modified>
  <cp:category/>
  <cp:version/>
  <cp:contentType/>
  <cp:contentStatus/>
</cp:coreProperties>
</file>